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6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414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qipengshu/Documents/工作/课题/CLK2/nature2020/Final Revision20240403/"/>
    </mc:Choice>
  </mc:AlternateContent>
  <xr:revisionPtr revIDLastSave="0" documentId="13_ncr:1_{EEA3E685-1812-054A-AE2E-79775281B574}" xr6:coauthVersionLast="43" xr6:coauthVersionMax="43" xr10:uidLastSave="{00000000-0000-0000-0000-000000000000}"/>
  <bookViews>
    <workbookView xWindow="920" yWindow="1540" windowWidth="20680" windowHeight="14340" firstSheet="72" activeTab="82" xr2:uid="{1AC70BA1-8ABF-D642-9F90-198348194A34}"/>
  </bookViews>
  <sheets>
    <sheet name="1a" sheetId="1" r:id="rId1"/>
    <sheet name="1b" sheetId="2" r:id="rId2"/>
    <sheet name="1c" sheetId="3" r:id="rId3"/>
    <sheet name="1d" sheetId="4" r:id="rId4"/>
    <sheet name="1e" sheetId="6" r:id="rId5"/>
    <sheet name="1f" sheetId="5" r:id="rId6"/>
    <sheet name="1g" sheetId="7" r:id="rId7"/>
    <sheet name="1h" sheetId="8" r:id="rId8"/>
    <sheet name="2b" sheetId="9" r:id="rId9"/>
    <sheet name="2c" sheetId="10" r:id="rId10"/>
    <sheet name="2d" sheetId="11" r:id="rId11"/>
    <sheet name="2e" sheetId="12" r:id="rId12"/>
    <sheet name="3a" sheetId="13" r:id="rId13"/>
    <sheet name="3b" sheetId="14" r:id="rId14"/>
    <sheet name="3d" sheetId="15" r:id="rId15"/>
    <sheet name="3f" sheetId="16" r:id="rId16"/>
    <sheet name="3g" sheetId="17" r:id="rId17"/>
    <sheet name="4a" sheetId="18" r:id="rId18"/>
    <sheet name="4b" sheetId="19" r:id="rId19"/>
    <sheet name="4c" sheetId="20" r:id="rId20"/>
    <sheet name="4d" sheetId="89" r:id="rId21"/>
    <sheet name="4e" sheetId="21" r:id="rId22"/>
    <sheet name="4f" sheetId="22" r:id="rId23"/>
    <sheet name="4g" sheetId="23" r:id="rId24"/>
    <sheet name="4i" sheetId="24" r:id="rId25"/>
    <sheet name="5a" sheetId="25" r:id="rId26"/>
    <sheet name="5d" sheetId="26" r:id="rId27"/>
    <sheet name="5e" sheetId="27" r:id="rId28"/>
    <sheet name="5g" sheetId="28" r:id="rId29"/>
    <sheet name="6c" sheetId="30" r:id="rId30"/>
    <sheet name="6d" sheetId="31" r:id="rId31"/>
    <sheet name="6e" sheetId="81" r:id="rId32"/>
    <sheet name="6f" sheetId="32" r:id="rId33"/>
    <sheet name="6g" sheetId="33" r:id="rId34"/>
    <sheet name="7b" sheetId="34" r:id="rId35"/>
    <sheet name="7c" sheetId="35" r:id="rId36"/>
    <sheet name="7f" sheetId="36" r:id="rId37"/>
    <sheet name="7g" sheetId="37" r:id="rId38"/>
    <sheet name="7h" sheetId="38" r:id="rId39"/>
    <sheet name="7i" sheetId="39" r:id="rId40"/>
    <sheet name="7j" sheetId="40" r:id="rId41"/>
    <sheet name="S1a" sheetId="41" r:id="rId42"/>
    <sheet name="S1c" sheetId="42" r:id="rId43"/>
    <sheet name="S1d" sheetId="43" r:id="rId44"/>
    <sheet name="S2a" sheetId="44" r:id="rId45"/>
    <sheet name="S2b" sheetId="45" r:id="rId46"/>
    <sheet name="S2c" sheetId="46" r:id="rId47"/>
    <sheet name="S2d" sheetId="47" r:id="rId48"/>
    <sheet name="S2e" sheetId="48" r:id="rId49"/>
    <sheet name="S2f" sheetId="49" r:id="rId50"/>
    <sheet name="S3a" sheetId="50" r:id="rId51"/>
    <sheet name="S3b" sheetId="51" r:id="rId52"/>
    <sheet name="S3c" sheetId="52" r:id="rId53"/>
    <sheet name="S3d" sheetId="53" r:id="rId54"/>
    <sheet name="S3g" sheetId="54" r:id="rId55"/>
    <sheet name="S3h" sheetId="55" r:id="rId56"/>
    <sheet name="S3i" sheetId="56" r:id="rId57"/>
    <sheet name="S3j" sheetId="57" r:id="rId58"/>
    <sheet name="S3l" sheetId="58" r:id="rId59"/>
    <sheet name="S4b" sheetId="59" r:id="rId60"/>
    <sheet name="S4c" sheetId="60" r:id="rId61"/>
    <sheet name="S4d" sheetId="61" r:id="rId62"/>
    <sheet name="S5a" sheetId="62" r:id="rId63"/>
    <sheet name="S5b" sheetId="63" r:id="rId64"/>
    <sheet name="S5c" sheetId="64" r:id="rId65"/>
    <sheet name="S5d" sheetId="65" r:id="rId66"/>
    <sheet name="S5g" sheetId="66" r:id="rId67"/>
    <sheet name="S5i" sheetId="67" r:id="rId68"/>
    <sheet name="S6a" sheetId="68" r:id="rId69"/>
    <sheet name="S6b" sheetId="69" r:id="rId70"/>
    <sheet name="S6c" sheetId="70" r:id="rId71"/>
    <sheet name="S6d" sheetId="71" r:id="rId72"/>
    <sheet name="S6e" sheetId="72" r:id="rId73"/>
    <sheet name="S6f" sheetId="73" r:id="rId74"/>
    <sheet name="S6g" sheetId="74" r:id="rId75"/>
    <sheet name="S6h" sheetId="85" r:id="rId76"/>
    <sheet name="S6i" sheetId="84" r:id="rId77"/>
    <sheet name="S6j" sheetId="83" r:id="rId78"/>
    <sheet name="S6k" sheetId="75" r:id="rId79"/>
    <sheet name="S6l" sheetId="76" r:id="rId80"/>
    <sheet name="S6m" sheetId="87" r:id="rId81"/>
    <sheet name="S7a" sheetId="86" r:id="rId82"/>
    <sheet name="S7b" sheetId="77" r:id="rId83"/>
    <sheet name="S7c" sheetId="78" r:id="rId84"/>
    <sheet name="S7d" sheetId="79" r:id="rId85"/>
  </sheets>
  <externalReferences>
    <externalReference r:id="rId86"/>
    <externalReference r:id="rId87"/>
    <externalReference r:id="rId88"/>
    <externalReference r:id="rId89"/>
    <externalReference r:id="rId90"/>
    <externalReference r:id="rId91"/>
  </externalReferences>
  <calcPr calcId="191029"/>
  <fileRecoveryPr repairLoad="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E53" i="27" l="1"/>
  <c r="I51" i="27" s="1"/>
  <c r="J51" i="27" s="1"/>
  <c r="M51" i="27" s="1"/>
  <c r="E50" i="27"/>
  <c r="I48" i="27" s="1"/>
  <c r="J48" i="27" s="1"/>
  <c r="M48" i="27" s="1"/>
  <c r="E47" i="27"/>
  <c r="I47" i="27" s="1"/>
  <c r="J47" i="27" s="1"/>
  <c r="M47" i="27" s="1"/>
  <c r="I46" i="27"/>
  <c r="J46" i="27" s="1"/>
  <c r="M46" i="27" s="1"/>
  <c r="I45" i="27"/>
  <c r="J45" i="27" s="1"/>
  <c r="M45" i="27" s="1"/>
  <c r="I44" i="27"/>
  <c r="J44" i="27" s="1"/>
  <c r="M44" i="27" s="1"/>
  <c r="E44" i="27"/>
  <c r="I43" i="27"/>
  <c r="J43" i="27" s="1"/>
  <c r="M43" i="27" s="1"/>
  <c r="I42" i="27"/>
  <c r="J42" i="27" s="1"/>
  <c r="M42" i="27" s="1"/>
  <c r="E41" i="27"/>
  <c r="I39" i="27" s="1"/>
  <c r="J39" i="27" s="1"/>
  <c r="M39" i="27" s="1"/>
  <c r="E38" i="27"/>
  <c r="I37" i="27" s="1"/>
  <c r="J37" i="27" s="1"/>
  <c r="M37" i="27" s="1"/>
  <c r="E35" i="27"/>
  <c r="I35" i="27" s="1"/>
  <c r="J35" i="27" s="1"/>
  <c r="M35" i="27" s="1"/>
  <c r="I34" i="27"/>
  <c r="J34" i="27" s="1"/>
  <c r="M34" i="27" s="1"/>
  <c r="I33" i="27"/>
  <c r="J33" i="27" s="1"/>
  <c r="M33" i="27" s="1"/>
  <c r="E32" i="27"/>
  <c r="I32" i="27" s="1"/>
  <c r="J32" i="27" s="1"/>
  <c r="M32" i="27" s="1"/>
  <c r="I31" i="27"/>
  <c r="J31" i="27" s="1"/>
  <c r="M31" i="27" s="1"/>
  <c r="I30" i="27"/>
  <c r="J30" i="27" s="1"/>
  <c r="E26" i="27"/>
  <c r="I24" i="27" s="1"/>
  <c r="J24" i="27" s="1"/>
  <c r="M24" i="27" s="1"/>
  <c r="I23" i="27"/>
  <c r="J23" i="27" s="1"/>
  <c r="M23" i="27" s="1"/>
  <c r="E23" i="27"/>
  <c r="I22" i="27" s="1"/>
  <c r="J22" i="27" s="1"/>
  <c r="M22" i="27" s="1"/>
  <c r="I21" i="27"/>
  <c r="J21" i="27" s="1"/>
  <c r="M21" i="27" s="1"/>
  <c r="E20" i="27"/>
  <c r="I18" i="27" s="1"/>
  <c r="J18" i="27" s="1"/>
  <c r="M18" i="27" s="1"/>
  <c r="I19" i="27"/>
  <c r="J19" i="27" s="1"/>
  <c r="M19" i="27" s="1"/>
  <c r="E17" i="27"/>
  <c r="I17" i="27" s="1"/>
  <c r="J17" i="27" s="1"/>
  <c r="M17" i="27" s="1"/>
  <c r="I16" i="27"/>
  <c r="J16" i="27" s="1"/>
  <c r="M16" i="27" s="1"/>
  <c r="E14" i="27"/>
  <c r="I13" i="27" s="1"/>
  <c r="J13" i="27" s="1"/>
  <c r="M13" i="27" s="1"/>
  <c r="I11" i="27"/>
  <c r="J11" i="27" s="1"/>
  <c r="M11" i="27" s="1"/>
  <c r="E11" i="27"/>
  <c r="I10" i="27" s="1"/>
  <c r="J10" i="27" s="1"/>
  <c r="M10" i="27" s="1"/>
  <c r="I9" i="27"/>
  <c r="J9" i="27" s="1"/>
  <c r="M9" i="27" s="1"/>
  <c r="E8" i="27"/>
  <c r="I6" i="27" s="1"/>
  <c r="J6" i="27" s="1"/>
  <c r="M6" i="27" s="1"/>
  <c r="I7" i="27"/>
  <c r="J7" i="27" s="1"/>
  <c r="M7" i="27" s="1"/>
  <c r="E5" i="27"/>
  <c r="I3" i="27" s="1"/>
  <c r="J3" i="27" s="1"/>
  <c r="M3" i="27" l="1"/>
  <c r="M30" i="27"/>
  <c r="K32" i="27"/>
  <c r="I38" i="27"/>
  <c r="J38" i="27" s="1"/>
  <c r="M38" i="27" s="1"/>
  <c r="I14" i="27"/>
  <c r="J14" i="27" s="1"/>
  <c r="M14" i="27" s="1"/>
  <c r="I36" i="27"/>
  <c r="J36" i="27" s="1"/>
  <c r="M36" i="27" s="1"/>
  <c r="I12" i="27"/>
  <c r="J12" i="27" s="1"/>
  <c r="M12" i="27" s="1"/>
  <c r="I15" i="27"/>
  <c r="J15" i="27" s="1"/>
  <c r="M15" i="27" s="1"/>
  <c r="I49" i="27"/>
  <c r="J49" i="27" s="1"/>
  <c r="M49" i="27" s="1"/>
  <c r="I50" i="27"/>
  <c r="J50" i="27" s="1"/>
  <c r="M50" i="27" s="1"/>
  <c r="I26" i="27"/>
  <c r="J26" i="27" s="1"/>
  <c r="M26" i="27" s="1"/>
  <c r="I5" i="27"/>
  <c r="J5" i="27" s="1"/>
  <c r="M5" i="27" s="1"/>
  <c r="I8" i="27"/>
  <c r="J8" i="27" s="1"/>
  <c r="M8" i="27" s="1"/>
  <c r="I20" i="27"/>
  <c r="J20" i="27" s="1"/>
  <c r="M20" i="27" s="1"/>
  <c r="I25" i="27"/>
  <c r="J25" i="27" s="1"/>
  <c r="M25" i="27" s="1"/>
  <c r="I4" i="27"/>
  <c r="J4" i="27" s="1"/>
  <c r="M4" i="27" s="1"/>
  <c r="I40" i="27"/>
  <c r="J40" i="27" s="1"/>
  <c r="M40" i="27" s="1"/>
  <c r="I52" i="27"/>
  <c r="J52" i="27" s="1"/>
  <c r="M52" i="27" s="1"/>
  <c r="I41" i="27"/>
  <c r="J41" i="27" s="1"/>
  <c r="M41" i="27" s="1"/>
  <c r="I53" i="27"/>
  <c r="J53" i="27" s="1"/>
  <c r="M53" i="27" s="1"/>
  <c r="K31" i="57"/>
  <c r="K30" i="57"/>
  <c r="O31" i="57"/>
  <c r="P31" i="57" s="1"/>
  <c r="N31" i="57"/>
  <c r="L31" i="57"/>
  <c r="M31" i="57" s="1"/>
  <c r="O30" i="57"/>
  <c r="P30" i="57" s="1"/>
  <c r="N30" i="57"/>
  <c r="L30" i="57"/>
  <c r="M30" i="57" s="1"/>
  <c r="K22" i="57"/>
  <c r="L22" i="57"/>
  <c r="M22" i="57" s="1"/>
  <c r="N22" i="57"/>
  <c r="O22" i="57"/>
  <c r="P22" i="57" s="1"/>
  <c r="O21" i="57"/>
  <c r="N21" i="57"/>
  <c r="L21" i="57"/>
  <c r="K21" i="57"/>
  <c r="K5" i="27" l="1"/>
  <c r="BC30" i="79"/>
  <c r="BD30" i="79" s="1"/>
  <c r="BB30" i="79"/>
  <c r="AZ30" i="79"/>
  <c r="BA30" i="79" s="1"/>
  <c r="AY30" i="79"/>
  <c r="BC29" i="79"/>
  <c r="BD29" i="79" s="1"/>
  <c r="BB29" i="79"/>
  <c r="BA29" i="79"/>
  <c r="AZ29" i="79"/>
  <c r="AY29" i="79"/>
  <c r="BB17" i="79"/>
  <c r="BD17" i="79"/>
  <c r="BC17" i="79"/>
  <c r="BA17" i="79"/>
  <c r="AZ17" i="79"/>
  <c r="AY17" i="79"/>
  <c r="AY16" i="79"/>
  <c r="BD16" i="79"/>
  <c r="BC16" i="79"/>
  <c r="BB16" i="79"/>
  <c r="BA16" i="79"/>
  <c r="AZ16" i="79"/>
  <c r="M32" i="78"/>
  <c r="N32" i="78" s="1"/>
  <c r="L32" i="78"/>
  <c r="J32" i="78"/>
  <c r="K32" i="78" s="1"/>
  <c r="I32" i="78"/>
  <c r="M31" i="78"/>
  <c r="N31" i="78" s="1"/>
  <c r="L31" i="78"/>
  <c r="J31" i="78"/>
  <c r="K31" i="78" s="1"/>
  <c r="I31" i="78"/>
  <c r="N21" i="78"/>
  <c r="N20" i="78"/>
  <c r="M21" i="78"/>
  <c r="L21" i="78"/>
  <c r="K21" i="78"/>
  <c r="J21" i="78"/>
  <c r="I21" i="78"/>
  <c r="M20" i="78"/>
  <c r="L20" i="78"/>
  <c r="K20" i="78"/>
  <c r="J20" i="78"/>
  <c r="I20" i="78"/>
  <c r="P15" i="77"/>
  <c r="O15" i="77"/>
  <c r="N15" i="77"/>
  <c r="L15" i="77"/>
  <c r="M15" i="77" s="1"/>
  <c r="K15" i="77"/>
  <c r="M22" i="66"/>
  <c r="J23" i="66"/>
  <c r="J22" i="66"/>
  <c r="N23" i="66"/>
  <c r="O23" i="66" s="1"/>
  <c r="M23" i="66"/>
  <c r="K23" i="66"/>
  <c r="L23" i="66" s="1"/>
  <c r="N22" i="66"/>
  <c r="O22" i="66" s="1"/>
  <c r="K22" i="66"/>
  <c r="L22" i="66" s="1"/>
  <c r="K17" i="66"/>
  <c r="L17" i="66" s="1"/>
  <c r="N17" i="66" s="1"/>
  <c r="J17" i="66"/>
  <c r="F17" i="66"/>
  <c r="J16" i="66" s="1"/>
  <c r="K16" i="66"/>
  <c r="L16" i="66" s="1"/>
  <c r="N16" i="66" s="1"/>
  <c r="K15" i="66"/>
  <c r="L15" i="66" s="1"/>
  <c r="N15" i="66" s="1"/>
  <c r="K14" i="66"/>
  <c r="L14" i="66" s="1"/>
  <c r="N14" i="66" s="1"/>
  <c r="F14" i="66"/>
  <c r="J13" i="66" s="1"/>
  <c r="K13" i="66"/>
  <c r="L13" i="66" s="1"/>
  <c r="N13" i="66" s="1"/>
  <c r="L12" i="66"/>
  <c r="N12" i="66" s="1"/>
  <c r="K12" i="66"/>
  <c r="K11" i="66"/>
  <c r="L11" i="66" s="1"/>
  <c r="N11" i="66" s="1"/>
  <c r="F11" i="66"/>
  <c r="J11" i="66" s="1"/>
  <c r="K10" i="66"/>
  <c r="L10" i="66" s="1"/>
  <c r="N10" i="66" s="1"/>
  <c r="L9" i="66"/>
  <c r="N9" i="66" s="1"/>
  <c r="K9" i="66"/>
  <c r="K8" i="66"/>
  <c r="L8" i="66" s="1"/>
  <c r="N8" i="66" s="1"/>
  <c r="F8" i="66"/>
  <c r="J8" i="66" s="1"/>
  <c r="K7" i="66"/>
  <c r="L7" i="66" s="1"/>
  <c r="N7" i="66" s="1"/>
  <c r="K6" i="66"/>
  <c r="L6" i="66" s="1"/>
  <c r="J15" i="66" l="1"/>
  <c r="J14" i="66"/>
  <c r="J10" i="66"/>
  <c r="J12" i="66"/>
  <c r="J9" i="66"/>
  <c r="N6" i="66"/>
  <c r="M6" i="66"/>
  <c r="J7" i="66"/>
  <c r="J6" i="66"/>
  <c r="Z13" i="83" l="1"/>
  <c r="X13" i="83"/>
  <c r="Y13" i="83" s="1"/>
  <c r="W13" i="83"/>
  <c r="AB16" i="83"/>
  <c r="AA16" i="83"/>
  <c r="Z16" i="83"/>
  <c r="Y16" i="83"/>
  <c r="X16" i="83"/>
  <c r="W16" i="83"/>
  <c r="AA15" i="83"/>
  <c r="AB15" i="83" s="1"/>
  <c r="Z15" i="83"/>
  <c r="X15" i="83"/>
  <c r="Y15" i="83" s="1"/>
  <c r="W15" i="83"/>
  <c r="AA14" i="83"/>
  <c r="AB14" i="83" s="1"/>
  <c r="Z14" i="83"/>
  <c r="X14" i="83"/>
  <c r="Y14" i="83" s="1"/>
  <c r="W14" i="83"/>
  <c r="AA13" i="83"/>
  <c r="AB13" i="83" s="1"/>
  <c r="W19" i="69"/>
  <c r="W20" i="69"/>
  <c r="W21" i="69"/>
  <c r="V19" i="69"/>
  <c r="V20" i="69"/>
  <c r="V21" i="69"/>
  <c r="U19" i="69"/>
  <c r="U20" i="69"/>
  <c r="U21" i="69"/>
  <c r="V18" i="69"/>
  <c r="W18" i="69" s="1"/>
  <c r="U18" i="69"/>
  <c r="AA63" i="67"/>
  <c r="AB63" i="67" s="1"/>
  <c r="Z63" i="67"/>
  <c r="X63" i="67"/>
  <c r="Y63" i="67" s="1"/>
  <c r="W63" i="67"/>
  <c r="AA62" i="67"/>
  <c r="AB62" i="67" s="1"/>
  <c r="Z62" i="67"/>
  <c r="Y62" i="67"/>
  <c r="X62" i="67"/>
  <c r="W62" i="67"/>
  <c r="AA61" i="67"/>
  <c r="AB61" i="67" s="1"/>
  <c r="Z61" i="67"/>
  <c r="X61" i="67"/>
  <c r="Y61" i="67" s="1"/>
  <c r="W61" i="67"/>
  <c r="AA60" i="67"/>
  <c r="AB60" i="67" s="1"/>
  <c r="Z60" i="67"/>
  <c r="X60" i="67"/>
  <c r="Y60" i="67" s="1"/>
  <c r="W60" i="67"/>
  <c r="AB59" i="67"/>
  <c r="AA59" i="67"/>
  <c r="Z59" i="67"/>
  <c r="Y59" i="67"/>
  <c r="X59" i="67"/>
  <c r="W59" i="67"/>
  <c r="AA58" i="67"/>
  <c r="AB58" i="67" s="1"/>
  <c r="Z58" i="67"/>
  <c r="Y58" i="67"/>
  <c r="X58" i="67"/>
  <c r="W58" i="67"/>
  <c r="AB15" i="67"/>
  <c r="AB16" i="67"/>
  <c r="AB17" i="67"/>
  <c r="AB18" i="67"/>
  <c r="AB19" i="67"/>
  <c r="AA15" i="67"/>
  <c r="AA16" i="67"/>
  <c r="AA17" i="67"/>
  <c r="AA18" i="67"/>
  <c r="AA19" i="67"/>
  <c r="Z15" i="67"/>
  <c r="Z16" i="67"/>
  <c r="Z17" i="67"/>
  <c r="Z18" i="67"/>
  <c r="Z19" i="67"/>
  <c r="Y15" i="67"/>
  <c r="Y16" i="67"/>
  <c r="Y17" i="67"/>
  <c r="Y18" i="67"/>
  <c r="Y19" i="67"/>
  <c r="X15" i="67"/>
  <c r="X16" i="67"/>
  <c r="X17" i="67"/>
  <c r="X18" i="67"/>
  <c r="X19" i="67"/>
  <c r="W15" i="67"/>
  <c r="W16" i="67"/>
  <c r="W17" i="67"/>
  <c r="W18" i="67"/>
  <c r="W19" i="67"/>
  <c r="AA14" i="67"/>
  <c r="AB14" i="67" s="1"/>
  <c r="Z14" i="67"/>
  <c r="X14" i="67"/>
  <c r="Y14" i="67" s="1"/>
  <c r="W14" i="67"/>
  <c r="Z23" i="65" l="1"/>
  <c r="Y23" i="65"/>
  <c r="V23" i="65"/>
  <c r="U23" i="65"/>
  <c r="S23" i="65"/>
  <c r="R23" i="65"/>
  <c r="P23" i="65"/>
  <c r="O23" i="65"/>
  <c r="AA23" i="65"/>
  <c r="W23" i="65"/>
  <c r="T23" i="65"/>
  <c r="Q23" i="65"/>
  <c r="Y45" i="59"/>
  <c r="Z45" i="59" s="1"/>
  <c r="X45" i="59"/>
  <c r="U45" i="59"/>
  <c r="V45" i="59" s="1"/>
  <c r="T45" i="59"/>
  <c r="R45" i="59"/>
  <c r="S45" i="59" s="1"/>
  <c r="Q45" i="59"/>
  <c r="Z44" i="59"/>
  <c r="Y44" i="59"/>
  <c r="X44" i="59"/>
  <c r="U44" i="59"/>
  <c r="V44" i="59" s="1"/>
  <c r="T44" i="59"/>
  <c r="S44" i="59"/>
  <c r="R44" i="59"/>
  <c r="Q44" i="59"/>
  <c r="AA13" i="59"/>
  <c r="AA12" i="59"/>
  <c r="Z13" i="59"/>
  <c r="Z12" i="59"/>
  <c r="W13" i="59"/>
  <c r="W12" i="59"/>
  <c r="V13" i="59"/>
  <c r="V12" i="59"/>
  <c r="U13" i="59"/>
  <c r="T13" i="59"/>
  <c r="T12" i="59"/>
  <c r="S13" i="59"/>
  <c r="S12" i="59"/>
  <c r="X13" i="59"/>
  <c r="X12" i="59"/>
  <c r="U12" i="59"/>
  <c r="N9" i="58"/>
  <c r="M9" i="58"/>
  <c r="L9" i="58"/>
  <c r="N8" i="58"/>
  <c r="M8" i="58"/>
  <c r="L8" i="58"/>
  <c r="P21" i="57"/>
  <c r="M21" i="57"/>
  <c r="AC25" i="56"/>
  <c r="AD25" i="56" s="1"/>
  <c r="AB25" i="56"/>
  <c r="Z25" i="56"/>
  <c r="AA25" i="56" s="1"/>
  <c r="Y25" i="56"/>
  <c r="AC24" i="56"/>
  <c r="AD24" i="56" s="1"/>
  <c r="AB24" i="56"/>
  <c r="Z24" i="56"/>
  <c r="AA24" i="56" s="1"/>
  <c r="Y24" i="56"/>
  <c r="AC23" i="56"/>
  <c r="AD23" i="56" s="1"/>
  <c r="AB23" i="56"/>
  <c r="AA23" i="56"/>
  <c r="Z23" i="56"/>
  <c r="Y23" i="56"/>
  <c r="AD22" i="56"/>
  <c r="AC22" i="56"/>
  <c r="AB22" i="56"/>
  <c r="AA22" i="56"/>
  <c r="Z22" i="56"/>
  <c r="Y22" i="56"/>
  <c r="AC21" i="56"/>
  <c r="AD21" i="56" s="1"/>
  <c r="AB21" i="56"/>
  <c r="Z21" i="56"/>
  <c r="AA21" i="56" s="1"/>
  <c r="Y21" i="56"/>
  <c r="AD7" i="56"/>
  <c r="AD8" i="56"/>
  <c r="AD9" i="56"/>
  <c r="AD10" i="56"/>
  <c r="AC7" i="56"/>
  <c r="AC8" i="56"/>
  <c r="AC9" i="56"/>
  <c r="AC10" i="56"/>
  <c r="AB7" i="56"/>
  <c r="AB8" i="56"/>
  <c r="AB9" i="56"/>
  <c r="AB10" i="56"/>
  <c r="AB6" i="56"/>
  <c r="AA7" i="56"/>
  <c r="AA8" i="56"/>
  <c r="AA9" i="56"/>
  <c r="AA10" i="56"/>
  <c r="Z7" i="56"/>
  <c r="Z8" i="56"/>
  <c r="Z9" i="56"/>
  <c r="Z10" i="56"/>
  <c r="Y7" i="56"/>
  <c r="Y8" i="56"/>
  <c r="Y9" i="56"/>
  <c r="Y10" i="56"/>
  <c r="Y6" i="56"/>
  <c r="AC6" i="56"/>
  <c r="AD6" i="56" s="1"/>
  <c r="Z6" i="56"/>
  <c r="AA6" i="56" s="1"/>
  <c r="Z71" i="53"/>
  <c r="Y71" i="53"/>
  <c r="X71" i="53"/>
  <c r="W71" i="53"/>
  <c r="V71" i="53"/>
  <c r="U71" i="53"/>
  <c r="Y70" i="53"/>
  <c r="Z70" i="53" s="1"/>
  <c r="X70" i="53"/>
  <c r="V70" i="53"/>
  <c r="W70" i="53" s="1"/>
  <c r="U70" i="53"/>
  <c r="Z69" i="53"/>
  <c r="Y69" i="53"/>
  <c r="X69" i="53"/>
  <c r="W69" i="53"/>
  <c r="V69" i="53"/>
  <c r="U69" i="53"/>
  <c r="Y68" i="53"/>
  <c r="Z68" i="53" s="1"/>
  <c r="X68" i="53"/>
  <c r="V68" i="53"/>
  <c r="W68" i="53" s="1"/>
  <c r="U68" i="53"/>
  <c r="Z67" i="53"/>
  <c r="Y67" i="53"/>
  <c r="X67" i="53"/>
  <c r="W67" i="53"/>
  <c r="V67" i="53"/>
  <c r="U67" i="53"/>
  <c r="Y52" i="53"/>
  <c r="Z52" i="53" s="1"/>
  <c r="X52" i="53"/>
  <c r="W52" i="53"/>
  <c r="V52" i="53"/>
  <c r="U52" i="53"/>
  <c r="Z51" i="53"/>
  <c r="Y51" i="53"/>
  <c r="X51" i="53"/>
  <c r="V51" i="53"/>
  <c r="W51" i="53" s="1"/>
  <c r="U51" i="53"/>
  <c r="Y50" i="53"/>
  <c r="Z50" i="53" s="1"/>
  <c r="X50" i="53"/>
  <c r="V50" i="53"/>
  <c r="W50" i="53" s="1"/>
  <c r="U50" i="53"/>
  <c r="Y27" i="53"/>
  <c r="Z27" i="53" s="1"/>
  <c r="X27" i="53"/>
  <c r="V27" i="53"/>
  <c r="W27" i="53" s="1"/>
  <c r="U27" i="53"/>
  <c r="Y26" i="53"/>
  <c r="Z26" i="53" s="1"/>
  <c r="X26" i="53"/>
  <c r="V26" i="53"/>
  <c r="W26" i="53" s="1"/>
  <c r="U26" i="53"/>
  <c r="Y25" i="53"/>
  <c r="Z25" i="53" s="1"/>
  <c r="X25" i="53"/>
  <c r="W25" i="53"/>
  <c r="V25" i="53"/>
  <c r="U25" i="53"/>
  <c r="Z24" i="53"/>
  <c r="Y24" i="53"/>
  <c r="X24" i="53"/>
  <c r="V24" i="53"/>
  <c r="W24" i="53" s="1"/>
  <c r="U24" i="53"/>
  <c r="Y23" i="53"/>
  <c r="Z23" i="53" s="1"/>
  <c r="X23" i="53"/>
  <c r="V23" i="53"/>
  <c r="W23" i="53" s="1"/>
  <c r="U23" i="53"/>
  <c r="Y8" i="53"/>
  <c r="Z8" i="53" s="1"/>
  <c r="X8" i="53"/>
  <c r="V8" i="53"/>
  <c r="W8" i="53" s="1"/>
  <c r="U8" i="53"/>
  <c r="Y7" i="53"/>
  <c r="Z7" i="53" s="1"/>
  <c r="X7" i="53"/>
  <c r="V7" i="53"/>
  <c r="W7" i="53" s="1"/>
  <c r="U7" i="53"/>
  <c r="Y6" i="53"/>
  <c r="Z6" i="53" s="1"/>
  <c r="X6" i="53"/>
  <c r="V6" i="53"/>
  <c r="W6" i="53" s="1"/>
  <c r="U6" i="53"/>
  <c r="AQ65" i="52"/>
  <c r="AR65" i="52" s="1"/>
  <c r="AP65" i="52"/>
  <c r="AN65" i="52"/>
  <c r="AO65" i="52" s="1"/>
  <c r="AM65" i="52"/>
  <c r="AQ64" i="52"/>
  <c r="AR64" i="52" s="1"/>
  <c r="AP64" i="52"/>
  <c r="AO64" i="52"/>
  <c r="AN64" i="52"/>
  <c r="AM64" i="52"/>
  <c r="AQ63" i="52"/>
  <c r="AR63" i="52" s="1"/>
  <c r="AP63" i="52"/>
  <c r="AO63" i="52"/>
  <c r="AN63" i="52"/>
  <c r="AM63" i="52"/>
  <c r="AQ62" i="52"/>
  <c r="AR62" i="52" s="1"/>
  <c r="AP62" i="52"/>
  <c r="AN62" i="52"/>
  <c r="AO62" i="52" s="1"/>
  <c r="AM62" i="52"/>
  <c r="AQ61" i="52"/>
  <c r="AR61" i="52" s="1"/>
  <c r="AP61" i="52"/>
  <c r="AN61" i="52"/>
  <c r="AO61" i="52" s="1"/>
  <c r="AM61" i="52"/>
  <c r="AQ55" i="52"/>
  <c r="AR55" i="52" s="1"/>
  <c r="AP55" i="52"/>
  <c r="AN55" i="52"/>
  <c r="AO55" i="52" s="1"/>
  <c r="AM55" i="52"/>
  <c r="AQ54" i="52"/>
  <c r="AR54" i="52" s="1"/>
  <c r="AP54" i="52"/>
  <c r="AO54" i="52"/>
  <c r="AN54" i="52"/>
  <c r="AM54" i="52"/>
  <c r="AQ53" i="52"/>
  <c r="AR53" i="52" s="1"/>
  <c r="AP53" i="52"/>
  <c r="AO53" i="52"/>
  <c r="AN53" i="52"/>
  <c r="AM53" i="52"/>
  <c r="AR52" i="52"/>
  <c r="AQ52" i="52"/>
  <c r="AP52" i="52"/>
  <c r="AO52" i="52"/>
  <c r="AN52" i="52"/>
  <c r="AM52" i="52"/>
  <c r="AQ51" i="52"/>
  <c r="AR51" i="52" s="1"/>
  <c r="AP51" i="52"/>
  <c r="AN51" i="52"/>
  <c r="AO51" i="52" s="1"/>
  <c r="AM51" i="52"/>
  <c r="AR26" i="52"/>
  <c r="AS26" i="52" s="1"/>
  <c r="AQ26" i="52"/>
  <c r="AO26" i="52"/>
  <c r="AP26" i="52" s="1"/>
  <c r="AN26" i="52"/>
  <c r="AR25" i="52"/>
  <c r="AS25" i="52" s="1"/>
  <c r="AQ25" i="52"/>
  <c r="AO25" i="52"/>
  <c r="AP25" i="52" s="1"/>
  <c r="AN25" i="52"/>
  <c r="AS24" i="52"/>
  <c r="AR24" i="52"/>
  <c r="AQ24" i="52"/>
  <c r="AO24" i="52"/>
  <c r="AP24" i="52" s="1"/>
  <c r="AN24" i="52"/>
  <c r="AS23" i="52"/>
  <c r="AR23" i="52"/>
  <c r="AQ23" i="52"/>
  <c r="AO23" i="52"/>
  <c r="AP23" i="52" s="1"/>
  <c r="AN23" i="52"/>
  <c r="AS22" i="52"/>
  <c r="AR22" i="52"/>
  <c r="AQ22" i="52"/>
  <c r="AO22" i="52"/>
  <c r="AP22" i="52" s="1"/>
  <c r="AN22" i="52"/>
  <c r="AR13" i="52"/>
  <c r="AS13" i="52" s="1"/>
  <c r="AQ13" i="52"/>
  <c r="AO13" i="52"/>
  <c r="AP13" i="52" s="1"/>
  <c r="AN13" i="52"/>
  <c r="AR12" i="52"/>
  <c r="AS12" i="52" s="1"/>
  <c r="AQ12" i="52"/>
  <c r="AO12" i="52"/>
  <c r="AP12" i="52" s="1"/>
  <c r="AN12" i="52"/>
  <c r="AR11" i="52"/>
  <c r="AS11" i="52" s="1"/>
  <c r="AQ11" i="52"/>
  <c r="AP11" i="52"/>
  <c r="AO11" i="52"/>
  <c r="AN11" i="52"/>
  <c r="AS10" i="52"/>
  <c r="AR10" i="52"/>
  <c r="AQ10" i="52"/>
  <c r="AO10" i="52"/>
  <c r="AP10" i="52" s="1"/>
  <c r="AN10" i="52"/>
  <c r="AS9" i="52"/>
  <c r="AR9" i="52"/>
  <c r="AQ9" i="52"/>
  <c r="AP9" i="52"/>
  <c r="AO9" i="52"/>
  <c r="AN9" i="52"/>
  <c r="BA46" i="51"/>
  <c r="BB46" i="51" s="1"/>
  <c r="AZ46" i="51"/>
  <c r="AX46" i="51"/>
  <c r="AY46" i="51" s="1"/>
  <c r="AW46" i="51"/>
  <c r="BA45" i="51"/>
  <c r="BB45" i="51" s="1"/>
  <c r="AZ45" i="51"/>
  <c r="AX45" i="51"/>
  <c r="AY45" i="51" s="1"/>
  <c r="AW45" i="51"/>
  <c r="BA44" i="51"/>
  <c r="BB44" i="51" s="1"/>
  <c r="AZ44" i="51"/>
  <c r="AY44" i="51"/>
  <c r="AX44" i="51"/>
  <c r="AW44" i="51"/>
  <c r="BA43" i="51"/>
  <c r="BB43" i="51" s="1"/>
  <c r="AZ43" i="51"/>
  <c r="AX43" i="51"/>
  <c r="AY43" i="51" s="1"/>
  <c r="AW43" i="51"/>
  <c r="BA42" i="51"/>
  <c r="BB42" i="51" s="1"/>
  <c r="AZ42" i="51"/>
  <c r="AX42" i="51"/>
  <c r="AY42" i="51" s="1"/>
  <c r="AW42" i="51"/>
  <c r="BB14" i="51"/>
  <c r="BC14" i="51" s="1"/>
  <c r="BA14" i="51"/>
  <c r="AY14" i="51"/>
  <c r="AZ14" i="51" s="1"/>
  <c r="AX14" i="51"/>
  <c r="BB13" i="51"/>
  <c r="BC13" i="51" s="1"/>
  <c r="BA13" i="51"/>
  <c r="AZ13" i="51"/>
  <c r="AY13" i="51"/>
  <c r="AX13" i="51"/>
  <c r="BB12" i="51"/>
  <c r="BC12" i="51" s="1"/>
  <c r="BA12" i="51"/>
  <c r="AZ12" i="51"/>
  <c r="AY12" i="51"/>
  <c r="AX12" i="51"/>
  <c r="BB11" i="51"/>
  <c r="BC11" i="51" s="1"/>
  <c r="BA11" i="51"/>
  <c r="AY11" i="51"/>
  <c r="AZ11" i="51" s="1"/>
  <c r="AX11" i="51"/>
  <c r="BB10" i="51"/>
  <c r="BC10" i="51" s="1"/>
  <c r="BA10" i="51"/>
  <c r="AY10" i="51"/>
  <c r="AZ10" i="51" s="1"/>
  <c r="AX10" i="51"/>
  <c r="AB45" i="51"/>
  <c r="AA45" i="51"/>
  <c r="Z45" i="51"/>
  <c r="X45" i="51"/>
  <c r="Y45" i="51" s="1"/>
  <c r="W45" i="51"/>
  <c r="AA44" i="51"/>
  <c r="AB44" i="51" s="1"/>
  <c r="Z44" i="51"/>
  <c r="X44" i="51"/>
  <c r="Y44" i="51" s="1"/>
  <c r="W44" i="51"/>
  <c r="AB43" i="51"/>
  <c r="AA43" i="51"/>
  <c r="Z43" i="51"/>
  <c r="Y43" i="51"/>
  <c r="X43" i="51"/>
  <c r="W43" i="51"/>
  <c r="AA42" i="51"/>
  <c r="AB42" i="51" s="1"/>
  <c r="Z42" i="51"/>
  <c r="X42" i="51"/>
  <c r="Y42" i="51" s="1"/>
  <c r="W42" i="51"/>
  <c r="AB41" i="51"/>
  <c r="AA41" i="51"/>
  <c r="Z41" i="51"/>
  <c r="X41" i="51"/>
  <c r="Y41" i="51" s="1"/>
  <c r="W41" i="51"/>
  <c r="AA34" i="51"/>
  <c r="AB34" i="51" s="1"/>
  <c r="Z34" i="51"/>
  <c r="X34" i="51"/>
  <c r="Y34" i="51" s="1"/>
  <c r="W34" i="51"/>
  <c r="AA33" i="51"/>
  <c r="AB33" i="51" s="1"/>
  <c r="Z33" i="51"/>
  <c r="X33" i="51"/>
  <c r="Y33" i="51" s="1"/>
  <c r="W33" i="51"/>
  <c r="AB32" i="51"/>
  <c r="AA32" i="51"/>
  <c r="Z32" i="51"/>
  <c r="Y32" i="51"/>
  <c r="X32" i="51"/>
  <c r="W32" i="51"/>
  <c r="AA31" i="51"/>
  <c r="AB31" i="51" s="1"/>
  <c r="Z31" i="51"/>
  <c r="X31" i="51"/>
  <c r="Y31" i="51" s="1"/>
  <c r="W31" i="51"/>
  <c r="AA30" i="51"/>
  <c r="AB30" i="51" s="1"/>
  <c r="Z30" i="51"/>
  <c r="X30" i="51"/>
  <c r="Y30" i="51" s="1"/>
  <c r="W30" i="51"/>
  <c r="O31" i="50"/>
  <c r="P31" i="50" s="1"/>
  <c r="N31" i="50"/>
  <c r="L31" i="50"/>
  <c r="M31" i="50" s="1"/>
  <c r="K31" i="50"/>
  <c r="AM36" i="48"/>
  <c r="AN36" i="48" s="1"/>
  <c r="AL36" i="48"/>
  <c r="AK36" i="48"/>
  <c r="AJ36" i="48"/>
  <c r="AI36" i="48"/>
  <c r="AM35" i="48"/>
  <c r="AN35" i="48" s="1"/>
  <c r="AL35" i="48"/>
  <c r="AJ35" i="48"/>
  <c r="AK35" i="48" s="1"/>
  <c r="AI35" i="48"/>
  <c r="AM34" i="48"/>
  <c r="AN34" i="48" s="1"/>
  <c r="AL34" i="48"/>
  <c r="AK34" i="48"/>
  <c r="AJ34" i="48"/>
  <c r="AI34" i="48"/>
  <c r="AN99" i="48"/>
  <c r="AM99" i="48"/>
  <c r="AL99" i="48"/>
  <c r="AJ99" i="48"/>
  <c r="AK99" i="48" s="1"/>
  <c r="AI99" i="48"/>
  <c r="AM98" i="48"/>
  <c r="AN98" i="48" s="1"/>
  <c r="AL98" i="48"/>
  <c r="AJ98" i="48"/>
  <c r="AK98" i="48" s="1"/>
  <c r="AI98" i="48"/>
  <c r="AM97" i="48"/>
  <c r="AN97" i="48" s="1"/>
  <c r="AL97" i="48"/>
  <c r="AJ97" i="48"/>
  <c r="AK97" i="48" s="1"/>
  <c r="AI97" i="48"/>
  <c r="R95" i="48"/>
  <c r="S95" i="48" s="1"/>
  <c r="Q95" i="48"/>
  <c r="O95" i="48"/>
  <c r="P95" i="48" s="1"/>
  <c r="N95" i="48"/>
  <c r="R94" i="48"/>
  <c r="S94" i="48" s="1"/>
  <c r="Q94" i="48"/>
  <c r="P94" i="48"/>
  <c r="O94" i="48"/>
  <c r="N94" i="48"/>
  <c r="S93" i="48"/>
  <c r="R93" i="48"/>
  <c r="Q93" i="48"/>
  <c r="P93" i="48"/>
  <c r="O93" i="48"/>
  <c r="N93" i="48"/>
  <c r="R34" i="48"/>
  <c r="S34" i="48" s="1"/>
  <c r="Q34" i="48"/>
  <c r="O34" i="48"/>
  <c r="P34" i="48" s="1"/>
  <c r="N34" i="48"/>
  <c r="R33" i="48"/>
  <c r="S33" i="48" s="1"/>
  <c r="Q33" i="48"/>
  <c r="O33" i="48"/>
  <c r="P33" i="48" s="1"/>
  <c r="N33" i="48"/>
  <c r="S32" i="48"/>
  <c r="R32" i="48"/>
  <c r="Q32" i="48"/>
  <c r="O32" i="48"/>
  <c r="P32" i="48" s="1"/>
  <c r="N32" i="48"/>
  <c r="DX41" i="47"/>
  <c r="DY41" i="47" s="1"/>
  <c r="DW41" i="47"/>
  <c r="DU41" i="47"/>
  <c r="DV41" i="47" s="1"/>
  <c r="DT41" i="47"/>
  <c r="DX40" i="47"/>
  <c r="DY40" i="47" s="1"/>
  <c r="DW40" i="47"/>
  <c r="DU40" i="47"/>
  <c r="DV40" i="47" s="1"/>
  <c r="DT40" i="47"/>
  <c r="DY39" i="47"/>
  <c r="DX39" i="47"/>
  <c r="DW39" i="47"/>
  <c r="DU39" i="47"/>
  <c r="DV39" i="47" s="1"/>
  <c r="DT39" i="47"/>
  <c r="DY38" i="47"/>
  <c r="DX38" i="47"/>
  <c r="DW38" i="47"/>
  <c r="DU38" i="47"/>
  <c r="DV38" i="47" s="1"/>
  <c r="DT38" i="47"/>
  <c r="DY37" i="47"/>
  <c r="DX37" i="47"/>
  <c r="DW37" i="47"/>
  <c r="DU37" i="47"/>
  <c r="DV37" i="47" s="1"/>
  <c r="DT37" i="47"/>
  <c r="DX11" i="47"/>
  <c r="DY11" i="47" s="1"/>
  <c r="DW11" i="47"/>
  <c r="DU11" i="47"/>
  <c r="DV11" i="47" s="1"/>
  <c r="DT11" i="47"/>
  <c r="DX10" i="47"/>
  <c r="DY10" i="47" s="1"/>
  <c r="DW10" i="47"/>
  <c r="DV10" i="47"/>
  <c r="DU10" i="47"/>
  <c r="DT10" i="47"/>
  <c r="DX9" i="47"/>
  <c r="DY9" i="47" s="1"/>
  <c r="DW9" i="47"/>
  <c r="DV9" i="47"/>
  <c r="DU9" i="47"/>
  <c r="DT9" i="47"/>
  <c r="DX8" i="47"/>
  <c r="DY8" i="47" s="1"/>
  <c r="DW8" i="47"/>
  <c r="DU8" i="47"/>
  <c r="DV8" i="47" s="1"/>
  <c r="DT8" i="47"/>
  <c r="DX7" i="47"/>
  <c r="DY7" i="47" s="1"/>
  <c r="DW7" i="47"/>
  <c r="DV7" i="47"/>
  <c r="DU7" i="47"/>
  <c r="DT7" i="47"/>
  <c r="CX42" i="47"/>
  <c r="CY42" i="47" s="1"/>
  <c r="CW42" i="47"/>
  <c r="CU42" i="47"/>
  <c r="CV42" i="47" s="1"/>
  <c r="CT42" i="47"/>
  <c r="CX41" i="47"/>
  <c r="CY41" i="47" s="1"/>
  <c r="CW41" i="47"/>
  <c r="CU41" i="47"/>
  <c r="CV41" i="47" s="1"/>
  <c r="CT41" i="47"/>
  <c r="CY40" i="47"/>
  <c r="CX40" i="47"/>
  <c r="CW40" i="47"/>
  <c r="CV40" i="47"/>
  <c r="CU40" i="47"/>
  <c r="CT40" i="47"/>
  <c r="CX39" i="47"/>
  <c r="CY39" i="47" s="1"/>
  <c r="CW39" i="47"/>
  <c r="CU39" i="47"/>
  <c r="CV39" i="47" s="1"/>
  <c r="CT39" i="47"/>
  <c r="CX38" i="47"/>
  <c r="CY38" i="47" s="1"/>
  <c r="CW38" i="47"/>
  <c r="CU38" i="47"/>
  <c r="CV38" i="47" s="1"/>
  <c r="CT38" i="47"/>
  <c r="CX10" i="47"/>
  <c r="CY10" i="47" s="1"/>
  <c r="CW10" i="47"/>
  <c r="CU10" i="47"/>
  <c r="CV10" i="47" s="1"/>
  <c r="CT10" i="47"/>
  <c r="CX9" i="47"/>
  <c r="CY9" i="47" s="1"/>
  <c r="CW9" i="47"/>
  <c r="CV9" i="47"/>
  <c r="CU9" i="47"/>
  <c r="CT9" i="47"/>
  <c r="CX8" i="47"/>
  <c r="CY8" i="47" s="1"/>
  <c r="CW8" i="47"/>
  <c r="CV8" i="47"/>
  <c r="CU8" i="47"/>
  <c r="CT8" i="47"/>
  <c r="CX7" i="47"/>
  <c r="CY7" i="47" s="1"/>
  <c r="CW7" i="47"/>
  <c r="CU7" i="47"/>
  <c r="CV7" i="47" s="1"/>
  <c r="CT7" i="47"/>
  <c r="CX6" i="47"/>
  <c r="CY6" i="47" s="1"/>
  <c r="CW6" i="47"/>
  <c r="CU6" i="47"/>
  <c r="CV6" i="47" s="1"/>
  <c r="CT6" i="47"/>
  <c r="BX42" i="47"/>
  <c r="BY42" i="47" s="1"/>
  <c r="BW42" i="47"/>
  <c r="BU42" i="47"/>
  <c r="BV42" i="47" s="1"/>
  <c r="BT42" i="47"/>
  <c r="BX41" i="47"/>
  <c r="BY41" i="47" s="1"/>
  <c r="BW41" i="47"/>
  <c r="BU41" i="47"/>
  <c r="BV41" i="47" s="1"/>
  <c r="BT41" i="47"/>
  <c r="BX40" i="47"/>
  <c r="BY40" i="47" s="1"/>
  <c r="BW40" i="47"/>
  <c r="BU40" i="47"/>
  <c r="BV40" i="47" s="1"/>
  <c r="BT40" i="47"/>
  <c r="BX39" i="47"/>
  <c r="BY39" i="47" s="1"/>
  <c r="BW39" i="47"/>
  <c r="BU39" i="47"/>
  <c r="BV39" i="47" s="1"/>
  <c r="BT39" i="47"/>
  <c r="BX38" i="47"/>
  <c r="BY38" i="47" s="1"/>
  <c r="BW38" i="47"/>
  <c r="BU38" i="47"/>
  <c r="BV38" i="47" s="1"/>
  <c r="BT38" i="47"/>
  <c r="BX9" i="47"/>
  <c r="BY9" i="47" s="1"/>
  <c r="BW9" i="47"/>
  <c r="BV9" i="47"/>
  <c r="BU9" i="47"/>
  <c r="BT9" i="47"/>
  <c r="BX8" i="47"/>
  <c r="BY8" i="47" s="1"/>
  <c r="BW8" i="47"/>
  <c r="BU8" i="47"/>
  <c r="BV8" i="47" s="1"/>
  <c r="BT8" i="47"/>
  <c r="BX7" i="47"/>
  <c r="BY7" i="47" s="1"/>
  <c r="BW7" i="47"/>
  <c r="BV7" i="47"/>
  <c r="BU7" i="47"/>
  <c r="BT7" i="47"/>
  <c r="BX6" i="47"/>
  <c r="BY6" i="47" s="1"/>
  <c r="BW6" i="47"/>
  <c r="BU6" i="47"/>
  <c r="BV6" i="47" s="1"/>
  <c r="BT6" i="47"/>
  <c r="BX5" i="47"/>
  <c r="BY5" i="47" s="1"/>
  <c r="BW5" i="47"/>
  <c r="BU5" i="47"/>
  <c r="BV5" i="47" s="1"/>
  <c r="BT5" i="47"/>
  <c r="AX48" i="47"/>
  <c r="AY48" i="47" s="1"/>
  <c r="AW48" i="47"/>
  <c r="AU48" i="47"/>
  <c r="AV48" i="47" s="1"/>
  <c r="AT48" i="47"/>
  <c r="AX47" i="47"/>
  <c r="AY47" i="47" s="1"/>
  <c r="AW47" i="47"/>
  <c r="AU47" i="47"/>
  <c r="AV47" i="47" s="1"/>
  <c r="AT47" i="47"/>
  <c r="AX46" i="47"/>
  <c r="AY46" i="47" s="1"/>
  <c r="AW46" i="47"/>
  <c r="AU46" i="47"/>
  <c r="AV46" i="47" s="1"/>
  <c r="AT46" i="47"/>
  <c r="AX45" i="47"/>
  <c r="AY45" i="47" s="1"/>
  <c r="AW45" i="47"/>
  <c r="AU45" i="47"/>
  <c r="AV45" i="47" s="1"/>
  <c r="AT45" i="47"/>
  <c r="AX44" i="47"/>
  <c r="AY44" i="47" s="1"/>
  <c r="AW44" i="47"/>
  <c r="AU44" i="47"/>
  <c r="AV44" i="47" s="1"/>
  <c r="AT44" i="47"/>
  <c r="AX10" i="47"/>
  <c r="AY10" i="47" s="1"/>
  <c r="AW10" i="47"/>
  <c r="AU10" i="47"/>
  <c r="AV10" i="47" s="1"/>
  <c r="AT10" i="47"/>
  <c r="AX9" i="47"/>
  <c r="AY9" i="47" s="1"/>
  <c r="AW9" i="47"/>
  <c r="AU9" i="47"/>
  <c r="AV9" i="47" s="1"/>
  <c r="AT9" i="47"/>
  <c r="AX8" i="47"/>
  <c r="AY8" i="47" s="1"/>
  <c r="AW8" i="47"/>
  <c r="AU8" i="47"/>
  <c r="AV8" i="47" s="1"/>
  <c r="AT8" i="47"/>
  <c r="AX7" i="47"/>
  <c r="AY7" i="47" s="1"/>
  <c r="AW7" i="47"/>
  <c r="AU7" i="47"/>
  <c r="AV7" i="47" s="1"/>
  <c r="AT7" i="47"/>
  <c r="AX6" i="47"/>
  <c r="AY6" i="47" s="1"/>
  <c r="AW6" i="47"/>
  <c r="AU6" i="47"/>
  <c r="AV6" i="47" s="1"/>
  <c r="AT6" i="47"/>
  <c r="AE65" i="47"/>
  <c r="AI64" i="47" s="1"/>
  <c r="AJ64" i="47" s="1"/>
  <c r="AL64" i="47" s="1"/>
  <c r="BE65" i="47"/>
  <c r="BI64" i="47" s="1"/>
  <c r="BJ64" i="47" s="1"/>
  <c r="BL64" i="47" s="1"/>
  <c r="CE65" i="47"/>
  <c r="CI64" i="47" s="1"/>
  <c r="CJ64" i="47" s="1"/>
  <c r="CL64" i="47" s="1"/>
  <c r="DE65" i="47"/>
  <c r="DI64" i="47" s="1"/>
  <c r="DJ64" i="47" s="1"/>
  <c r="DL64" i="47" s="1"/>
  <c r="EE65" i="47"/>
  <c r="EI64" i="47" s="1"/>
  <c r="EJ64" i="47" s="1"/>
  <c r="EL64" i="47" s="1"/>
  <c r="X43" i="47"/>
  <c r="Y43" i="47" s="1"/>
  <c r="W43" i="47"/>
  <c r="U43" i="47"/>
  <c r="V43" i="47" s="1"/>
  <c r="T43" i="47"/>
  <c r="X42" i="47"/>
  <c r="Y42" i="47" s="1"/>
  <c r="W42" i="47"/>
  <c r="U42" i="47"/>
  <c r="V42" i="47" s="1"/>
  <c r="T42" i="47"/>
  <c r="X41" i="47"/>
  <c r="Y41" i="47" s="1"/>
  <c r="W41" i="47"/>
  <c r="U41" i="47"/>
  <c r="V41" i="47" s="1"/>
  <c r="T41" i="47"/>
  <c r="X40" i="47"/>
  <c r="Y40" i="47" s="1"/>
  <c r="W40" i="47"/>
  <c r="U40" i="47"/>
  <c r="V40" i="47" s="1"/>
  <c r="T40" i="47"/>
  <c r="X39" i="47"/>
  <c r="Y39" i="47" s="1"/>
  <c r="W39" i="47"/>
  <c r="U39" i="47"/>
  <c r="V39" i="47" s="1"/>
  <c r="T39" i="47"/>
  <c r="X10" i="47"/>
  <c r="Y10" i="47" s="1"/>
  <c r="W10" i="47"/>
  <c r="U10" i="47"/>
  <c r="V10" i="47" s="1"/>
  <c r="T10" i="47"/>
  <c r="X9" i="47"/>
  <c r="Y9" i="47" s="1"/>
  <c r="W9" i="47"/>
  <c r="U9" i="47"/>
  <c r="V9" i="47" s="1"/>
  <c r="T9" i="47"/>
  <c r="X8" i="47"/>
  <c r="Y8" i="47" s="1"/>
  <c r="W8" i="47"/>
  <c r="U8" i="47"/>
  <c r="V8" i="47" s="1"/>
  <c r="T8" i="47"/>
  <c r="X7" i="47"/>
  <c r="Y7" i="47" s="1"/>
  <c r="W7" i="47"/>
  <c r="U7" i="47"/>
  <c r="V7" i="47" s="1"/>
  <c r="T7" i="47"/>
  <c r="X6" i="47"/>
  <c r="Y6" i="47" s="1"/>
  <c r="W6" i="47"/>
  <c r="U6" i="47"/>
  <c r="V6" i="47" s="1"/>
  <c r="T6" i="47"/>
  <c r="EX41" i="47"/>
  <c r="EY41" i="47" s="1"/>
  <c r="EW41" i="47"/>
  <c r="EU41" i="47"/>
  <c r="EV41" i="47" s="1"/>
  <c r="ET41" i="47"/>
  <c r="EX40" i="47"/>
  <c r="EY40" i="47" s="1"/>
  <c r="EW40" i="47"/>
  <c r="EU40" i="47"/>
  <c r="EV40" i="47" s="1"/>
  <c r="ET40" i="47"/>
  <c r="EX39" i="47"/>
  <c r="EY39" i="47" s="1"/>
  <c r="EW39" i="47"/>
  <c r="EU39" i="47"/>
  <c r="EV39" i="47" s="1"/>
  <c r="ET39" i="47"/>
  <c r="EX38" i="47"/>
  <c r="EY38" i="47" s="1"/>
  <c r="EW38" i="47"/>
  <c r="EU38" i="47"/>
  <c r="EV38" i="47" s="1"/>
  <c r="ET38" i="47"/>
  <c r="EX37" i="47"/>
  <c r="EY37" i="47" s="1"/>
  <c r="EW37" i="47"/>
  <c r="EU37" i="47"/>
  <c r="EV37" i="47" s="1"/>
  <c r="ET37" i="47"/>
  <c r="EX10" i="47"/>
  <c r="EY10" i="47" s="1"/>
  <c r="EW10" i="47"/>
  <c r="EU10" i="47"/>
  <c r="EV10" i="47" s="1"/>
  <c r="ET10" i="47"/>
  <c r="EX9" i="47"/>
  <c r="EY9" i="47" s="1"/>
  <c r="EW9" i="47"/>
  <c r="EU9" i="47"/>
  <c r="EV9" i="47" s="1"/>
  <c r="ET9" i="47"/>
  <c r="EX8" i="47"/>
  <c r="EY8" i="47" s="1"/>
  <c r="EW8" i="47"/>
  <c r="EU8" i="47"/>
  <c r="EV8" i="47" s="1"/>
  <c r="ET8" i="47"/>
  <c r="EX7" i="47"/>
  <c r="EY7" i="47" s="1"/>
  <c r="EW7" i="47"/>
  <c r="EU7" i="47"/>
  <c r="EV7" i="47" s="1"/>
  <c r="ET7" i="47"/>
  <c r="EX6" i="47"/>
  <c r="EY6" i="47" s="1"/>
  <c r="EW6" i="47"/>
  <c r="EU6" i="47"/>
  <c r="EV6" i="47" s="1"/>
  <c r="ET6" i="47"/>
  <c r="M6" i="46"/>
  <c r="N6" i="46" s="1"/>
  <c r="L6" i="46"/>
  <c r="J6" i="46"/>
  <c r="K6" i="46" s="1"/>
  <c r="I6" i="46"/>
  <c r="M6" i="45"/>
  <c r="L6" i="45"/>
  <c r="J6" i="45"/>
  <c r="K6" i="45" s="1"/>
  <c r="I6" i="45"/>
  <c r="N6" i="45"/>
  <c r="J8" i="44"/>
  <c r="K8" i="44"/>
  <c r="L8" i="44" s="1"/>
  <c r="L7" i="44"/>
  <c r="K7" i="44"/>
  <c r="J7" i="44"/>
  <c r="AW49" i="43"/>
  <c r="AV49" i="43"/>
  <c r="AU49" i="43"/>
  <c r="AS49" i="43"/>
  <c r="AT49" i="43" s="1"/>
  <c r="AR49" i="43"/>
  <c r="AV48" i="43"/>
  <c r="AW48" i="43" s="1"/>
  <c r="AU48" i="43"/>
  <c r="AT48" i="43"/>
  <c r="AS48" i="43"/>
  <c r="AR48" i="43"/>
  <c r="AV47" i="43"/>
  <c r="AW47" i="43" s="1"/>
  <c r="AU47" i="43"/>
  <c r="AS47" i="43"/>
  <c r="AT47" i="43" s="1"/>
  <c r="AR47" i="43"/>
  <c r="AV46" i="43"/>
  <c r="AW46" i="43" s="1"/>
  <c r="AU46" i="43"/>
  <c r="AT46" i="43"/>
  <c r="AS46" i="43"/>
  <c r="AR46" i="43"/>
  <c r="AW45" i="43"/>
  <c r="AV45" i="43"/>
  <c r="AU45" i="43"/>
  <c r="AT45" i="43"/>
  <c r="AS45" i="43"/>
  <c r="AR45" i="43"/>
  <c r="AV44" i="43"/>
  <c r="AW44" i="43" s="1"/>
  <c r="AU44" i="43"/>
  <c r="AT44" i="43"/>
  <c r="AS44" i="43"/>
  <c r="AR44" i="43"/>
  <c r="AV10" i="43"/>
  <c r="AW10" i="43" s="1"/>
  <c r="AU10" i="43"/>
  <c r="AS10" i="43"/>
  <c r="AT10" i="43" s="1"/>
  <c r="AR10" i="43"/>
  <c r="AV9" i="43"/>
  <c r="AW9" i="43" s="1"/>
  <c r="AU9" i="43"/>
  <c r="AS9" i="43"/>
  <c r="AT9" i="43" s="1"/>
  <c r="AR9" i="43"/>
  <c r="AV8" i="43"/>
  <c r="AW8" i="43" s="1"/>
  <c r="AU8" i="43"/>
  <c r="AT8" i="43"/>
  <c r="AS8" i="43"/>
  <c r="AR8" i="43"/>
  <c r="AW7" i="43"/>
  <c r="AV7" i="43"/>
  <c r="AU7" i="43"/>
  <c r="AS7" i="43"/>
  <c r="AT7" i="43" s="1"/>
  <c r="AR7" i="43"/>
  <c r="AV6" i="43"/>
  <c r="AW6" i="43" s="1"/>
  <c r="AU6" i="43"/>
  <c r="AS6" i="43"/>
  <c r="AT6" i="43" s="1"/>
  <c r="AR6" i="43"/>
  <c r="AV5" i="43"/>
  <c r="AW5" i="43" s="1"/>
  <c r="AU5" i="43"/>
  <c r="AS5" i="43"/>
  <c r="AT5" i="43" s="1"/>
  <c r="AR5" i="43"/>
  <c r="X48" i="43"/>
  <c r="W48" i="43"/>
  <c r="V48" i="43"/>
  <c r="U48" i="43"/>
  <c r="T48" i="43"/>
  <c r="S48" i="43"/>
  <c r="W47" i="43"/>
  <c r="X47" i="43" s="1"/>
  <c r="V47" i="43"/>
  <c r="T47" i="43"/>
  <c r="U47" i="43" s="1"/>
  <c r="S47" i="43"/>
  <c r="W46" i="43"/>
  <c r="X46" i="43" s="1"/>
  <c r="V46" i="43"/>
  <c r="U46" i="43"/>
  <c r="T46" i="43"/>
  <c r="S46" i="43"/>
  <c r="W45" i="43"/>
  <c r="X45" i="43" s="1"/>
  <c r="V45" i="43"/>
  <c r="T45" i="43"/>
  <c r="U45" i="43" s="1"/>
  <c r="S45" i="43"/>
  <c r="X44" i="43"/>
  <c r="W44" i="43"/>
  <c r="V44" i="43"/>
  <c r="U44" i="43"/>
  <c r="T44" i="43"/>
  <c r="S44" i="43"/>
  <c r="W43" i="43"/>
  <c r="X43" i="43" s="1"/>
  <c r="V43" i="43"/>
  <c r="T43" i="43"/>
  <c r="U43" i="43" s="1"/>
  <c r="S43" i="43"/>
  <c r="X7" i="43"/>
  <c r="X8" i="43"/>
  <c r="X9" i="43"/>
  <c r="X10" i="43"/>
  <c r="X11" i="43"/>
  <c r="W7" i="43"/>
  <c r="W8" i="43"/>
  <c r="W9" i="43"/>
  <c r="W10" i="43"/>
  <c r="W11" i="43"/>
  <c r="V7" i="43"/>
  <c r="V8" i="43"/>
  <c r="V9" i="43"/>
  <c r="V10" i="43"/>
  <c r="V11" i="43"/>
  <c r="U7" i="43"/>
  <c r="U8" i="43"/>
  <c r="U9" i="43"/>
  <c r="U10" i="43"/>
  <c r="U11" i="43"/>
  <c r="T7" i="43"/>
  <c r="T8" i="43"/>
  <c r="T9" i="43"/>
  <c r="T10" i="43"/>
  <c r="T11" i="43"/>
  <c r="S7" i="43"/>
  <c r="S8" i="43"/>
  <c r="S9" i="43"/>
  <c r="S10" i="43"/>
  <c r="S11" i="43"/>
  <c r="V6" i="43"/>
  <c r="T6" i="43"/>
  <c r="U6" i="43" s="1"/>
  <c r="S6" i="43"/>
  <c r="W6" i="43"/>
  <c r="X6" i="43" s="1"/>
  <c r="L24" i="42"/>
  <c r="L25" i="42"/>
  <c r="L26" i="42"/>
  <c r="L27" i="42"/>
  <c r="K24" i="42"/>
  <c r="K25" i="42"/>
  <c r="K26" i="42"/>
  <c r="K27" i="42"/>
  <c r="J24" i="42"/>
  <c r="J25" i="42"/>
  <c r="J26" i="42"/>
  <c r="J27" i="42"/>
  <c r="L23" i="42"/>
  <c r="K23" i="42"/>
  <c r="J23" i="42"/>
  <c r="T27" i="41"/>
  <c r="S27" i="41"/>
  <c r="R27" i="41"/>
  <c r="Q27" i="41"/>
  <c r="P27" i="41"/>
  <c r="O27" i="41"/>
  <c r="N27" i="41"/>
  <c r="M27" i="41"/>
  <c r="L27" i="41"/>
  <c r="AG79" i="40"/>
  <c r="AF79" i="40"/>
  <c r="AE79" i="40"/>
  <c r="AC79" i="40"/>
  <c r="AD79" i="40" s="1"/>
  <c r="AB79" i="40"/>
  <c r="AF78" i="40"/>
  <c r="AG78" i="40" s="1"/>
  <c r="AE78" i="40"/>
  <c r="AC78" i="40"/>
  <c r="AD78" i="40" s="1"/>
  <c r="AB78" i="40"/>
  <c r="AF4" i="40"/>
  <c r="AG4" i="40" s="1"/>
  <c r="AE4" i="40"/>
  <c r="AC4" i="40"/>
  <c r="AD4" i="40" s="1"/>
  <c r="AB4" i="40"/>
  <c r="AF3" i="40"/>
  <c r="AG3" i="40" s="1"/>
  <c r="AE3" i="40"/>
  <c r="AC3" i="40"/>
  <c r="AD3" i="40" s="1"/>
  <c r="AB3" i="40"/>
  <c r="AB78" i="39"/>
  <c r="AF79" i="39"/>
  <c r="AG79" i="39" s="1"/>
  <c r="AE79" i="39"/>
  <c r="AC79" i="39"/>
  <c r="AD79" i="39" s="1"/>
  <c r="AB79" i="39"/>
  <c r="AF78" i="39"/>
  <c r="AG78" i="39" s="1"/>
  <c r="AE78" i="39"/>
  <c r="AC78" i="39"/>
  <c r="AD78" i="39" s="1"/>
  <c r="AF4" i="39"/>
  <c r="AE4" i="39"/>
  <c r="AG4" i="39"/>
  <c r="AC4" i="39"/>
  <c r="AD4" i="39" s="1"/>
  <c r="AB4" i="39"/>
  <c r="AF3" i="39"/>
  <c r="AG3" i="39" s="1"/>
  <c r="AE3" i="39"/>
  <c r="AC3" i="39"/>
  <c r="AD3" i="39" s="1"/>
  <c r="AB3" i="39"/>
  <c r="AG15" i="38"/>
  <c r="AG14" i="38"/>
  <c r="AD15" i="38"/>
  <c r="AD14" i="38"/>
  <c r="AF15" i="38"/>
  <c r="AE15" i="38"/>
  <c r="AC15" i="38"/>
  <c r="AB15" i="38"/>
  <c r="AF14" i="38"/>
  <c r="AE14" i="38"/>
  <c r="AC14" i="38"/>
  <c r="AB14" i="38"/>
  <c r="AH7" i="38"/>
  <c r="AI7" i="38" s="1"/>
  <c r="AH6" i="38"/>
  <c r="AE7" i="38"/>
  <c r="AE6" i="38"/>
  <c r="AI6" i="38" s="1"/>
  <c r="AG7" i="38"/>
  <c r="AG6" i="38"/>
  <c r="AD7" i="38"/>
  <c r="AD6" i="38"/>
  <c r="AF7" i="38"/>
  <c r="AF6" i="38"/>
  <c r="AB38" i="37"/>
  <c r="AC38" i="37" s="1"/>
  <c r="AB37" i="37"/>
  <c r="AC37" i="37" s="1"/>
  <c r="AA38" i="37"/>
  <c r="AA37" i="37"/>
  <c r="Z38" i="37"/>
  <c r="Y38" i="37"/>
  <c r="Y37" i="37"/>
  <c r="X38" i="37"/>
  <c r="X37" i="37"/>
  <c r="Z37" i="37"/>
  <c r="AC14" i="37"/>
  <c r="AC13" i="37"/>
  <c r="AB14" i="37"/>
  <c r="AA13" i="37"/>
  <c r="AB13" i="37"/>
  <c r="AA14" i="37"/>
  <c r="Z14" i="37"/>
  <c r="Y14" i="37"/>
  <c r="X14" i="37"/>
  <c r="Z13" i="37"/>
  <c r="Y13" i="37"/>
  <c r="X13" i="37"/>
  <c r="L33" i="36"/>
  <c r="L32" i="36"/>
  <c r="K33" i="36"/>
  <c r="K34" i="36"/>
  <c r="L34" i="36" s="1"/>
  <c r="K32" i="36"/>
  <c r="J33" i="36"/>
  <c r="J34" i="36"/>
  <c r="J32" i="36"/>
  <c r="M27" i="35"/>
  <c r="Q28" i="35"/>
  <c r="R28" i="35" s="1"/>
  <c r="P28" i="35"/>
  <c r="N28" i="35"/>
  <c r="O28" i="35" s="1"/>
  <c r="M28" i="35"/>
  <c r="Q27" i="35"/>
  <c r="R27" i="35" s="1"/>
  <c r="P27" i="35"/>
  <c r="N27" i="35"/>
  <c r="O27" i="35" s="1"/>
  <c r="P20" i="35"/>
  <c r="N20" i="35"/>
  <c r="M20" i="35"/>
  <c r="Q21" i="35"/>
  <c r="R21" i="35" s="1"/>
  <c r="P21" i="35"/>
  <c r="O21" i="35"/>
  <c r="N21" i="35"/>
  <c r="M21" i="35"/>
  <c r="Q20" i="35"/>
  <c r="R20" i="35" s="1"/>
  <c r="O20" i="35"/>
  <c r="K21" i="34"/>
  <c r="K20" i="34"/>
  <c r="J21" i="34"/>
  <c r="J20" i="34"/>
  <c r="I21" i="34"/>
  <c r="I20" i="34"/>
  <c r="AD14" i="81"/>
  <c r="AD13" i="81"/>
  <c r="AC14" i="81"/>
  <c r="AC13" i="81"/>
  <c r="AA13" i="81"/>
  <c r="V14" i="81"/>
  <c r="W14" i="81"/>
  <c r="Z14" i="81"/>
  <c r="AA14" i="81" s="1"/>
  <c r="Z13" i="81"/>
  <c r="Y14" i="81"/>
  <c r="Y13" i="81"/>
  <c r="W13" i="81"/>
  <c r="V13" i="81"/>
  <c r="U14" i="81"/>
  <c r="U13" i="81"/>
  <c r="AB12" i="59" l="1"/>
  <c r="AB13" i="59"/>
  <c r="CI65" i="47"/>
  <c r="CJ65" i="47" s="1"/>
  <c r="CL65" i="47" s="1"/>
  <c r="AI65" i="47"/>
  <c r="AJ65" i="47" s="1"/>
  <c r="AL65" i="47" s="1"/>
  <c r="EI65" i="47"/>
  <c r="EJ65" i="47" s="1"/>
  <c r="EL65" i="47" s="1"/>
  <c r="DI65" i="47"/>
  <c r="DJ65" i="47" s="1"/>
  <c r="DL65" i="47" s="1"/>
  <c r="BI65" i="47"/>
  <c r="BJ65" i="47" s="1"/>
  <c r="BL65" i="47" s="1"/>
  <c r="AE14" i="81"/>
  <c r="AE13" i="81"/>
  <c r="AJ85" i="28"/>
  <c r="AH85" i="28"/>
  <c r="AG85" i="28"/>
  <c r="AE85" i="28"/>
  <c r="AD85" i="28"/>
  <c r="AB85" i="28"/>
  <c r="AA85" i="28"/>
  <c r="AK90" i="28"/>
  <c r="AL90" i="28" s="1"/>
  <c r="AJ90" i="28"/>
  <c r="AH90" i="28"/>
  <c r="AI90" i="28" s="1"/>
  <c r="AG90" i="28"/>
  <c r="AE90" i="28"/>
  <c r="AF90" i="28" s="1"/>
  <c r="AD90" i="28"/>
  <c r="AC90" i="28"/>
  <c r="AB90" i="28"/>
  <c r="AA90" i="28"/>
  <c r="AK89" i="28"/>
  <c r="AL89" i="28" s="1"/>
  <c r="AJ89" i="28"/>
  <c r="AI89" i="28"/>
  <c r="AH89" i="28"/>
  <c r="AG89" i="28"/>
  <c r="AE89" i="28"/>
  <c r="AF89" i="28" s="1"/>
  <c r="AD89" i="28"/>
  <c r="AB89" i="28"/>
  <c r="AC89" i="28" s="1"/>
  <c r="AA89" i="28"/>
  <c r="AK88" i="28"/>
  <c r="AL88" i="28" s="1"/>
  <c r="AJ88" i="28"/>
  <c r="AH88" i="28"/>
  <c r="AI88" i="28" s="1"/>
  <c r="AG88" i="28"/>
  <c r="AE88" i="28"/>
  <c r="AF88" i="28" s="1"/>
  <c r="AD88" i="28"/>
  <c r="AC88" i="28"/>
  <c r="AB88" i="28"/>
  <c r="AA88" i="28"/>
  <c r="AK87" i="28"/>
  <c r="AL87" i="28" s="1"/>
  <c r="AJ87" i="28"/>
  <c r="AI87" i="28"/>
  <c r="AH87" i="28"/>
  <c r="AG87" i="28"/>
  <c r="AE87" i="28"/>
  <c r="AF87" i="28" s="1"/>
  <c r="AD87" i="28"/>
  <c r="AB87" i="28"/>
  <c r="AC87" i="28" s="1"/>
  <c r="AA87" i="28"/>
  <c r="AK86" i="28"/>
  <c r="AL86" i="28" s="1"/>
  <c r="AJ86" i="28"/>
  <c r="AH86" i="28"/>
  <c r="AI86" i="28" s="1"/>
  <c r="AG86" i="28"/>
  <c r="AE86" i="28"/>
  <c r="AF86" i="28" s="1"/>
  <c r="AD86" i="28"/>
  <c r="AC86" i="28"/>
  <c r="AB86" i="28"/>
  <c r="AA86" i="28"/>
  <c r="AK85" i="28"/>
  <c r="AL85" i="28" s="1"/>
  <c r="AI85" i="28"/>
  <c r="AF85" i="28"/>
  <c r="AC85" i="28"/>
  <c r="AA8" i="28"/>
  <c r="AL9" i="28"/>
  <c r="AL10" i="28"/>
  <c r="AL11" i="28"/>
  <c r="AL12" i="28"/>
  <c r="AL13" i="28"/>
  <c r="AK9" i="28"/>
  <c r="AK10" i="28"/>
  <c r="AK11" i="28"/>
  <c r="AK12" i="28"/>
  <c r="AK13" i="28"/>
  <c r="AJ9" i="28"/>
  <c r="AJ10" i="28"/>
  <c r="AJ11" i="28"/>
  <c r="AJ12" i="28"/>
  <c r="AJ13" i="28"/>
  <c r="AI9" i="28"/>
  <c r="AI10" i="28"/>
  <c r="AI11" i="28"/>
  <c r="AI12" i="28"/>
  <c r="AI13" i="28"/>
  <c r="AH9" i="28"/>
  <c r="AH10" i="28"/>
  <c r="AH11" i="28"/>
  <c r="AH12" i="28"/>
  <c r="AH13" i="28"/>
  <c r="AG9" i="28"/>
  <c r="AG10" i="28"/>
  <c r="AG11" i="28"/>
  <c r="AG12" i="28"/>
  <c r="AG13" i="28"/>
  <c r="AF9" i="28"/>
  <c r="AF10" i="28"/>
  <c r="AF11" i="28"/>
  <c r="AF12" i="28"/>
  <c r="AF13" i="28"/>
  <c r="AE9" i="28"/>
  <c r="AE10" i="28"/>
  <c r="AE11" i="28"/>
  <c r="AE12" i="28"/>
  <c r="AE13" i="28"/>
  <c r="AD9" i="28"/>
  <c r="AD10" i="28"/>
  <c r="AD11" i="28"/>
  <c r="AD12" i="28"/>
  <c r="AD13" i="28"/>
  <c r="AC9" i="28"/>
  <c r="AC10" i="28"/>
  <c r="AC11" i="28"/>
  <c r="AC12" i="28"/>
  <c r="AC13" i="28"/>
  <c r="AB9" i="28"/>
  <c r="AB10" i="28"/>
  <c r="AB11" i="28"/>
  <c r="AB12" i="28"/>
  <c r="AB13" i="28"/>
  <c r="AA9" i="28"/>
  <c r="AA10" i="28"/>
  <c r="AA11" i="28"/>
  <c r="AA12" i="28"/>
  <c r="AA13" i="28"/>
  <c r="AL8" i="28"/>
  <c r="AK8" i="28"/>
  <c r="AJ8" i="28"/>
  <c r="AH8" i="28"/>
  <c r="AG8" i="28"/>
  <c r="AE8" i="28"/>
  <c r="AD8" i="28"/>
  <c r="AF8" i="28"/>
  <c r="AB8" i="28"/>
  <c r="AC8" i="28"/>
  <c r="Z37" i="27"/>
  <c r="AA37" i="27" s="1"/>
  <c r="Y37" i="27"/>
  <c r="W37" i="27"/>
  <c r="X37" i="27" s="1"/>
  <c r="V37" i="27"/>
  <c r="Z36" i="27"/>
  <c r="AA36" i="27" s="1"/>
  <c r="Y36" i="27"/>
  <c r="W36" i="27"/>
  <c r="X36" i="27" s="1"/>
  <c r="V36" i="27"/>
  <c r="Z35" i="27"/>
  <c r="AA35" i="27" s="1"/>
  <c r="Y35" i="27"/>
  <c r="W35" i="27"/>
  <c r="X35" i="27" s="1"/>
  <c r="V35" i="27"/>
  <c r="Z34" i="27"/>
  <c r="AA34" i="27" s="1"/>
  <c r="Y34" i="27"/>
  <c r="W34" i="27"/>
  <c r="X34" i="27" s="1"/>
  <c r="V34" i="27"/>
  <c r="Z13" i="27"/>
  <c r="AA13" i="27" s="1"/>
  <c r="Y13" i="27"/>
  <c r="W13" i="27"/>
  <c r="X13" i="27" s="1"/>
  <c r="V13" i="27"/>
  <c r="Z12" i="27"/>
  <c r="AA12" i="27" s="1"/>
  <c r="Y12" i="27"/>
  <c r="W12" i="27"/>
  <c r="X12" i="27" s="1"/>
  <c r="V12" i="27"/>
  <c r="Z11" i="27"/>
  <c r="AA11" i="27" s="1"/>
  <c r="Y11" i="27"/>
  <c r="X11" i="27"/>
  <c r="W11" i="27"/>
  <c r="V11" i="27"/>
  <c r="Z10" i="27"/>
  <c r="AA10" i="27" s="1"/>
  <c r="Y10" i="27"/>
  <c r="W10" i="27"/>
  <c r="X10" i="27" s="1"/>
  <c r="V10" i="27"/>
  <c r="T24" i="26"/>
  <c r="U24" i="26" s="1"/>
  <c r="S24" i="26"/>
  <c r="R24" i="26"/>
  <c r="Q24" i="26"/>
  <c r="P24" i="26"/>
  <c r="T23" i="26"/>
  <c r="U23" i="26" s="1"/>
  <c r="S23" i="26"/>
  <c r="Q23" i="26"/>
  <c r="R23" i="26" s="1"/>
  <c r="P23" i="26"/>
  <c r="U22" i="26"/>
  <c r="T22" i="26"/>
  <c r="S22" i="26"/>
  <c r="Q22" i="26"/>
  <c r="R22" i="26" s="1"/>
  <c r="P22" i="26"/>
  <c r="T21" i="26"/>
  <c r="U21" i="26" s="1"/>
  <c r="S21" i="26"/>
  <c r="Q21" i="26"/>
  <c r="R21" i="26" s="1"/>
  <c r="P21" i="26"/>
  <c r="T14" i="23"/>
  <c r="U14" i="23" s="1"/>
  <c r="S14" i="23"/>
  <c r="P14" i="23"/>
  <c r="Q14" i="23" s="1"/>
  <c r="O14" i="23"/>
  <c r="T13" i="23"/>
  <c r="U13" i="23" s="1"/>
  <c r="S13" i="23"/>
  <c r="P13" i="23"/>
  <c r="Q13" i="23" s="1"/>
  <c r="O13" i="23"/>
  <c r="T12" i="23"/>
  <c r="U12" i="23" s="1"/>
  <c r="S12" i="23"/>
  <c r="P12" i="23"/>
  <c r="Q12" i="23" s="1"/>
  <c r="O12" i="23"/>
  <c r="U11" i="23"/>
  <c r="T11" i="23"/>
  <c r="S11" i="23"/>
  <c r="P11" i="23"/>
  <c r="Q11" i="23" s="1"/>
  <c r="O11" i="23"/>
  <c r="T10" i="23"/>
  <c r="U10" i="23" s="1"/>
  <c r="S10" i="23"/>
  <c r="P10" i="23"/>
  <c r="Q10" i="23" s="1"/>
  <c r="O10" i="23"/>
  <c r="V24" i="18"/>
  <c r="U24" i="18"/>
  <c r="T24" i="18"/>
  <c r="S24" i="18"/>
  <c r="R24" i="18"/>
  <c r="Q24" i="18"/>
  <c r="V20" i="18"/>
  <c r="V21" i="18"/>
  <c r="V22" i="18"/>
  <c r="V23" i="18"/>
  <c r="U20" i="18"/>
  <c r="U21" i="18"/>
  <c r="U22" i="18"/>
  <c r="U23" i="18"/>
  <c r="T20" i="18"/>
  <c r="T21" i="18"/>
  <c r="T22" i="18"/>
  <c r="T23" i="18"/>
  <c r="S20" i="18"/>
  <c r="S21" i="18"/>
  <c r="S22" i="18"/>
  <c r="S23" i="18"/>
  <c r="R20" i="18"/>
  <c r="R21" i="18"/>
  <c r="R22" i="18"/>
  <c r="R23" i="18"/>
  <c r="Q22" i="18"/>
  <c r="Q23" i="18"/>
  <c r="Q21" i="18"/>
  <c r="Q20" i="18"/>
  <c r="U19" i="18"/>
  <c r="V19" i="18" s="1"/>
  <c r="T19" i="18"/>
  <c r="S19" i="18"/>
  <c r="R19" i="18"/>
  <c r="Q19" i="18"/>
  <c r="S21" i="17"/>
  <c r="R21" i="17"/>
  <c r="Q21" i="17"/>
  <c r="S20" i="17"/>
  <c r="R20" i="17"/>
  <c r="Q20" i="17"/>
  <c r="Y39" i="16"/>
  <c r="Z39" i="16" s="1"/>
  <c r="X39" i="16"/>
  <c r="Z38" i="16"/>
  <c r="Y38" i="16"/>
  <c r="X38" i="16"/>
  <c r="Y16" i="16"/>
  <c r="Z16" i="16" s="1"/>
  <c r="X16" i="16"/>
  <c r="Z15" i="16"/>
  <c r="Y15" i="16"/>
  <c r="X15" i="16"/>
  <c r="X9" i="16"/>
  <c r="Y10" i="16"/>
  <c r="Z10" i="16" s="1"/>
  <c r="X10" i="16"/>
  <c r="Y9" i="16"/>
  <c r="Z9" i="16" s="1"/>
  <c r="R13" i="15"/>
  <c r="S13" i="15" s="1"/>
  <c r="Q13" i="15"/>
  <c r="R12" i="15"/>
  <c r="S12" i="15" s="1"/>
  <c r="Q12" i="15"/>
  <c r="R8" i="15"/>
  <c r="S8" i="15" s="1"/>
  <c r="Q8" i="15"/>
  <c r="S7" i="15"/>
  <c r="R7" i="15"/>
  <c r="Q7" i="15"/>
  <c r="AI52" i="14"/>
  <c r="AJ52" i="14" s="1"/>
  <c r="AH52" i="14"/>
  <c r="AF52" i="14"/>
  <c r="AG52" i="14" s="1"/>
  <c r="AE52" i="14"/>
  <c r="AI51" i="14"/>
  <c r="AJ51" i="14" s="1"/>
  <c r="AH51" i="14"/>
  <c r="AF51" i="14"/>
  <c r="AG51" i="14" s="1"/>
  <c r="AE51" i="14"/>
  <c r="AJ50" i="14"/>
  <c r="AI50" i="14"/>
  <c r="AH50" i="14"/>
  <c r="AG50" i="14"/>
  <c r="AF50" i="14"/>
  <c r="AE50" i="14"/>
  <c r="AI43" i="14"/>
  <c r="AJ43" i="14" s="1"/>
  <c r="AH43" i="14"/>
  <c r="AG43" i="14"/>
  <c r="AF43" i="14"/>
  <c r="AE43" i="14"/>
  <c r="AI42" i="14"/>
  <c r="AJ42" i="14" s="1"/>
  <c r="AH42" i="14"/>
  <c r="AF42" i="14"/>
  <c r="AG42" i="14" s="1"/>
  <c r="AE42" i="14"/>
  <c r="AI41" i="14"/>
  <c r="AJ41" i="14" s="1"/>
  <c r="AH41" i="14"/>
  <c r="AG41" i="14"/>
  <c r="AF41" i="14"/>
  <c r="AE41" i="14"/>
  <c r="AI22" i="14"/>
  <c r="AJ22" i="14" s="1"/>
  <c r="AH22" i="14"/>
  <c r="AF22" i="14"/>
  <c r="AG22" i="14" s="1"/>
  <c r="AE22" i="14"/>
  <c r="AI21" i="14"/>
  <c r="AJ21" i="14" s="1"/>
  <c r="AH21" i="14"/>
  <c r="AF21" i="14"/>
  <c r="AG21" i="14" s="1"/>
  <c r="AE21" i="14"/>
  <c r="AJ20" i="14"/>
  <c r="AI20" i="14"/>
  <c r="AH20" i="14"/>
  <c r="AG20" i="14"/>
  <c r="AF20" i="14"/>
  <c r="AE20" i="14"/>
  <c r="AI9" i="14"/>
  <c r="AJ9" i="14" s="1"/>
  <c r="AH9" i="14"/>
  <c r="AF9" i="14"/>
  <c r="AG9" i="14" s="1"/>
  <c r="AE9" i="14"/>
  <c r="AI8" i="14"/>
  <c r="AJ8" i="14" s="1"/>
  <c r="AH8" i="14"/>
  <c r="AF8" i="14"/>
  <c r="AG8" i="14" s="1"/>
  <c r="AE8" i="14"/>
  <c r="AJ7" i="14"/>
  <c r="AI7" i="14"/>
  <c r="AH7" i="14"/>
  <c r="AG7" i="14"/>
  <c r="AF7" i="14"/>
  <c r="AE7" i="14"/>
  <c r="Y80" i="13"/>
  <c r="Z80" i="13" s="1"/>
  <c r="X80" i="13"/>
  <c r="W80" i="13"/>
  <c r="V80" i="13"/>
  <c r="U80" i="13"/>
  <c r="Y79" i="13"/>
  <c r="Z79" i="13" s="1"/>
  <c r="X79" i="13"/>
  <c r="V79" i="13"/>
  <c r="W79" i="13" s="1"/>
  <c r="U79" i="13"/>
  <c r="Y78" i="13"/>
  <c r="Z78" i="13" s="1"/>
  <c r="X78" i="13"/>
  <c r="W78" i="13"/>
  <c r="V78" i="13"/>
  <c r="U78" i="13"/>
  <c r="Y54" i="13"/>
  <c r="Z54" i="13" s="1"/>
  <c r="X54" i="13"/>
  <c r="V54" i="13"/>
  <c r="W54" i="13" s="1"/>
  <c r="U54" i="13"/>
  <c r="Y53" i="13"/>
  <c r="Z53" i="13" s="1"/>
  <c r="X53" i="13"/>
  <c r="V53" i="13"/>
  <c r="W53" i="13" s="1"/>
  <c r="U53" i="13"/>
  <c r="Y52" i="13"/>
  <c r="Z52" i="13" s="1"/>
  <c r="X52" i="13"/>
  <c r="W52" i="13"/>
  <c r="V52" i="13"/>
  <c r="U52" i="13"/>
  <c r="Y27" i="13"/>
  <c r="Z27" i="13" s="1"/>
  <c r="X27" i="13"/>
  <c r="W27" i="13"/>
  <c r="V27" i="13"/>
  <c r="U27" i="13"/>
  <c r="Y26" i="13"/>
  <c r="Z26" i="13" s="1"/>
  <c r="X26" i="13"/>
  <c r="W26" i="13"/>
  <c r="V26" i="13"/>
  <c r="U26" i="13"/>
  <c r="Y25" i="13"/>
  <c r="Z25" i="13" s="1"/>
  <c r="X25" i="13"/>
  <c r="W25" i="13"/>
  <c r="V25" i="13"/>
  <c r="U25" i="13"/>
  <c r="V15" i="13"/>
  <c r="Y16" i="13"/>
  <c r="Z16" i="13" s="1"/>
  <c r="X16" i="13"/>
  <c r="V16" i="13"/>
  <c r="W16" i="13" s="1"/>
  <c r="U16" i="13"/>
  <c r="Y15" i="13"/>
  <c r="Z15" i="13" s="1"/>
  <c r="X15" i="13"/>
  <c r="W15" i="13"/>
  <c r="U15" i="13"/>
  <c r="Z14" i="13"/>
  <c r="Y14" i="13"/>
  <c r="X14" i="13"/>
  <c r="V14" i="13"/>
  <c r="W14" i="13" s="1"/>
  <c r="U14" i="13"/>
  <c r="AQ58" i="11"/>
  <c r="AR58" i="11" s="1"/>
  <c r="AP58" i="11"/>
  <c r="AO58" i="11"/>
  <c r="AN58" i="11"/>
  <c r="AM58" i="11"/>
  <c r="AQ57" i="11"/>
  <c r="AR57" i="11" s="1"/>
  <c r="AP57" i="11"/>
  <c r="AO57" i="11"/>
  <c r="AN57" i="11"/>
  <c r="AM57" i="11"/>
  <c r="AQ56" i="11"/>
  <c r="AR56" i="11" s="1"/>
  <c r="AP56" i="11"/>
  <c r="AO56" i="11"/>
  <c r="AN56" i="11"/>
  <c r="AM56" i="11"/>
  <c r="AQ44" i="11"/>
  <c r="AR44" i="11" s="1"/>
  <c r="AP44" i="11"/>
  <c r="AN44" i="11"/>
  <c r="AO44" i="11" s="1"/>
  <c r="AM44" i="11"/>
  <c r="AQ43" i="11"/>
  <c r="AR43" i="11" s="1"/>
  <c r="AP43" i="11"/>
  <c r="AN43" i="11"/>
  <c r="AO43" i="11" s="1"/>
  <c r="AM43" i="11"/>
  <c r="AQ42" i="11"/>
  <c r="AR42" i="11" s="1"/>
  <c r="AP42" i="11"/>
  <c r="AO42" i="11"/>
  <c r="AN42" i="11"/>
  <c r="AM42" i="11"/>
  <c r="AQ17" i="11"/>
  <c r="AR17" i="11" s="1"/>
  <c r="AP17" i="11"/>
  <c r="AN17" i="11"/>
  <c r="AO17" i="11" s="1"/>
  <c r="AM17" i="11"/>
  <c r="AQ16" i="11"/>
  <c r="AR16" i="11" s="1"/>
  <c r="AP16" i="11"/>
  <c r="AN16" i="11"/>
  <c r="AO16" i="11" s="1"/>
  <c r="AM16" i="11"/>
  <c r="AR15" i="11"/>
  <c r="AQ15" i="11"/>
  <c r="AP15" i="11"/>
  <c r="AO15" i="11"/>
  <c r="AN15" i="11"/>
  <c r="AM15" i="11"/>
  <c r="AR4" i="11"/>
  <c r="AQ4" i="11"/>
  <c r="AP4" i="11"/>
  <c r="AQ6" i="11"/>
  <c r="AR6" i="11" s="1"/>
  <c r="AP6" i="11"/>
  <c r="AN6" i="11"/>
  <c r="AO6" i="11" s="1"/>
  <c r="AM6" i="11"/>
  <c r="AQ5" i="11"/>
  <c r="AR5" i="11" s="1"/>
  <c r="AP5" i="11"/>
  <c r="AN5" i="11"/>
  <c r="AO5" i="11" s="1"/>
  <c r="AM5" i="11"/>
  <c r="AO4" i="11"/>
  <c r="AN4" i="11"/>
  <c r="AM4" i="11"/>
  <c r="BA85" i="10"/>
  <c r="BB85" i="10" s="1"/>
  <c r="AZ85" i="10"/>
  <c r="AY85" i="10"/>
  <c r="AX85" i="10"/>
  <c r="AW85" i="10"/>
  <c r="BA84" i="10"/>
  <c r="BB84" i="10" s="1"/>
  <c r="AZ84" i="10"/>
  <c r="AX84" i="10"/>
  <c r="AY84" i="10" s="1"/>
  <c r="AW84" i="10"/>
  <c r="BA83" i="10"/>
  <c r="BB83" i="10" s="1"/>
  <c r="AZ83" i="10"/>
  <c r="AY83" i="10"/>
  <c r="AX83" i="10"/>
  <c r="AW83" i="10"/>
  <c r="BB82" i="10"/>
  <c r="BA82" i="10"/>
  <c r="AZ82" i="10"/>
  <c r="AX82" i="10"/>
  <c r="AY82" i="10" s="1"/>
  <c r="AW82" i="10"/>
  <c r="BB81" i="10"/>
  <c r="BA81" i="10"/>
  <c r="AZ81" i="10"/>
  <c r="AX81" i="10"/>
  <c r="AY81" i="10" s="1"/>
  <c r="AW81" i="10"/>
  <c r="BA80" i="10"/>
  <c r="BB80" i="10" s="1"/>
  <c r="AZ80" i="10"/>
  <c r="AX80" i="10"/>
  <c r="AY80" i="10" s="1"/>
  <c r="AW80" i="10"/>
  <c r="BA47" i="10"/>
  <c r="BB47" i="10" s="1"/>
  <c r="AZ47" i="10"/>
  <c r="AX47" i="10"/>
  <c r="AY47" i="10" s="1"/>
  <c r="AW47" i="10"/>
  <c r="BA46" i="10"/>
  <c r="BB46" i="10" s="1"/>
  <c r="AZ46" i="10"/>
  <c r="AX46" i="10"/>
  <c r="AY46" i="10" s="1"/>
  <c r="AW46" i="10"/>
  <c r="BB45" i="10"/>
  <c r="BA45" i="10"/>
  <c r="AZ45" i="10"/>
  <c r="AY45" i="10"/>
  <c r="AX45" i="10"/>
  <c r="AW45" i="10"/>
  <c r="BA44" i="10"/>
  <c r="BB44" i="10" s="1"/>
  <c r="AZ44" i="10"/>
  <c r="AX44" i="10"/>
  <c r="AY44" i="10" s="1"/>
  <c r="AW44" i="10"/>
  <c r="BA43" i="10"/>
  <c r="BB43" i="10" s="1"/>
  <c r="AZ43" i="10"/>
  <c r="AX43" i="10"/>
  <c r="AY43" i="10" s="1"/>
  <c r="AW43" i="10"/>
  <c r="BA42" i="10"/>
  <c r="BB42" i="10" s="1"/>
  <c r="AZ42" i="10"/>
  <c r="AX42" i="10"/>
  <c r="AY42" i="10" s="1"/>
  <c r="AW42" i="10"/>
  <c r="BA9" i="10"/>
  <c r="BB9" i="10" s="1"/>
  <c r="AZ9" i="10"/>
  <c r="AX9" i="10"/>
  <c r="AY9" i="10" s="1"/>
  <c r="AW9" i="10"/>
  <c r="BA8" i="10"/>
  <c r="BB8" i="10" s="1"/>
  <c r="AZ8" i="10"/>
  <c r="AX8" i="10"/>
  <c r="AY8" i="10" s="1"/>
  <c r="AW8" i="10"/>
  <c r="BA7" i="10"/>
  <c r="BB7" i="10" s="1"/>
  <c r="AZ7" i="10"/>
  <c r="AX7" i="10"/>
  <c r="AY7" i="10" s="1"/>
  <c r="AW7" i="10"/>
  <c r="BA6" i="10"/>
  <c r="BB6" i="10" s="1"/>
  <c r="AZ6" i="10"/>
  <c r="AX6" i="10"/>
  <c r="AY6" i="10" s="1"/>
  <c r="AW6" i="10"/>
  <c r="BA5" i="10"/>
  <c r="BB5" i="10" s="1"/>
  <c r="AZ5" i="10"/>
  <c r="AX5" i="10"/>
  <c r="AY5" i="10" s="1"/>
  <c r="AW5" i="10"/>
  <c r="BA4" i="10"/>
  <c r="BB4" i="10" s="1"/>
  <c r="AZ4" i="10"/>
  <c r="AX4" i="10"/>
  <c r="AY4" i="10" s="1"/>
  <c r="AW4" i="10"/>
  <c r="Z85" i="10"/>
  <c r="AA85" i="10" s="1"/>
  <c r="Y85" i="10"/>
  <c r="W85" i="10"/>
  <c r="X85" i="10" s="1"/>
  <c r="V85" i="10"/>
  <c r="Z84" i="10"/>
  <c r="AA84" i="10" s="1"/>
  <c r="Y84" i="10"/>
  <c r="W84" i="10"/>
  <c r="X84" i="10" s="1"/>
  <c r="V84" i="10"/>
  <c r="Z83" i="10"/>
  <c r="AA83" i="10" s="1"/>
  <c r="Y83" i="10"/>
  <c r="W83" i="10"/>
  <c r="X83" i="10" s="1"/>
  <c r="V83" i="10"/>
  <c r="Z82" i="10"/>
  <c r="AA82" i="10" s="1"/>
  <c r="Y82" i="10"/>
  <c r="W82" i="10"/>
  <c r="X82" i="10" s="1"/>
  <c r="V82" i="10"/>
  <c r="Z81" i="10"/>
  <c r="AA81" i="10" s="1"/>
  <c r="Y81" i="10"/>
  <c r="W81" i="10"/>
  <c r="X81" i="10" s="1"/>
  <c r="V81" i="10"/>
  <c r="Z80" i="10"/>
  <c r="AA80" i="10" s="1"/>
  <c r="Y80" i="10"/>
  <c r="W80" i="10"/>
  <c r="X80" i="10" s="1"/>
  <c r="V80" i="10"/>
  <c r="Y42" i="10"/>
  <c r="V42" i="10"/>
  <c r="Z47" i="10"/>
  <c r="AA47" i="10" s="1"/>
  <c r="Y47" i="10"/>
  <c r="X47" i="10"/>
  <c r="W47" i="10"/>
  <c r="V47" i="10"/>
  <c r="Z46" i="10"/>
  <c r="AA46" i="10" s="1"/>
  <c r="Y46" i="10"/>
  <c r="W46" i="10"/>
  <c r="X46" i="10" s="1"/>
  <c r="V46" i="10"/>
  <c r="Z45" i="10"/>
  <c r="AA45" i="10" s="1"/>
  <c r="Y45" i="10"/>
  <c r="W45" i="10"/>
  <c r="X45" i="10" s="1"/>
  <c r="V45" i="10"/>
  <c r="Z44" i="10"/>
  <c r="AA44" i="10" s="1"/>
  <c r="Y44" i="10"/>
  <c r="W44" i="10"/>
  <c r="X44" i="10" s="1"/>
  <c r="V44" i="10"/>
  <c r="AA43" i="10"/>
  <c r="Z43" i="10"/>
  <c r="Y43" i="10"/>
  <c r="W43" i="10"/>
  <c r="X43" i="10" s="1"/>
  <c r="V43" i="10"/>
  <c r="Z42" i="10"/>
  <c r="AA42" i="10" s="1"/>
  <c r="W42" i="10"/>
  <c r="X42" i="10" s="1"/>
  <c r="Z6" i="10"/>
  <c r="AA6" i="10" s="1"/>
  <c r="Z4" i="10"/>
  <c r="AA4" i="10" s="1"/>
  <c r="Y5" i="10"/>
  <c r="Y4" i="10"/>
  <c r="W5" i="10"/>
  <c r="X5" i="10" s="1"/>
  <c r="W4" i="10"/>
  <c r="X4" i="10" s="1"/>
  <c r="W6" i="10"/>
  <c r="X6" i="10" s="1"/>
  <c r="V6" i="10"/>
  <c r="V5" i="10"/>
  <c r="V4" i="10"/>
  <c r="AA7" i="10"/>
  <c r="AA8" i="10"/>
  <c r="AA9" i="10"/>
  <c r="Z5" i="10"/>
  <c r="AA5" i="10" s="1"/>
  <c r="Z7" i="10"/>
  <c r="Z8" i="10"/>
  <c r="Z9" i="10"/>
  <c r="Y6" i="10"/>
  <c r="Y7" i="10"/>
  <c r="Y8" i="10"/>
  <c r="Y9" i="10"/>
  <c r="W7" i="10"/>
  <c r="X7" i="10" s="1"/>
  <c r="W8" i="10"/>
  <c r="X8" i="10" s="1"/>
  <c r="W9" i="10"/>
  <c r="X9" i="10" s="1"/>
  <c r="V7" i="10"/>
  <c r="V8" i="10"/>
  <c r="V9" i="10"/>
  <c r="Z16" i="9"/>
  <c r="AA16" i="9" s="1"/>
  <c r="Y16" i="9"/>
  <c r="Z15" i="9"/>
  <c r="AA15" i="9" s="1"/>
  <c r="Y15" i="9"/>
  <c r="Z7" i="9"/>
  <c r="AA7" i="9" s="1"/>
  <c r="Y7" i="9"/>
  <c r="Z6" i="9"/>
  <c r="AA6" i="9" s="1"/>
  <c r="Y6" i="9"/>
  <c r="AA6" i="8"/>
  <c r="AB6" i="8" s="1"/>
  <c r="Z18" i="8"/>
  <c r="AA20" i="8"/>
  <c r="AB20" i="8" s="1"/>
  <c r="Z20" i="8"/>
  <c r="AB19" i="8"/>
  <c r="AA19" i="8"/>
  <c r="Z19" i="8"/>
  <c r="AA18" i="8"/>
  <c r="AB18" i="8" s="1"/>
  <c r="AA17" i="8"/>
  <c r="AB17" i="8" s="1"/>
  <c r="Z17" i="8"/>
  <c r="AA16" i="8"/>
  <c r="AB16" i="8" s="1"/>
  <c r="Z16" i="8"/>
  <c r="AB15" i="8"/>
  <c r="AA15" i="8"/>
  <c r="Z15" i="8"/>
  <c r="AA9" i="8"/>
  <c r="AB9" i="8" s="1"/>
  <c r="Z9" i="8"/>
  <c r="AA8" i="8"/>
  <c r="AB8" i="8" s="1"/>
  <c r="Z8" i="8"/>
  <c r="AA7" i="8"/>
  <c r="AB7" i="8" s="1"/>
  <c r="Z7" i="8"/>
  <c r="Z6" i="8"/>
  <c r="AB5" i="8"/>
  <c r="AA5" i="8"/>
  <c r="Z5" i="8"/>
  <c r="N35" i="7"/>
  <c r="M35" i="7"/>
  <c r="L31" i="7"/>
  <c r="L32" i="7"/>
  <c r="L33" i="7"/>
  <c r="L34" i="7"/>
  <c r="L35" i="7"/>
  <c r="M34" i="7"/>
  <c r="N34" i="7" s="1"/>
  <c r="M33" i="7"/>
  <c r="N33" i="7" s="1"/>
  <c r="M31" i="7"/>
  <c r="N31" i="7" s="1"/>
  <c r="L30" i="7"/>
  <c r="M32" i="7"/>
  <c r="N32" i="7" s="1"/>
  <c r="L29" i="5"/>
  <c r="M29" i="5" s="1"/>
  <c r="L28" i="5"/>
  <c r="M28" i="5" s="1"/>
  <c r="L27" i="5"/>
  <c r="M27" i="5" s="1"/>
  <c r="L30" i="5"/>
  <c r="M30" i="5" s="1"/>
  <c r="K30" i="5"/>
  <c r="L26" i="5"/>
  <c r="M26" i="5" s="1"/>
  <c r="K26" i="5"/>
  <c r="Q15" i="6"/>
  <c r="R15" i="6" s="1"/>
  <c r="P15" i="6"/>
  <c r="Q14" i="6"/>
  <c r="R14" i="6" s="1"/>
  <c r="P14" i="6"/>
  <c r="Q13" i="6"/>
  <c r="R13" i="6" s="1"/>
  <c r="P13" i="6"/>
  <c r="Q12" i="6"/>
  <c r="R12" i="6" s="1"/>
  <c r="P12" i="6"/>
  <c r="Q11" i="6"/>
  <c r="R11" i="6" s="1"/>
  <c r="P11" i="6"/>
  <c r="Q10" i="6"/>
  <c r="R10" i="6" s="1"/>
  <c r="P10" i="6"/>
  <c r="Q7" i="4"/>
  <c r="P7" i="4"/>
  <c r="O7" i="4"/>
  <c r="P12" i="4"/>
  <c r="Q12" i="4" s="1"/>
  <c r="O12" i="4"/>
  <c r="Q11" i="4"/>
  <c r="P11" i="4"/>
  <c r="O11" i="4"/>
  <c r="P10" i="4"/>
  <c r="Q10" i="4" s="1"/>
  <c r="O10" i="4"/>
  <c r="P9" i="4"/>
  <c r="Q9" i="4" s="1"/>
  <c r="O9" i="4"/>
  <c r="P8" i="4"/>
  <c r="Q8" i="4" s="1"/>
  <c r="O8" i="4"/>
  <c r="AD27" i="3"/>
  <c r="AE27" i="3" s="1"/>
  <c r="AC27" i="3"/>
  <c r="AA27" i="3"/>
  <c r="AB27" i="3" s="1"/>
  <c r="Z27" i="3"/>
  <c r="AD26" i="3"/>
  <c r="AE26" i="3" s="1"/>
  <c r="AC26" i="3"/>
  <c r="AA26" i="3"/>
  <c r="AB26" i="3" s="1"/>
  <c r="Z26" i="3"/>
  <c r="AD9" i="3"/>
  <c r="AE9" i="3" s="1"/>
  <c r="AD8" i="3"/>
  <c r="AE8" i="3" s="1"/>
  <c r="AC9" i="3"/>
  <c r="AC8" i="3"/>
  <c r="AA9" i="3"/>
  <c r="AB9" i="3"/>
  <c r="AA8" i="3"/>
  <c r="Z9" i="3"/>
  <c r="Z8" i="3"/>
  <c r="AB8" i="3"/>
  <c r="P13" i="2"/>
  <c r="Q13" i="2" s="1"/>
  <c r="P12" i="2"/>
  <c r="Q12" i="2" s="1"/>
  <c r="P11" i="2"/>
  <c r="Q11" i="2" s="1"/>
  <c r="Q10" i="2"/>
  <c r="P10" i="2"/>
  <c r="P9" i="2"/>
  <c r="Q9" i="2" s="1"/>
  <c r="P8" i="2"/>
  <c r="Q8" i="2" s="1"/>
  <c r="Q9" i="1"/>
  <c r="Q10" i="1"/>
  <c r="Q11" i="1"/>
  <c r="Q12" i="1"/>
  <c r="Q13" i="1"/>
  <c r="Q14" i="1"/>
  <c r="Q8" i="1"/>
  <c r="O9" i="2"/>
  <c r="O13" i="2"/>
  <c r="O12" i="2"/>
  <c r="O11" i="2"/>
  <c r="O10" i="2"/>
  <c r="O8" i="2"/>
  <c r="P9" i="1"/>
  <c r="P10" i="1"/>
  <c r="P11" i="1"/>
  <c r="P12" i="1"/>
  <c r="P13" i="1"/>
  <c r="P14" i="1"/>
  <c r="P8" i="1"/>
  <c r="O9" i="1"/>
  <c r="O10" i="1"/>
  <c r="O11" i="1"/>
  <c r="O12" i="1"/>
  <c r="O13" i="1"/>
  <c r="O14" i="1"/>
  <c r="O8" i="1"/>
  <c r="AI8" i="28" l="1"/>
  <c r="M30" i="7"/>
  <c r="N30" i="7" s="1"/>
  <c r="K27" i="5"/>
  <c r="K28" i="5"/>
  <c r="K29" i="5"/>
  <c r="G34" i="23"/>
  <c r="G33" i="23"/>
  <c r="G32" i="23"/>
  <c r="G31" i="23"/>
  <c r="G30" i="23"/>
  <c r="G29" i="23"/>
  <c r="G28" i="23"/>
  <c r="G27" i="23"/>
  <c r="G26" i="23"/>
  <c r="G25" i="23"/>
  <c r="G24" i="23"/>
  <c r="G23" i="23"/>
  <c r="G22" i="23"/>
  <c r="G21" i="23"/>
  <c r="G20" i="23"/>
  <c r="G19" i="23"/>
  <c r="G18" i="23"/>
  <c r="G17" i="23"/>
  <c r="G16" i="23"/>
  <c r="G15" i="23"/>
  <c r="G14" i="23"/>
  <c r="G13" i="23"/>
  <c r="G12" i="23"/>
  <c r="G11" i="23"/>
  <c r="G10" i="23"/>
  <c r="G9" i="23"/>
  <c r="G8" i="23"/>
  <c r="G7" i="23"/>
  <c r="E7" i="23"/>
  <c r="G6" i="23"/>
  <c r="G5" i="23"/>
  <c r="O45" i="74" l="1"/>
  <c r="N45" i="74"/>
  <c r="M45" i="74"/>
  <c r="P45" i="74" s="1"/>
  <c r="O44" i="74"/>
  <c r="N44" i="74"/>
  <c r="P44" i="74" s="1"/>
  <c r="M44" i="74"/>
  <c r="O43" i="74"/>
  <c r="P43" i="74" s="1"/>
  <c r="N43" i="74"/>
  <c r="M43" i="74"/>
  <c r="O42" i="74"/>
  <c r="N42" i="74"/>
  <c r="P42" i="74" s="1"/>
  <c r="M42" i="74"/>
  <c r="O41" i="74"/>
  <c r="P41" i="74" s="1"/>
  <c r="N41" i="74"/>
  <c r="M41" i="74"/>
  <c r="P40" i="74"/>
  <c r="O40" i="74"/>
  <c r="N40" i="74"/>
  <c r="M40" i="74"/>
  <c r="I43" i="83" l="1"/>
  <c r="J43" i="83" s="1"/>
  <c r="M43" i="83" s="1"/>
  <c r="J42" i="83"/>
  <c r="M42" i="83" s="1"/>
  <c r="I42" i="83"/>
  <c r="J41" i="83"/>
  <c r="M41" i="83" s="1"/>
  <c r="I41" i="83"/>
  <c r="I40" i="83"/>
  <c r="J40" i="83" s="1"/>
  <c r="M40" i="83" s="1"/>
  <c r="I39" i="83"/>
  <c r="J39" i="83" s="1"/>
  <c r="M39" i="83" s="1"/>
  <c r="I38" i="83"/>
  <c r="J38" i="83" s="1"/>
  <c r="G37" i="83"/>
  <c r="F37" i="83"/>
  <c r="F36" i="83"/>
  <c r="F35" i="83"/>
  <c r="M34" i="83"/>
  <c r="J34" i="83"/>
  <c r="I34" i="83"/>
  <c r="J33" i="83"/>
  <c r="M33" i="83" s="1"/>
  <c r="I33" i="83"/>
  <c r="I32" i="83"/>
  <c r="J32" i="83" s="1"/>
  <c r="M32" i="83" s="1"/>
  <c r="I31" i="83"/>
  <c r="J31" i="83" s="1"/>
  <c r="M31" i="83" s="1"/>
  <c r="I30" i="83"/>
  <c r="J30" i="83" s="1"/>
  <c r="M30" i="83" s="1"/>
  <c r="I29" i="83"/>
  <c r="J29" i="83" s="1"/>
  <c r="F28" i="83"/>
  <c r="F27" i="83"/>
  <c r="G28" i="83" s="1"/>
  <c r="F26" i="83"/>
  <c r="J25" i="83"/>
  <c r="M25" i="83" s="1"/>
  <c r="I25" i="83"/>
  <c r="I24" i="83"/>
  <c r="J24" i="83" s="1"/>
  <c r="M24" i="83" s="1"/>
  <c r="I23" i="83"/>
  <c r="J23" i="83" s="1"/>
  <c r="M23" i="83" s="1"/>
  <c r="I22" i="83"/>
  <c r="J22" i="83" s="1"/>
  <c r="M22" i="83" s="1"/>
  <c r="J21" i="83"/>
  <c r="M21" i="83" s="1"/>
  <c r="I21" i="83"/>
  <c r="I20" i="83"/>
  <c r="J20" i="83" s="1"/>
  <c r="M20" i="83" s="1"/>
  <c r="F19" i="83"/>
  <c r="F18" i="83"/>
  <c r="F17" i="83"/>
  <c r="G19" i="83" s="1"/>
  <c r="I16" i="83"/>
  <c r="J16" i="83" s="1"/>
  <c r="M16" i="83" s="1"/>
  <c r="I15" i="83"/>
  <c r="J15" i="83" s="1"/>
  <c r="M15" i="83" s="1"/>
  <c r="J14" i="83"/>
  <c r="M14" i="83" s="1"/>
  <c r="I14" i="83"/>
  <c r="J13" i="83"/>
  <c r="M13" i="83" s="1"/>
  <c r="I13" i="83"/>
  <c r="I12" i="83"/>
  <c r="J12" i="83" s="1"/>
  <c r="M12" i="83" s="1"/>
  <c r="I11" i="83"/>
  <c r="J11" i="83" s="1"/>
  <c r="G10" i="83"/>
  <c r="F10" i="83"/>
  <c r="F9" i="83"/>
  <c r="F8" i="83"/>
  <c r="E5" i="83"/>
  <c r="K31" i="83" l="1"/>
  <c r="M29" i="83"/>
  <c r="M38" i="83"/>
  <c r="K40" i="83"/>
  <c r="K13" i="83"/>
  <c r="M11" i="83"/>
  <c r="E32" i="81" l="1"/>
  <c r="F32" i="81" s="1"/>
  <c r="H32" i="81" s="1"/>
  <c r="E31" i="81"/>
  <c r="F31" i="81" s="1"/>
  <c r="H31" i="81" s="1"/>
  <c r="F30" i="81"/>
  <c r="H30" i="81" s="1"/>
  <c r="E30" i="81"/>
  <c r="E29" i="81"/>
  <c r="F29" i="81" s="1"/>
  <c r="H29" i="81" s="1"/>
  <c r="E28" i="81"/>
  <c r="F28" i="81" s="1"/>
  <c r="H28" i="81" s="1"/>
  <c r="E27" i="81"/>
  <c r="F27" i="81" s="1"/>
  <c r="H27" i="81" s="1"/>
  <c r="E26" i="81"/>
  <c r="F26" i="81" s="1"/>
  <c r="E25" i="81"/>
  <c r="F25" i="81" s="1"/>
  <c r="E24" i="81"/>
  <c r="F24" i="81" s="1"/>
  <c r="F22" i="81"/>
  <c r="H22" i="81" s="1"/>
  <c r="E22" i="81"/>
  <c r="E21" i="81"/>
  <c r="F21" i="81" s="1"/>
  <c r="H21" i="81" s="1"/>
  <c r="F20" i="81"/>
  <c r="H20" i="81" s="1"/>
  <c r="E20" i="81"/>
  <c r="E19" i="81"/>
  <c r="F19" i="81" s="1"/>
  <c r="H19" i="81" s="1"/>
  <c r="E18" i="81"/>
  <c r="F18" i="81" s="1"/>
  <c r="H18" i="81" s="1"/>
  <c r="E17" i="81"/>
  <c r="F17" i="81" s="1"/>
  <c r="H17" i="81" s="1"/>
  <c r="E16" i="81"/>
  <c r="F16" i="81" s="1"/>
  <c r="E15" i="81"/>
  <c r="F15" i="81" s="1"/>
  <c r="E14" i="81"/>
  <c r="F14" i="81" s="1"/>
  <c r="F12" i="81"/>
  <c r="H12" i="81" s="1"/>
  <c r="E12" i="81"/>
  <c r="E11" i="81"/>
  <c r="F11" i="81" s="1"/>
  <c r="H11" i="81" s="1"/>
  <c r="F10" i="81"/>
  <c r="H10" i="81" s="1"/>
  <c r="E10" i="81"/>
  <c r="E9" i="81"/>
  <c r="F9" i="81" s="1"/>
  <c r="H9" i="81" s="1"/>
  <c r="E8" i="81"/>
  <c r="F8" i="81" s="1"/>
  <c r="H8" i="81" s="1"/>
  <c r="E7" i="81"/>
  <c r="F7" i="81" s="1"/>
  <c r="H7" i="81" s="1"/>
  <c r="E6" i="81"/>
  <c r="F6" i="81" s="1"/>
  <c r="E5" i="81"/>
  <c r="F5" i="81" s="1"/>
  <c r="E4" i="81"/>
  <c r="F4" i="81" s="1"/>
  <c r="P9" i="14" l="1"/>
  <c r="W9" i="14" s="1"/>
  <c r="O9" i="14"/>
  <c r="V9" i="14" s="1"/>
  <c r="N9" i="14"/>
  <c r="U9" i="14" s="1"/>
  <c r="M9" i="14"/>
  <c r="T9" i="14" s="1"/>
  <c r="L9" i="14"/>
  <c r="S9" i="14" s="1"/>
  <c r="K9" i="14"/>
  <c r="R9" i="14" s="1"/>
  <c r="R8" i="14"/>
  <c r="P8" i="14"/>
  <c r="W8" i="14" s="1"/>
  <c r="O8" i="14"/>
  <c r="V8" i="14" s="1"/>
  <c r="N8" i="14"/>
  <c r="U8" i="14" s="1"/>
  <c r="M8" i="14"/>
  <c r="T8" i="14" s="1"/>
  <c r="L8" i="14"/>
  <c r="S8" i="14" s="1"/>
  <c r="K8" i="14"/>
  <c r="W7" i="14"/>
  <c r="V7" i="14"/>
  <c r="P7" i="14"/>
  <c r="O7" i="14"/>
  <c r="N7" i="14"/>
  <c r="U7" i="14" s="1"/>
  <c r="M7" i="14"/>
  <c r="T7" i="14" s="1"/>
  <c r="L7" i="14"/>
  <c r="S7" i="14" s="1"/>
  <c r="K7" i="14"/>
  <c r="R7" i="14" s="1"/>
  <c r="J15" i="78" l="1"/>
  <c r="M15" i="78" s="1"/>
  <c r="R15" i="78" s="1"/>
  <c r="I15" i="78"/>
  <c r="L15" i="78" s="1"/>
  <c r="P15" i="78" s="1"/>
  <c r="J14" i="78"/>
  <c r="M14" i="78" s="1"/>
  <c r="R14" i="78" s="1"/>
  <c r="I14" i="78"/>
  <c r="L14" i="78" s="1"/>
  <c r="P14" i="78" s="1"/>
  <c r="J13" i="78"/>
  <c r="M13" i="78" s="1"/>
  <c r="R13" i="78" s="1"/>
  <c r="I13" i="78"/>
  <c r="L13" i="78" s="1"/>
  <c r="P13" i="78" s="1"/>
  <c r="J12" i="78"/>
  <c r="M12" i="78" s="1"/>
  <c r="R12" i="78" s="1"/>
  <c r="I12" i="78"/>
  <c r="L12" i="78" s="1"/>
  <c r="P12" i="78" s="1"/>
  <c r="J11" i="78"/>
  <c r="M11" i="78" s="1"/>
  <c r="R11" i="78" s="1"/>
  <c r="I11" i="78"/>
  <c r="L11" i="78" s="1"/>
  <c r="P11" i="78" s="1"/>
  <c r="J10" i="78"/>
  <c r="M10" i="78" s="1"/>
  <c r="R10" i="78" s="1"/>
  <c r="I10" i="78"/>
  <c r="L10" i="78" s="1"/>
  <c r="P10" i="78" s="1"/>
  <c r="J9" i="78"/>
  <c r="M9" i="78" s="1"/>
  <c r="R9" i="78" s="1"/>
  <c r="I9" i="78"/>
  <c r="L9" i="78" s="1"/>
  <c r="P9" i="78" s="1"/>
  <c r="J8" i="78"/>
  <c r="M8" i="78" s="1"/>
  <c r="R8" i="78" s="1"/>
  <c r="I8" i="78"/>
  <c r="L8" i="78" s="1"/>
  <c r="P8" i="78" s="1"/>
  <c r="J7" i="78"/>
  <c r="M7" i="78" s="1"/>
  <c r="R7" i="78" s="1"/>
  <c r="I7" i="78"/>
  <c r="L7" i="78" s="1"/>
  <c r="P7" i="78" s="1"/>
  <c r="J6" i="78"/>
  <c r="M6" i="78" s="1"/>
  <c r="R6" i="78" s="1"/>
  <c r="I6" i="78"/>
  <c r="L6" i="78" s="1"/>
  <c r="P6" i="78" s="1"/>
  <c r="L5" i="78"/>
  <c r="P5" i="78" s="1"/>
  <c r="J5" i="78"/>
  <c r="M5" i="78" s="1"/>
  <c r="R5" i="78" s="1"/>
  <c r="I5" i="78"/>
  <c r="L4" i="78"/>
  <c r="P4" i="78" s="1"/>
  <c r="J4" i="78"/>
  <c r="M4" i="78" s="1"/>
  <c r="I4" i="78"/>
  <c r="Q4" i="78" l="1"/>
  <c r="R4" i="78"/>
  <c r="O4" i="78"/>
  <c r="O70" i="56" l="1"/>
  <c r="O69" i="56"/>
  <c r="O68" i="56"/>
  <c r="O67" i="56"/>
  <c r="O66" i="56"/>
  <c r="O65" i="56"/>
  <c r="O64" i="56"/>
  <c r="O63" i="56"/>
  <c r="O62" i="56"/>
  <c r="O61" i="56"/>
  <c r="O60" i="56"/>
  <c r="O59" i="56"/>
  <c r="O58" i="56"/>
  <c r="O57" i="56"/>
  <c r="O56" i="56"/>
  <c r="O53" i="56"/>
  <c r="O52" i="56"/>
  <c r="O51" i="56"/>
  <c r="O50" i="56"/>
  <c r="O49" i="56"/>
  <c r="O48" i="56"/>
  <c r="O47" i="56"/>
  <c r="O46" i="56"/>
  <c r="O45" i="56"/>
  <c r="O44" i="56"/>
  <c r="O43" i="56"/>
  <c r="O42" i="56"/>
  <c r="O41" i="56"/>
  <c r="O40" i="56"/>
  <c r="O39" i="56"/>
  <c r="J70" i="56"/>
  <c r="K70" i="56" s="1"/>
  <c r="L70" i="56" s="1"/>
  <c r="J69" i="56"/>
  <c r="K69" i="56" s="1"/>
  <c r="L69" i="56" s="1"/>
  <c r="J68" i="56"/>
  <c r="K68" i="56" s="1"/>
  <c r="L68" i="56" s="1"/>
  <c r="J67" i="56"/>
  <c r="K67" i="56" s="1"/>
  <c r="L67" i="56" s="1"/>
  <c r="J66" i="56"/>
  <c r="K66" i="56" s="1"/>
  <c r="L66" i="56" s="1"/>
  <c r="J65" i="56"/>
  <c r="K65" i="56" s="1"/>
  <c r="L65" i="56" s="1"/>
  <c r="J64" i="56"/>
  <c r="K64" i="56" s="1"/>
  <c r="L64" i="56" s="1"/>
  <c r="J63" i="56"/>
  <c r="K63" i="56" s="1"/>
  <c r="L63" i="56" s="1"/>
  <c r="J62" i="56"/>
  <c r="K62" i="56" s="1"/>
  <c r="L62" i="56" s="1"/>
  <c r="J61" i="56"/>
  <c r="K61" i="56" s="1"/>
  <c r="L61" i="56" s="1"/>
  <c r="J60" i="56"/>
  <c r="K60" i="56" s="1"/>
  <c r="L60" i="56" s="1"/>
  <c r="J59" i="56"/>
  <c r="K59" i="56" s="1"/>
  <c r="L59" i="56" s="1"/>
  <c r="J58" i="56"/>
  <c r="K58" i="56" s="1"/>
  <c r="L58" i="56" s="1"/>
  <c r="J57" i="56"/>
  <c r="K57" i="56" s="1"/>
  <c r="L57" i="56" s="1"/>
  <c r="J56" i="56"/>
  <c r="K56" i="56" s="1"/>
  <c r="L56" i="56" s="1"/>
  <c r="J53" i="56"/>
  <c r="K53" i="56" s="1"/>
  <c r="L53" i="56" s="1"/>
  <c r="J52" i="56"/>
  <c r="K52" i="56" s="1"/>
  <c r="L52" i="56" s="1"/>
  <c r="J51" i="56"/>
  <c r="K51" i="56" s="1"/>
  <c r="L51" i="56" s="1"/>
  <c r="F51" i="56"/>
  <c r="J50" i="56"/>
  <c r="K50" i="56" s="1"/>
  <c r="L50" i="56" s="1"/>
  <c r="J49" i="56"/>
  <c r="K49" i="56" s="1"/>
  <c r="L49" i="56" s="1"/>
  <c r="J48" i="56"/>
  <c r="K48" i="56" s="1"/>
  <c r="L48" i="56" s="1"/>
  <c r="F48" i="56"/>
  <c r="J47" i="56"/>
  <c r="K47" i="56" s="1"/>
  <c r="L47" i="56" s="1"/>
  <c r="J46" i="56"/>
  <c r="K46" i="56" s="1"/>
  <c r="L46" i="56" s="1"/>
  <c r="J45" i="56"/>
  <c r="K45" i="56" s="1"/>
  <c r="L45" i="56" s="1"/>
  <c r="F45" i="56"/>
  <c r="J44" i="56"/>
  <c r="K44" i="56" s="1"/>
  <c r="L44" i="56" s="1"/>
  <c r="J43" i="56"/>
  <c r="K43" i="56" s="1"/>
  <c r="L43" i="56" s="1"/>
  <c r="J42" i="56"/>
  <c r="K42" i="56" s="1"/>
  <c r="L42" i="56" s="1"/>
  <c r="F42" i="56"/>
  <c r="J41" i="56"/>
  <c r="K41" i="56" s="1"/>
  <c r="L41" i="56" s="1"/>
  <c r="J40" i="56"/>
  <c r="K40" i="56" s="1"/>
  <c r="L40" i="56" s="1"/>
  <c r="J39" i="56"/>
  <c r="K39" i="56" s="1"/>
  <c r="L39" i="56" s="1"/>
  <c r="F39" i="56"/>
  <c r="E90" i="53" l="1"/>
  <c r="I88" i="53" s="1"/>
  <c r="J88" i="53" s="1"/>
  <c r="I89" i="53"/>
  <c r="J89" i="53" s="1"/>
  <c r="L89" i="53" s="1"/>
  <c r="E87" i="53"/>
  <c r="I86" i="53" s="1"/>
  <c r="J86" i="53" s="1"/>
  <c r="L86" i="53" s="1"/>
  <c r="I84" i="53"/>
  <c r="J84" i="53" s="1"/>
  <c r="L84" i="53" s="1"/>
  <c r="E84" i="53"/>
  <c r="I82" i="53" s="1"/>
  <c r="J82" i="53" s="1"/>
  <c r="I83" i="53"/>
  <c r="J83" i="53" s="1"/>
  <c r="L83" i="53" s="1"/>
  <c r="E81" i="53"/>
  <c r="I80" i="53" s="1"/>
  <c r="J80" i="53" s="1"/>
  <c r="L80" i="53" s="1"/>
  <c r="I78" i="53"/>
  <c r="J78" i="53" s="1"/>
  <c r="L78" i="53" s="1"/>
  <c r="E78" i="53"/>
  <c r="I77" i="53" s="1"/>
  <c r="J77" i="53" s="1"/>
  <c r="L77" i="53" s="1"/>
  <c r="I76" i="53"/>
  <c r="J76" i="53" s="1"/>
  <c r="L75" i="53"/>
  <c r="J75" i="53"/>
  <c r="I75" i="53"/>
  <c r="E75" i="53"/>
  <c r="I74" i="53"/>
  <c r="J74" i="53" s="1"/>
  <c r="L74" i="53" s="1"/>
  <c r="I73" i="53"/>
  <c r="J73" i="53" s="1"/>
  <c r="E72" i="53"/>
  <c r="I71" i="53" s="1"/>
  <c r="J71" i="53" s="1"/>
  <c r="L71" i="53" s="1"/>
  <c r="E69" i="53"/>
  <c r="I69" i="53" s="1"/>
  <c r="J69" i="53" s="1"/>
  <c r="L69" i="53" s="1"/>
  <c r="I67" i="53"/>
  <c r="J67" i="53" s="1"/>
  <c r="E66" i="53"/>
  <c r="I64" i="53" s="1"/>
  <c r="J64" i="53" s="1"/>
  <c r="E63" i="53"/>
  <c r="I62" i="53" s="1"/>
  <c r="J62" i="53" s="1"/>
  <c r="L62" i="53" s="1"/>
  <c r="I60" i="53"/>
  <c r="J60" i="53" s="1"/>
  <c r="L60" i="53" s="1"/>
  <c r="E60" i="53"/>
  <c r="I58" i="53" s="1"/>
  <c r="J58" i="53" s="1"/>
  <c r="I57" i="53"/>
  <c r="J57" i="53" s="1"/>
  <c r="L57" i="53" s="1"/>
  <c r="E57" i="53"/>
  <c r="I56" i="53" s="1"/>
  <c r="J56" i="53" s="1"/>
  <c r="L56" i="53" s="1"/>
  <c r="I54" i="53"/>
  <c r="J54" i="53" s="1"/>
  <c r="L54" i="53" s="1"/>
  <c r="E54" i="53"/>
  <c r="I53" i="53" s="1"/>
  <c r="J53" i="53" s="1"/>
  <c r="L53" i="53" s="1"/>
  <c r="I52" i="53"/>
  <c r="J52" i="53" s="1"/>
  <c r="I51" i="53"/>
  <c r="J51" i="53" s="1"/>
  <c r="L51" i="53" s="1"/>
  <c r="E51" i="53"/>
  <c r="I50" i="53"/>
  <c r="J50" i="53" s="1"/>
  <c r="L50" i="53" s="1"/>
  <c r="I49" i="53"/>
  <c r="J49" i="53" s="1"/>
  <c r="E44" i="53"/>
  <c r="I42" i="53" s="1"/>
  <c r="J42" i="53" s="1"/>
  <c r="I43" i="53"/>
  <c r="J43" i="53" s="1"/>
  <c r="L43" i="53" s="1"/>
  <c r="E41" i="53"/>
  <c r="I40" i="53" s="1"/>
  <c r="J40" i="53" s="1"/>
  <c r="L40" i="53" s="1"/>
  <c r="I38" i="53"/>
  <c r="J38" i="53" s="1"/>
  <c r="L38" i="53" s="1"/>
  <c r="E38" i="53"/>
  <c r="I36" i="53" s="1"/>
  <c r="J36" i="53" s="1"/>
  <c r="I37" i="53"/>
  <c r="J37" i="53" s="1"/>
  <c r="L37" i="53" s="1"/>
  <c r="E35" i="53"/>
  <c r="I34" i="53" s="1"/>
  <c r="J34" i="53" s="1"/>
  <c r="L34" i="53" s="1"/>
  <c r="I32" i="53"/>
  <c r="J32" i="53" s="1"/>
  <c r="L32" i="53" s="1"/>
  <c r="E32" i="53"/>
  <c r="I31" i="53" s="1"/>
  <c r="J31" i="53" s="1"/>
  <c r="L31" i="53" s="1"/>
  <c r="I30" i="53"/>
  <c r="J30" i="53" s="1"/>
  <c r="L29" i="53"/>
  <c r="J29" i="53"/>
  <c r="I29" i="53"/>
  <c r="E29" i="53"/>
  <c r="I28" i="53"/>
  <c r="J28" i="53" s="1"/>
  <c r="L28" i="53" s="1"/>
  <c r="I27" i="53"/>
  <c r="J27" i="53" s="1"/>
  <c r="E26" i="53"/>
  <c r="I26" i="53" s="1"/>
  <c r="J26" i="53" s="1"/>
  <c r="L26" i="53" s="1"/>
  <c r="I25" i="53"/>
  <c r="J25" i="53" s="1"/>
  <c r="L25" i="53" s="1"/>
  <c r="E23" i="53"/>
  <c r="I23" i="53" s="1"/>
  <c r="J23" i="53" s="1"/>
  <c r="L23" i="53" s="1"/>
  <c r="I21" i="53"/>
  <c r="J21" i="53" s="1"/>
  <c r="E20" i="53"/>
  <c r="I18" i="53" s="1"/>
  <c r="J18" i="53" s="1"/>
  <c r="I19" i="53"/>
  <c r="J19" i="53" s="1"/>
  <c r="L19" i="53" s="1"/>
  <c r="E17" i="53"/>
  <c r="I16" i="53" s="1"/>
  <c r="J16" i="53" s="1"/>
  <c r="L16" i="53" s="1"/>
  <c r="E14" i="53"/>
  <c r="I13" i="53" s="1"/>
  <c r="J13" i="53" s="1"/>
  <c r="L13" i="53" s="1"/>
  <c r="E11" i="53"/>
  <c r="I9" i="53" s="1"/>
  <c r="J9" i="53" s="1"/>
  <c r="I10" i="53"/>
  <c r="J10" i="53" s="1"/>
  <c r="L10" i="53" s="1"/>
  <c r="E8" i="53"/>
  <c r="I7" i="53" s="1"/>
  <c r="J7" i="53" s="1"/>
  <c r="L7" i="53" s="1"/>
  <c r="I5" i="53"/>
  <c r="J5" i="53" s="1"/>
  <c r="L5" i="53" s="1"/>
  <c r="E5" i="53"/>
  <c r="J4" i="53"/>
  <c r="L4" i="53" s="1"/>
  <c r="I4" i="53"/>
  <c r="I3" i="53"/>
  <c r="J3" i="53" s="1"/>
  <c r="K75" i="53" l="1"/>
  <c r="L73" i="53"/>
  <c r="K84" i="53"/>
  <c r="L82" i="53"/>
  <c r="K69" i="53"/>
  <c r="L67" i="53"/>
  <c r="K78" i="53"/>
  <c r="L76" i="53"/>
  <c r="L88" i="53"/>
  <c r="I85" i="53"/>
  <c r="J85" i="53" s="1"/>
  <c r="I68" i="53"/>
  <c r="J68" i="53" s="1"/>
  <c r="L68" i="53" s="1"/>
  <c r="I70" i="53"/>
  <c r="J70" i="53" s="1"/>
  <c r="I81" i="53"/>
  <c r="J81" i="53" s="1"/>
  <c r="L81" i="53" s="1"/>
  <c r="I79" i="53"/>
  <c r="J79" i="53" s="1"/>
  <c r="I90" i="53"/>
  <c r="J90" i="53" s="1"/>
  <c r="L90" i="53" s="1"/>
  <c r="I87" i="53"/>
  <c r="J87" i="53" s="1"/>
  <c r="L87" i="53" s="1"/>
  <c r="I72" i="53"/>
  <c r="J72" i="53" s="1"/>
  <c r="L72" i="53" s="1"/>
  <c r="K51" i="53"/>
  <c r="L49" i="53"/>
  <c r="L58" i="53"/>
  <c r="L52" i="53"/>
  <c r="K54" i="53"/>
  <c r="L64" i="53"/>
  <c r="I63" i="53"/>
  <c r="J63" i="53" s="1"/>
  <c r="L63" i="53" s="1"/>
  <c r="I59" i="53"/>
  <c r="J59" i="53" s="1"/>
  <c r="L59" i="53" s="1"/>
  <c r="I61" i="53"/>
  <c r="J61" i="53" s="1"/>
  <c r="I55" i="53"/>
  <c r="J55" i="53" s="1"/>
  <c r="I66" i="53"/>
  <c r="J66" i="53" s="1"/>
  <c r="L66" i="53" s="1"/>
  <c r="I65" i="53"/>
  <c r="J65" i="53" s="1"/>
  <c r="L65" i="53" s="1"/>
  <c r="K29" i="53"/>
  <c r="L27" i="53"/>
  <c r="L36" i="53"/>
  <c r="K38" i="53"/>
  <c r="L21" i="53"/>
  <c r="L30" i="53"/>
  <c r="K32" i="53"/>
  <c r="L42" i="53"/>
  <c r="I39" i="53"/>
  <c r="J39" i="53" s="1"/>
  <c r="I24" i="53"/>
  <c r="J24" i="53" s="1"/>
  <c r="I35" i="53"/>
  <c r="J35" i="53" s="1"/>
  <c r="L35" i="53" s="1"/>
  <c r="I41" i="53"/>
  <c r="J41" i="53" s="1"/>
  <c r="L41" i="53" s="1"/>
  <c r="I22" i="53"/>
  <c r="J22" i="53" s="1"/>
  <c r="L22" i="53" s="1"/>
  <c r="I33" i="53"/>
  <c r="J33" i="53" s="1"/>
  <c r="I44" i="53"/>
  <c r="J44" i="53" s="1"/>
  <c r="L44" i="53" s="1"/>
  <c r="L18" i="53"/>
  <c r="L3" i="53"/>
  <c r="K5" i="53"/>
  <c r="L9" i="53"/>
  <c r="I12" i="53"/>
  <c r="J12" i="53" s="1"/>
  <c r="I6" i="53"/>
  <c r="J6" i="53" s="1"/>
  <c r="I17" i="53"/>
  <c r="J17" i="53" s="1"/>
  <c r="L17" i="53" s="1"/>
  <c r="I14" i="53"/>
  <c r="J14" i="53" s="1"/>
  <c r="L14" i="53" s="1"/>
  <c r="I8" i="53"/>
  <c r="J8" i="53" s="1"/>
  <c r="L8" i="53" s="1"/>
  <c r="I15" i="53"/>
  <c r="J15" i="53" s="1"/>
  <c r="I11" i="53"/>
  <c r="J11" i="53" s="1"/>
  <c r="L11" i="53" s="1"/>
  <c r="I20" i="53"/>
  <c r="J20" i="53" s="1"/>
  <c r="L20" i="53" s="1"/>
  <c r="L85" i="53" l="1"/>
  <c r="K87" i="53"/>
  <c r="L79" i="53"/>
  <c r="K81" i="53"/>
  <c r="L70" i="53"/>
  <c r="K72" i="53"/>
  <c r="K90" i="53"/>
  <c r="K66" i="53"/>
  <c r="L55" i="53"/>
  <c r="K57" i="53"/>
  <c r="K60" i="53"/>
  <c r="L61" i="53"/>
  <c r="K63" i="53"/>
  <c r="K23" i="53"/>
  <c r="L24" i="53"/>
  <c r="K26" i="53"/>
  <c r="L39" i="53"/>
  <c r="K41" i="53"/>
  <c r="L33" i="53"/>
  <c r="K35" i="53"/>
  <c r="K44" i="53"/>
  <c r="L15" i="53"/>
  <c r="K17" i="53"/>
  <c r="K11" i="53"/>
  <c r="L6" i="53"/>
  <c r="K8" i="53"/>
  <c r="K20" i="53"/>
  <c r="L12" i="53"/>
  <c r="K14" i="53"/>
  <c r="AH69" i="51" l="1"/>
  <c r="AL67" i="51" s="1"/>
  <c r="AM67" i="51" s="1"/>
  <c r="AN67" i="51" s="1"/>
  <c r="AH66" i="51"/>
  <c r="AL65" i="51" s="1"/>
  <c r="AM65" i="51" s="1"/>
  <c r="AN65" i="51" s="1"/>
  <c r="AH63" i="51"/>
  <c r="AL61" i="51" s="1"/>
  <c r="AM61" i="51" s="1"/>
  <c r="AN61" i="51" s="1"/>
  <c r="AH60" i="51"/>
  <c r="AL60" i="51" s="1"/>
  <c r="AM60" i="51" s="1"/>
  <c r="AN60" i="51" s="1"/>
  <c r="AH57" i="51"/>
  <c r="AL55" i="51" s="1"/>
  <c r="AM55" i="51" s="1"/>
  <c r="AN55" i="51" s="1"/>
  <c r="AH54" i="51"/>
  <c r="AL53" i="51" s="1"/>
  <c r="AM53" i="51" s="1"/>
  <c r="AN53" i="51" s="1"/>
  <c r="AH51" i="51"/>
  <c r="AL49" i="51" s="1"/>
  <c r="AM49" i="51" s="1"/>
  <c r="AN49" i="51" s="1"/>
  <c r="AH48" i="51"/>
  <c r="AL48" i="51" s="1"/>
  <c r="AM48" i="51" s="1"/>
  <c r="AN48" i="51" s="1"/>
  <c r="AH36" i="51"/>
  <c r="AL34" i="51" s="1"/>
  <c r="AM34" i="51" s="1"/>
  <c r="AN34" i="51" s="1"/>
  <c r="AH33" i="51"/>
  <c r="AL31" i="51" s="1"/>
  <c r="AM31" i="51" s="1"/>
  <c r="AN31" i="51" s="1"/>
  <c r="AH30" i="51"/>
  <c r="AL28" i="51" s="1"/>
  <c r="AM28" i="51" s="1"/>
  <c r="AN28" i="51" s="1"/>
  <c r="AH27" i="51"/>
  <c r="AL25" i="51" s="1"/>
  <c r="AM25" i="51" s="1"/>
  <c r="AN25" i="51" s="1"/>
  <c r="AH24" i="51"/>
  <c r="AL22" i="51" s="1"/>
  <c r="AM22" i="51" s="1"/>
  <c r="AN22" i="51" s="1"/>
  <c r="AH21" i="51"/>
  <c r="AL19" i="51" s="1"/>
  <c r="AM19" i="51" s="1"/>
  <c r="AN19" i="51" s="1"/>
  <c r="AH18" i="51"/>
  <c r="AL17" i="51" s="1"/>
  <c r="AM17" i="51" s="1"/>
  <c r="AN17" i="51" s="1"/>
  <c r="AH15" i="51"/>
  <c r="AL14" i="51" s="1"/>
  <c r="AM14" i="51" s="1"/>
  <c r="AN14" i="51" s="1"/>
  <c r="AH45" i="51"/>
  <c r="AL41" i="51" s="1"/>
  <c r="AM41" i="51" s="1"/>
  <c r="AN41" i="51" s="1"/>
  <c r="AH42" i="51"/>
  <c r="AL43" i="51" s="1"/>
  <c r="AM43" i="51" s="1"/>
  <c r="AN43" i="51" s="1"/>
  <c r="AH12" i="51"/>
  <c r="AL10" i="51" s="1"/>
  <c r="AM10" i="51" s="1"/>
  <c r="AN10" i="51" s="1"/>
  <c r="AH9" i="51"/>
  <c r="AL8" i="51" s="1"/>
  <c r="AM8" i="51" s="1"/>
  <c r="AN8" i="51" s="1"/>
  <c r="AL56" i="51" l="1"/>
  <c r="AM56" i="51" s="1"/>
  <c r="AN56" i="51" s="1"/>
  <c r="AL58" i="51"/>
  <c r="AM58" i="51" s="1"/>
  <c r="AN58" i="51" s="1"/>
  <c r="AL20" i="51"/>
  <c r="AM20" i="51" s="1"/>
  <c r="AN20" i="51" s="1"/>
  <c r="AL46" i="51"/>
  <c r="AM46" i="51" s="1"/>
  <c r="AN46" i="51" s="1"/>
  <c r="AL23" i="51"/>
  <c r="AM23" i="51" s="1"/>
  <c r="AN23" i="51" s="1"/>
  <c r="AL68" i="51"/>
  <c r="AM68" i="51" s="1"/>
  <c r="AN68" i="51" s="1"/>
  <c r="AL26" i="51"/>
  <c r="AM26" i="51" s="1"/>
  <c r="AN26" i="51" s="1"/>
  <c r="AL51" i="51"/>
  <c r="AM51" i="51" s="1"/>
  <c r="AN51" i="51" s="1"/>
  <c r="AL47" i="51"/>
  <c r="AM47" i="51" s="1"/>
  <c r="AN47" i="51" s="1"/>
  <c r="AL54" i="51"/>
  <c r="AM54" i="51" s="1"/>
  <c r="AN54" i="51" s="1"/>
  <c r="AL59" i="51"/>
  <c r="AM59" i="51" s="1"/>
  <c r="AN59" i="51" s="1"/>
  <c r="AL66" i="51"/>
  <c r="AM66" i="51" s="1"/>
  <c r="AN66" i="51" s="1"/>
  <c r="AL52" i="51"/>
  <c r="AM52" i="51" s="1"/>
  <c r="AN52" i="51" s="1"/>
  <c r="AL64" i="51"/>
  <c r="AM64" i="51" s="1"/>
  <c r="AN64" i="51" s="1"/>
  <c r="AL50" i="51"/>
  <c r="AM50" i="51" s="1"/>
  <c r="AN50" i="51" s="1"/>
  <c r="AL57" i="51"/>
  <c r="AM57" i="51" s="1"/>
  <c r="AN57" i="51" s="1"/>
  <c r="AL62" i="51"/>
  <c r="AM62" i="51" s="1"/>
  <c r="AN62" i="51" s="1"/>
  <c r="AL69" i="51"/>
  <c r="AM69" i="51" s="1"/>
  <c r="AN69" i="51" s="1"/>
  <c r="AL63" i="51"/>
  <c r="AM63" i="51" s="1"/>
  <c r="AN63" i="51" s="1"/>
  <c r="AL44" i="51"/>
  <c r="AM44" i="51" s="1"/>
  <c r="AN44" i="51" s="1"/>
  <c r="AL27" i="51"/>
  <c r="AM27" i="51" s="1"/>
  <c r="AN27" i="51" s="1"/>
  <c r="AL32" i="51"/>
  <c r="AM32" i="51" s="1"/>
  <c r="AN32" i="51" s="1"/>
  <c r="AL13" i="51"/>
  <c r="AM13" i="51" s="1"/>
  <c r="AN13" i="51" s="1"/>
  <c r="AL35" i="51"/>
  <c r="AM35" i="51" s="1"/>
  <c r="AN35" i="51" s="1"/>
  <c r="AL15" i="51"/>
  <c r="AM15" i="51" s="1"/>
  <c r="AN15" i="51" s="1"/>
  <c r="AL33" i="51"/>
  <c r="AM33" i="51" s="1"/>
  <c r="AN33" i="51" s="1"/>
  <c r="AL16" i="51"/>
  <c r="AM16" i="51" s="1"/>
  <c r="AN16" i="51" s="1"/>
  <c r="AL18" i="51"/>
  <c r="AM18" i="51" s="1"/>
  <c r="AN18" i="51" s="1"/>
  <c r="AL21" i="51"/>
  <c r="AM21" i="51" s="1"/>
  <c r="AN21" i="51" s="1"/>
  <c r="AL24" i="51"/>
  <c r="AM24" i="51" s="1"/>
  <c r="AN24" i="51" s="1"/>
  <c r="AL29" i="51"/>
  <c r="AM29" i="51" s="1"/>
  <c r="AN29" i="51" s="1"/>
  <c r="AL36" i="51"/>
  <c r="AM36" i="51" s="1"/>
  <c r="AN36" i="51" s="1"/>
  <c r="AL30" i="51"/>
  <c r="AM30" i="51" s="1"/>
  <c r="AN30" i="51" s="1"/>
  <c r="AL42" i="51"/>
  <c r="AM42" i="51" s="1"/>
  <c r="AN42" i="51" s="1"/>
  <c r="AL40" i="51"/>
  <c r="AM40" i="51" s="1"/>
  <c r="AN40" i="51" s="1"/>
  <c r="AL45" i="51"/>
  <c r="AM45" i="51" s="1"/>
  <c r="AN45" i="51" s="1"/>
  <c r="AL11" i="51"/>
  <c r="AM11" i="51" s="1"/>
  <c r="AN11" i="51" s="1"/>
  <c r="AL12" i="51"/>
  <c r="AM12" i="51" s="1"/>
  <c r="AN12" i="51" s="1"/>
  <c r="AL9" i="51"/>
  <c r="AM9" i="51" s="1"/>
  <c r="AN9" i="51" s="1"/>
  <c r="AL7" i="51"/>
  <c r="AM7" i="51" s="1"/>
  <c r="AN7" i="51" s="1"/>
  <c r="V33" i="16" l="1"/>
  <c r="Y33" i="16" s="1"/>
  <c r="AC33" i="16" s="1"/>
  <c r="U33" i="16"/>
  <c r="X33" i="16" s="1"/>
  <c r="AB33" i="16" s="1"/>
  <c r="T33" i="16"/>
  <c r="W33" i="16" s="1"/>
  <c r="AA33" i="16" s="1"/>
  <c r="V32" i="16"/>
  <c r="Y32" i="16" s="1"/>
  <c r="AC32" i="16" s="1"/>
  <c r="U32" i="16"/>
  <c r="X32" i="16" s="1"/>
  <c r="AB32" i="16" s="1"/>
  <c r="T32" i="16"/>
  <c r="W32" i="16" s="1"/>
  <c r="AA32" i="16" s="1"/>
  <c r="T10" i="16"/>
  <c r="W10" i="16" s="1"/>
  <c r="S10" i="16"/>
  <c r="V10" i="16" s="1"/>
  <c r="R10" i="16"/>
  <c r="U10" i="16" s="1"/>
  <c r="T9" i="16"/>
  <c r="W9" i="16" s="1"/>
  <c r="S9" i="16"/>
  <c r="V9" i="16" s="1"/>
  <c r="R9" i="16"/>
  <c r="U9" i="16" s="1"/>
  <c r="F53" i="37" l="1"/>
  <c r="G53" i="37" s="1"/>
  <c r="H53" i="37" s="1"/>
  <c r="I53" i="37" s="1"/>
  <c r="F52" i="37"/>
  <c r="G52" i="37" s="1"/>
  <c r="H52" i="37" s="1"/>
  <c r="I52" i="37" s="1"/>
  <c r="G51" i="37"/>
  <c r="H51" i="37" s="1"/>
  <c r="I51" i="37" s="1"/>
  <c r="F51" i="37"/>
  <c r="F50" i="37"/>
  <c r="G50" i="37" s="1"/>
  <c r="H50" i="37" s="1"/>
  <c r="I50" i="37" s="1"/>
  <c r="G49" i="37"/>
  <c r="H49" i="37" s="1"/>
  <c r="I49" i="37" s="1"/>
  <c r="F49" i="37"/>
  <c r="F48" i="37"/>
  <c r="G48" i="37" s="1"/>
  <c r="H48" i="37" s="1"/>
  <c r="I48" i="37" s="1"/>
  <c r="G47" i="37"/>
  <c r="H47" i="37" s="1"/>
  <c r="I47" i="37" s="1"/>
  <c r="F47" i="37"/>
  <c r="F46" i="37"/>
  <c r="G46" i="37" s="1"/>
  <c r="H46" i="37" s="1"/>
  <c r="I46" i="37" s="1"/>
  <c r="G45" i="37"/>
  <c r="H45" i="37" s="1"/>
  <c r="I45" i="37" s="1"/>
  <c r="F45" i="37"/>
  <c r="F44" i="37"/>
  <c r="G44" i="37" s="1"/>
  <c r="H44" i="37" s="1"/>
  <c r="I44" i="37" s="1"/>
  <c r="G43" i="37"/>
  <c r="H43" i="37" s="1"/>
  <c r="I43" i="37" s="1"/>
  <c r="F43" i="37"/>
  <c r="F42" i="37"/>
  <c r="G42" i="37" s="1"/>
  <c r="H42" i="37" s="1"/>
  <c r="I42" i="37" s="1"/>
  <c r="G41" i="37"/>
  <c r="H41" i="37" s="1"/>
  <c r="I41" i="37" s="1"/>
  <c r="F41" i="37"/>
  <c r="F40" i="37"/>
  <c r="G40" i="37" s="1"/>
  <c r="H40" i="37" s="1"/>
  <c r="I40" i="37" s="1"/>
  <c r="G39" i="37"/>
  <c r="H39" i="37" s="1"/>
  <c r="I39" i="37" s="1"/>
  <c r="F39" i="37"/>
  <c r="F38" i="37"/>
  <c r="G38" i="37" s="1"/>
  <c r="H38" i="37" s="1"/>
  <c r="I38" i="37" s="1"/>
  <c r="G37" i="37"/>
  <c r="H37" i="37" s="1"/>
  <c r="I37" i="37" s="1"/>
  <c r="F37" i="37"/>
  <c r="F36" i="37"/>
  <c r="G36" i="37" s="1"/>
  <c r="H36" i="37" s="1"/>
  <c r="I36" i="37" s="1"/>
  <c r="G35" i="37"/>
  <c r="H35" i="37" s="1"/>
  <c r="I35" i="37" s="1"/>
  <c r="F35" i="37"/>
  <c r="F34" i="37"/>
  <c r="G34" i="37" s="1"/>
  <c r="H34" i="37" s="1"/>
  <c r="I34" i="37" s="1"/>
  <c r="Y60" i="79" l="1"/>
  <c r="AE60" i="79" s="1"/>
  <c r="X60" i="79"/>
  <c r="AD60" i="79" s="1"/>
  <c r="T60" i="79"/>
  <c r="Z60" i="79" s="1"/>
  <c r="AF60" i="79" s="1"/>
  <c r="S60" i="79"/>
  <c r="R60" i="79"/>
  <c r="AD59" i="79"/>
  <c r="Z59" i="79"/>
  <c r="AF59" i="79" s="1"/>
  <c r="Y59" i="79"/>
  <c r="AE59" i="79" s="1"/>
  <c r="X59" i="79"/>
  <c r="T59" i="79"/>
  <c r="S59" i="79"/>
  <c r="R59" i="79"/>
  <c r="AF58" i="79"/>
  <c r="AE58" i="79"/>
  <c r="Z58" i="79"/>
  <c r="Y58" i="79"/>
  <c r="T58" i="79"/>
  <c r="S58" i="79"/>
  <c r="R58" i="79"/>
  <c r="X58" i="79" s="1"/>
  <c r="AD58" i="79" s="1"/>
  <c r="AJ58" i="79" s="1"/>
  <c r="T57" i="79"/>
  <c r="Z57" i="79" s="1"/>
  <c r="AF57" i="79" s="1"/>
  <c r="S57" i="79"/>
  <c r="Y57" i="79" s="1"/>
  <c r="AE57" i="79" s="1"/>
  <c r="R57" i="79"/>
  <c r="X57" i="79" s="1"/>
  <c r="AD57" i="79" s="1"/>
  <c r="AJ57" i="79" s="1"/>
  <c r="Y56" i="79"/>
  <c r="AE56" i="79" s="1"/>
  <c r="X56" i="79"/>
  <c r="AD56" i="79" s="1"/>
  <c r="AJ56" i="79" s="1"/>
  <c r="T56" i="79"/>
  <c r="Z56" i="79" s="1"/>
  <c r="AF56" i="79" s="1"/>
  <c r="S56" i="79"/>
  <c r="R56" i="79"/>
  <c r="AD55" i="79"/>
  <c r="Z55" i="79"/>
  <c r="AF55" i="79" s="1"/>
  <c r="Y55" i="79"/>
  <c r="AE55" i="79" s="1"/>
  <c r="X55" i="79"/>
  <c r="T55" i="79"/>
  <c r="S55" i="79"/>
  <c r="R55" i="79"/>
  <c r="AF54" i="79"/>
  <c r="AE54" i="79"/>
  <c r="Z54" i="79"/>
  <c r="Y54" i="79"/>
  <c r="T54" i="79"/>
  <c r="S54" i="79"/>
  <c r="R54" i="79"/>
  <c r="X54" i="79" s="1"/>
  <c r="AD54" i="79" s="1"/>
  <c r="AJ54" i="79" s="1"/>
  <c r="T53" i="79"/>
  <c r="Z53" i="79" s="1"/>
  <c r="AF53" i="79" s="1"/>
  <c r="S53" i="79"/>
  <c r="Y53" i="79" s="1"/>
  <c r="AE53" i="79" s="1"/>
  <c r="R53" i="79"/>
  <c r="X53" i="79" s="1"/>
  <c r="AD53" i="79" s="1"/>
  <c r="Y52" i="79"/>
  <c r="AE52" i="79" s="1"/>
  <c r="X52" i="79"/>
  <c r="AD52" i="79" s="1"/>
  <c r="T52" i="79"/>
  <c r="Z52" i="79" s="1"/>
  <c r="AF52" i="79" s="1"/>
  <c r="S52" i="79"/>
  <c r="R52" i="79"/>
  <c r="AD51" i="79"/>
  <c r="Z51" i="79"/>
  <c r="AF51" i="79" s="1"/>
  <c r="Y51" i="79"/>
  <c r="AE51" i="79" s="1"/>
  <c r="X51" i="79"/>
  <c r="T51" i="79"/>
  <c r="S51" i="79"/>
  <c r="R51" i="79"/>
  <c r="AF50" i="79"/>
  <c r="AE50" i="79"/>
  <c r="Z50" i="79"/>
  <c r="Y50" i="79"/>
  <c r="T50" i="79"/>
  <c r="S50" i="79"/>
  <c r="R50" i="79"/>
  <c r="X50" i="79" s="1"/>
  <c r="AD50" i="79" s="1"/>
  <c r="AJ50" i="79" s="1"/>
  <c r="T49" i="79"/>
  <c r="Z49" i="79" s="1"/>
  <c r="AF49" i="79" s="1"/>
  <c r="S49" i="79"/>
  <c r="Y49" i="79" s="1"/>
  <c r="AE49" i="79" s="1"/>
  <c r="R49" i="79"/>
  <c r="X49" i="79" s="1"/>
  <c r="AD49" i="79" s="1"/>
  <c r="X46" i="79"/>
  <c r="AD46" i="79" s="1"/>
  <c r="AJ46" i="79" s="1"/>
  <c r="T46" i="79"/>
  <c r="Z46" i="79" s="1"/>
  <c r="AF46" i="79" s="1"/>
  <c r="S46" i="79"/>
  <c r="Y46" i="79" s="1"/>
  <c r="AE46" i="79" s="1"/>
  <c r="R46" i="79"/>
  <c r="Z45" i="79"/>
  <c r="AF45" i="79" s="1"/>
  <c r="Y45" i="79"/>
  <c r="AE45" i="79" s="1"/>
  <c r="X45" i="79"/>
  <c r="AD45" i="79" s="1"/>
  <c r="T45" i="79"/>
  <c r="S45" i="79"/>
  <c r="R45" i="79"/>
  <c r="AE44" i="79"/>
  <c r="Z44" i="79"/>
  <c r="AF44" i="79" s="1"/>
  <c r="Y44" i="79"/>
  <c r="T44" i="79"/>
  <c r="S44" i="79"/>
  <c r="R44" i="79"/>
  <c r="X44" i="79" s="1"/>
  <c r="AD44" i="79" s="1"/>
  <c r="T43" i="79"/>
  <c r="Z43" i="79" s="1"/>
  <c r="AF43" i="79" s="1"/>
  <c r="S43" i="79"/>
  <c r="Y43" i="79" s="1"/>
  <c r="AE43" i="79" s="1"/>
  <c r="R43" i="79"/>
  <c r="X43" i="79" s="1"/>
  <c r="AD43" i="79" s="1"/>
  <c r="X42" i="79"/>
  <c r="AD42" i="79" s="1"/>
  <c r="T42" i="79"/>
  <c r="Z42" i="79" s="1"/>
  <c r="AF42" i="79" s="1"/>
  <c r="S42" i="79"/>
  <c r="Y42" i="79" s="1"/>
  <c r="AE42" i="79" s="1"/>
  <c r="R42" i="79"/>
  <c r="Z41" i="79"/>
  <c r="AF41" i="79" s="1"/>
  <c r="Y41" i="79"/>
  <c r="AE41" i="79" s="1"/>
  <c r="X41" i="79"/>
  <c r="AD41" i="79" s="1"/>
  <c r="T41" i="79"/>
  <c r="S41" i="79"/>
  <c r="R41" i="79"/>
  <c r="AE38" i="79"/>
  <c r="Z38" i="79"/>
  <c r="AF38" i="79" s="1"/>
  <c r="Y38" i="79"/>
  <c r="T38" i="79"/>
  <c r="S38" i="79"/>
  <c r="R38" i="79"/>
  <c r="X38" i="79" s="1"/>
  <c r="AD38" i="79" s="1"/>
  <c r="T37" i="79"/>
  <c r="Z37" i="79" s="1"/>
  <c r="AF37" i="79" s="1"/>
  <c r="S37" i="79"/>
  <c r="Y37" i="79" s="1"/>
  <c r="AE37" i="79" s="1"/>
  <c r="R37" i="79"/>
  <c r="X37" i="79" s="1"/>
  <c r="AD37" i="79" s="1"/>
  <c r="AJ37" i="79" s="1"/>
  <c r="X36" i="79"/>
  <c r="AD36" i="79" s="1"/>
  <c r="T36" i="79"/>
  <c r="Z36" i="79" s="1"/>
  <c r="AF36" i="79" s="1"/>
  <c r="S36" i="79"/>
  <c r="Y36" i="79" s="1"/>
  <c r="AE36" i="79" s="1"/>
  <c r="R36" i="79"/>
  <c r="Z35" i="79"/>
  <c r="AF35" i="79" s="1"/>
  <c r="Y35" i="79"/>
  <c r="AE35" i="79" s="1"/>
  <c r="X35" i="79"/>
  <c r="AD35" i="79" s="1"/>
  <c r="AJ35" i="79" s="1"/>
  <c r="T35" i="79"/>
  <c r="S35" i="79"/>
  <c r="R35" i="79"/>
  <c r="AE34" i="79"/>
  <c r="Z34" i="79"/>
  <c r="AF34" i="79" s="1"/>
  <c r="Y34" i="79"/>
  <c r="T34" i="79"/>
  <c r="S34" i="79"/>
  <c r="R34" i="79"/>
  <c r="X34" i="79" s="1"/>
  <c r="AD34" i="79" s="1"/>
  <c r="AJ34" i="79" s="1"/>
  <c r="T33" i="79"/>
  <c r="Z33" i="79" s="1"/>
  <c r="AF33" i="79" s="1"/>
  <c r="S33" i="79"/>
  <c r="Y33" i="79" s="1"/>
  <c r="AE33" i="79" s="1"/>
  <c r="R33" i="79"/>
  <c r="X33" i="79" s="1"/>
  <c r="AD33" i="79" s="1"/>
  <c r="AJ33" i="79" s="1"/>
  <c r="S32" i="79"/>
  <c r="Y32" i="79" s="1"/>
  <c r="AE32" i="79" s="1"/>
  <c r="R32" i="79"/>
  <c r="X32" i="79" s="1"/>
  <c r="AD32" i="79" s="1"/>
  <c r="AE31" i="79"/>
  <c r="Y31" i="79"/>
  <c r="S31" i="79"/>
  <c r="R31" i="79"/>
  <c r="X31" i="79" s="1"/>
  <c r="AD31" i="79" s="1"/>
  <c r="AJ31" i="79" s="1"/>
  <c r="AE30" i="79"/>
  <c r="AJ30" i="79" s="1"/>
  <c r="AD30" i="79"/>
  <c r="Y30" i="79"/>
  <c r="X30" i="79"/>
  <c r="S30" i="79"/>
  <c r="R30" i="79"/>
  <c r="AE29" i="79"/>
  <c r="AD29" i="79"/>
  <c r="AJ29" i="79" s="1"/>
  <c r="Y29" i="79"/>
  <c r="X29" i="79"/>
  <c r="S29" i="79"/>
  <c r="R29" i="79"/>
  <c r="AD28" i="79"/>
  <c r="Y28" i="79"/>
  <c r="AE28" i="79" s="1"/>
  <c r="X28" i="79"/>
  <c r="S28" i="79"/>
  <c r="R28" i="79"/>
  <c r="Y27" i="79"/>
  <c r="AE27" i="79" s="1"/>
  <c r="X27" i="79"/>
  <c r="AD27" i="79" s="1"/>
  <c r="S27" i="79"/>
  <c r="R27" i="79"/>
  <c r="X26" i="79"/>
  <c r="AD26" i="79" s="1"/>
  <c r="S26" i="79"/>
  <c r="Y26" i="79" s="1"/>
  <c r="AE26" i="79" s="1"/>
  <c r="R26" i="79"/>
  <c r="S25" i="79"/>
  <c r="Y25" i="79" s="1"/>
  <c r="AE25" i="79" s="1"/>
  <c r="R25" i="79"/>
  <c r="X25" i="79" s="1"/>
  <c r="AD25" i="79" s="1"/>
  <c r="AJ25" i="79" s="1"/>
  <c r="S24" i="79"/>
  <c r="Y24" i="79" s="1"/>
  <c r="AE24" i="79" s="1"/>
  <c r="R24" i="79"/>
  <c r="X24" i="79" s="1"/>
  <c r="AD24" i="79" s="1"/>
  <c r="AE23" i="79"/>
  <c r="Y23" i="79"/>
  <c r="S23" i="79"/>
  <c r="R23" i="79"/>
  <c r="X23" i="79" s="1"/>
  <c r="AD23" i="79" s="1"/>
  <c r="AJ23" i="79" s="1"/>
  <c r="AE22" i="79"/>
  <c r="AJ22" i="79" s="1"/>
  <c r="AD22" i="79"/>
  <c r="Y22" i="79"/>
  <c r="X22" i="79"/>
  <c r="S22" i="79"/>
  <c r="R22" i="79"/>
  <c r="AF21" i="79"/>
  <c r="Z21" i="79"/>
  <c r="T21" i="79"/>
  <c r="S21" i="79"/>
  <c r="Y21" i="79" s="1"/>
  <c r="AE21" i="79" s="1"/>
  <c r="R21" i="79"/>
  <c r="X21" i="79" s="1"/>
  <c r="AD21" i="79" s="1"/>
  <c r="AE20" i="79"/>
  <c r="Y20" i="79"/>
  <c r="S20" i="79"/>
  <c r="R20" i="79"/>
  <c r="X20" i="79" s="1"/>
  <c r="AD20" i="79" s="1"/>
  <c r="AJ20" i="79" s="1"/>
  <c r="AE19" i="79"/>
  <c r="AJ19" i="79" s="1"/>
  <c r="AD19" i="79"/>
  <c r="Y19" i="79"/>
  <c r="X19" i="79"/>
  <c r="S19" i="79"/>
  <c r="R19" i="79"/>
  <c r="AE18" i="79"/>
  <c r="AD18" i="79"/>
  <c r="AJ18" i="79" s="1"/>
  <c r="Y18" i="79"/>
  <c r="X18" i="79"/>
  <c r="S18" i="79"/>
  <c r="R18" i="79"/>
  <c r="AD17" i="79"/>
  <c r="Y17" i="79"/>
  <c r="AE17" i="79" s="1"/>
  <c r="X17" i="79"/>
  <c r="S17" i="79"/>
  <c r="R17" i="79"/>
  <c r="Y16" i="79"/>
  <c r="AE16" i="79" s="1"/>
  <c r="X16" i="79"/>
  <c r="AD16" i="79" s="1"/>
  <c r="AJ16" i="79" s="1"/>
  <c r="S16" i="79"/>
  <c r="R16" i="79"/>
  <c r="Z15" i="79"/>
  <c r="AF15" i="79" s="1"/>
  <c r="Y15" i="79"/>
  <c r="AE15" i="79" s="1"/>
  <c r="X15" i="79"/>
  <c r="AD15" i="79" s="1"/>
  <c r="AJ15" i="79" s="1"/>
  <c r="T15" i="79"/>
  <c r="S15" i="79"/>
  <c r="R15" i="79"/>
  <c r="AJ28" i="79" l="1"/>
  <c r="AJ42" i="79"/>
  <c r="AJ52" i="79"/>
  <c r="AJ59" i="79"/>
  <c r="AJ26" i="79"/>
  <c r="AJ17" i="79"/>
  <c r="AJ24" i="79"/>
  <c r="AJ32" i="79"/>
  <c r="AJ38" i="79"/>
  <c r="AJ43" i="79"/>
  <c r="AJ21" i="79"/>
  <c r="AJ27" i="79"/>
  <c r="AJ41" i="79"/>
  <c r="AJ53" i="79"/>
  <c r="AJ55" i="79"/>
  <c r="AJ44" i="79"/>
  <c r="AJ49" i="79"/>
  <c r="AJ51" i="79"/>
  <c r="AJ60" i="79"/>
  <c r="AJ36" i="79"/>
  <c r="AJ45" i="79"/>
  <c r="H19" i="65" l="1"/>
  <c r="H18" i="65"/>
  <c r="H17" i="65"/>
  <c r="H16" i="65"/>
  <c r="H15" i="65"/>
  <c r="H14" i="65"/>
  <c r="H13" i="65"/>
  <c r="H12" i="65"/>
  <c r="H11" i="65"/>
  <c r="H10" i="65"/>
  <c r="H9" i="65"/>
  <c r="H8" i="65"/>
  <c r="J13" i="34" l="1"/>
  <c r="H13" i="34"/>
  <c r="K13" i="34" s="1"/>
  <c r="J12" i="34"/>
  <c r="H12" i="34"/>
  <c r="K12" i="34" s="1"/>
  <c r="K11" i="34"/>
  <c r="J11" i="34"/>
  <c r="H11" i="34"/>
  <c r="K10" i="34"/>
  <c r="J10" i="34"/>
  <c r="H10" i="34"/>
  <c r="T25" i="52"/>
  <c r="AA25" i="52" s="1"/>
  <c r="R25" i="52"/>
  <c r="Y25" i="52" s="1"/>
  <c r="P25" i="52"/>
  <c r="W25" i="52" s="1"/>
  <c r="AD25" i="52" s="1"/>
  <c r="O25" i="52"/>
  <c r="V25" i="52" s="1"/>
  <c r="AC25" i="52" s="1"/>
  <c r="N25" i="52"/>
  <c r="U25" i="52" s="1"/>
  <c r="AB25" i="52" s="1"/>
  <c r="M25" i="52"/>
  <c r="L25" i="52"/>
  <c r="S25" i="52" s="1"/>
  <c r="Z25" i="52" s="1"/>
  <c r="K25" i="52"/>
  <c r="W24" i="52"/>
  <c r="AD24" i="52" s="1"/>
  <c r="S24" i="52"/>
  <c r="Z24" i="52" s="1"/>
  <c r="R24" i="52"/>
  <c r="Y24" i="52" s="1"/>
  <c r="P24" i="52"/>
  <c r="O24" i="52"/>
  <c r="V24" i="52" s="1"/>
  <c r="AC24" i="52" s="1"/>
  <c r="N24" i="52"/>
  <c r="U24" i="52" s="1"/>
  <c r="AB24" i="52" s="1"/>
  <c r="M24" i="52"/>
  <c r="T24" i="52" s="1"/>
  <c r="AA24" i="52" s="1"/>
  <c r="L24" i="52"/>
  <c r="K24" i="52"/>
  <c r="U23" i="52"/>
  <c r="AB23" i="52" s="1"/>
  <c r="T23" i="52"/>
  <c r="AA23" i="52" s="1"/>
  <c r="P23" i="52"/>
  <c r="W23" i="52" s="1"/>
  <c r="AD23" i="52" s="1"/>
  <c r="O23" i="52"/>
  <c r="V23" i="52" s="1"/>
  <c r="AC23" i="52" s="1"/>
  <c r="N23" i="52"/>
  <c r="M23" i="52"/>
  <c r="L23" i="52"/>
  <c r="S23" i="52" s="1"/>
  <c r="Z23" i="52" s="1"/>
  <c r="K23" i="52"/>
  <c r="R23" i="52" s="1"/>
  <c r="Y23" i="52" s="1"/>
  <c r="W22" i="52"/>
  <c r="AD22" i="52" s="1"/>
  <c r="V22" i="52"/>
  <c r="AC22" i="52" s="1"/>
  <c r="S22" i="52"/>
  <c r="Z22" i="52" s="1"/>
  <c r="P22" i="52"/>
  <c r="O22" i="52"/>
  <c r="N22" i="52"/>
  <c r="U22" i="52" s="1"/>
  <c r="AB22" i="52" s="1"/>
  <c r="M22" i="52"/>
  <c r="T22" i="52" s="1"/>
  <c r="AA22" i="52" s="1"/>
  <c r="L22" i="52"/>
  <c r="K22" i="52"/>
  <c r="R22" i="52" s="1"/>
  <c r="Y22" i="52" s="1"/>
  <c r="Y21" i="52"/>
  <c r="S21" i="52"/>
  <c r="Z21" i="52" s="1"/>
  <c r="R21" i="52"/>
  <c r="P21" i="52"/>
  <c r="W21" i="52" s="1"/>
  <c r="AD21" i="52" s="1"/>
  <c r="O21" i="52"/>
  <c r="V21" i="52" s="1"/>
  <c r="AC21" i="52" s="1"/>
  <c r="N21" i="52"/>
  <c r="U21" i="52" s="1"/>
  <c r="AB21" i="52" s="1"/>
  <c r="M21" i="52"/>
  <c r="T21" i="52" s="1"/>
  <c r="AA21" i="52" s="1"/>
  <c r="L21" i="52"/>
  <c r="K21" i="52"/>
  <c r="W12" i="52"/>
  <c r="AD12" i="52" s="1"/>
  <c r="V12" i="52"/>
  <c r="AC12" i="52" s="1"/>
  <c r="P12" i="52"/>
  <c r="O12" i="52"/>
  <c r="N12" i="52"/>
  <c r="U12" i="52" s="1"/>
  <c r="AB12" i="52" s="1"/>
  <c r="M12" i="52"/>
  <c r="T12" i="52" s="1"/>
  <c r="AA12" i="52" s="1"/>
  <c r="L12" i="52"/>
  <c r="S12" i="52" s="1"/>
  <c r="Z12" i="52" s="1"/>
  <c r="K12" i="52"/>
  <c r="R12" i="52" s="1"/>
  <c r="Y12" i="52" s="1"/>
  <c r="P11" i="52"/>
  <c r="W11" i="52" s="1"/>
  <c r="AD11" i="52" s="1"/>
  <c r="O11" i="52"/>
  <c r="V11" i="52" s="1"/>
  <c r="AC11" i="52" s="1"/>
  <c r="N11" i="52"/>
  <c r="U11" i="52" s="1"/>
  <c r="AB11" i="52" s="1"/>
  <c r="M11" i="52"/>
  <c r="T11" i="52" s="1"/>
  <c r="AA11" i="52" s="1"/>
  <c r="L11" i="52"/>
  <c r="S11" i="52" s="1"/>
  <c r="Z11" i="52" s="1"/>
  <c r="K11" i="52"/>
  <c r="R11" i="52" s="1"/>
  <c r="Y11" i="52" s="1"/>
  <c r="V10" i="52"/>
  <c r="AC10" i="52" s="1"/>
  <c r="S10" i="52"/>
  <c r="Z10" i="52" s="1"/>
  <c r="R10" i="52"/>
  <c r="Y10" i="52" s="1"/>
  <c r="P10" i="52"/>
  <c r="W10" i="52" s="1"/>
  <c r="AD10" i="52" s="1"/>
  <c r="O10" i="52"/>
  <c r="N10" i="52"/>
  <c r="U10" i="52" s="1"/>
  <c r="AB10" i="52" s="1"/>
  <c r="M10" i="52"/>
  <c r="T10" i="52" s="1"/>
  <c r="AA10" i="52" s="1"/>
  <c r="L10" i="52"/>
  <c r="K10" i="52"/>
  <c r="P9" i="52"/>
  <c r="W9" i="52" s="1"/>
  <c r="AD9" i="52" s="1"/>
  <c r="O9" i="52"/>
  <c r="V9" i="52" s="1"/>
  <c r="AC9" i="52" s="1"/>
  <c r="N9" i="52"/>
  <c r="U9" i="52" s="1"/>
  <c r="AB9" i="52" s="1"/>
  <c r="M9" i="52"/>
  <c r="T9" i="52" s="1"/>
  <c r="AA9" i="52" s="1"/>
  <c r="L9" i="52"/>
  <c r="S9" i="52" s="1"/>
  <c r="Z9" i="52" s="1"/>
  <c r="K9" i="52"/>
  <c r="R9" i="52" s="1"/>
  <c r="Y9" i="52" s="1"/>
  <c r="Y8" i="52"/>
  <c r="R8" i="52"/>
  <c r="P8" i="52"/>
  <c r="W8" i="52" s="1"/>
  <c r="AD8" i="52" s="1"/>
  <c r="O8" i="52"/>
  <c r="V8" i="52" s="1"/>
  <c r="AC8" i="52" s="1"/>
  <c r="N8" i="52"/>
  <c r="U8" i="52" s="1"/>
  <c r="AB8" i="52" s="1"/>
  <c r="M8" i="52"/>
  <c r="T8" i="52" s="1"/>
  <c r="AA8" i="52" s="1"/>
  <c r="L8" i="52"/>
  <c r="S8" i="52" s="1"/>
  <c r="Z8" i="52" s="1"/>
  <c r="K8" i="52"/>
  <c r="G67" i="51"/>
  <c r="K65" i="51" s="1"/>
  <c r="L65" i="51" s="1"/>
  <c r="N65" i="51" s="1"/>
  <c r="G64" i="51"/>
  <c r="K63" i="51" s="1"/>
  <c r="L63" i="51" s="1"/>
  <c r="N63" i="51" s="1"/>
  <c r="G61" i="51"/>
  <c r="K60" i="51" s="1"/>
  <c r="L60" i="51" s="1"/>
  <c r="N60" i="51" s="1"/>
  <c r="G58" i="51"/>
  <c r="K58" i="51" s="1"/>
  <c r="L58" i="51" s="1"/>
  <c r="N58" i="51" s="1"/>
  <c r="G55" i="51"/>
  <c r="K53" i="51" s="1"/>
  <c r="L53" i="51" s="1"/>
  <c r="N53" i="51" s="1"/>
  <c r="G52" i="51"/>
  <c r="K51" i="51" s="1"/>
  <c r="L51" i="51" s="1"/>
  <c r="N51" i="51" s="1"/>
  <c r="G49" i="51"/>
  <c r="K49" i="51" s="1"/>
  <c r="L49" i="51" s="1"/>
  <c r="N49" i="51" s="1"/>
  <c r="G46" i="51"/>
  <c r="K46" i="51" s="1"/>
  <c r="L46" i="51" s="1"/>
  <c r="N46" i="51" s="1"/>
  <c r="G43" i="51"/>
  <c r="K41" i="51" s="1"/>
  <c r="L41" i="51" s="1"/>
  <c r="G40" i="51"/>
  <c r="K39" i="51" s="1"/>
  <c r="L39" i="51" s="1"/>
  <c r="N39" i="51" s="1"/>
  <c r="G36" i="51"/>
  <c r="K34" i="51" s="1"/>
  <c r="L34" i="51" s="1"/>
  <c r="N34" i="51" s="1"/>
  <c r="K35" i="51"/>
  <c r="L35" i="51" s="1"/>
  <c r="N35" i="51" s="1"/>
  <c r="G33" i="51"/>
  <c r="K31" i="51" s="1"/>
  <c r="L31" i="51" s="1"/>
  <c r="N31" i="51" s="1"/>
  <c r="G30" i="51"/>
  <c r="K28" i="51" s="1"/>
  <c r="L28" i="51" s="1"/>
  <c r="N28" i="51" s="1"/>
  <c r="G27" i="51"/>
  <c r="K26" i="51" s="1"/>
  <c r="L26" i="51" s="1"/>
  <c r="N26" i="51" s="1"/>
  <c r="G24" i="51"/>
  <c r="K23" i="51" s="1"/>
  <c r="L23" i="51" s="1"/>
  <c r="N23" i="51" s="1"/>
  <c r="G21" i="51"/>
  <c r="K19" i="51" s="1"/>
  <c r="L19" i="51" s="1"/>
  <c r="N19" i="51" s="1"/>
  <c r="G18" i="51"/>
  <c r="K16" i="51" s="1"/>
  <c r="L16" i="51" s="1"/>
  <c r="N16" i="51" s="1"/>
  <c r="G15" i="51"/>
  <c r="K14" i="51" s="1"/>
  <c r="L14" i="51" s="1"/>
  <c r="N14" i="51" s="1"/>
  <c r="G12" i="51"/>
  <c r="K11" i="51" s="1"/>
  <c r="L11" i="51" s="1"/>
  <c r="N11" i="51" s="1"/>
  <c r="G9" i="51"/>
  <c r="K7" i="51" s="1"/>
  <c r="L7" i="51" s="1"/>
  <c r="N7" i="51" s="1"/>
  <c r="E42" i="13"/>
  <c r="I40" i="13" s="1"/>
  <c r="J40" i="13" s="1"/>
  <c r="L40" i="13" s="1"/>
  <c r="E39" i="13"/>
  <c r="I38" i="13" s="1"/>
  <c r="J38" i="13" s="1"/>
  <c r="L38" i="13" s="1"/>
  <c r="F27" i="50"/>
  <c r="J26" i="50" s="1"/>
  <c r="K26" i="50" s="1"/>
  <c r="M26" i="50" s="1"/>
  <c r="F24" i="50"/>
  <c r="J23" i="50" s="1"/>
  <c r="K23" i="50" s="1"/>
  <c r="M23" i="50" s="1"/>
  <c r="S4" i="9"/>
  <c r="S5" i="9"/>
  <c r="S6" i="9"/>
  <c r="S7" i="9"/>
  <c r="S8" i="9"/>
  <c r="S3" i="9"/>
  <c r="H4" i="6"/>
  <c r="J4" i="6"/>
  <c r="J5" i="6"/>
  <c r="J6" i="6"/>
  <c r="J7" i="6"/>
  <c r="J8" i="6"/>
  <c r="J9" i="6"/>
  <c r="J10" i="6"/>
  <c r="J11" i="6"/>
  <c r="J12" i="6"/>
  <c r="J13" i="6"/>
  <c r="J14" i="6"/>
  <c r="J15" i="6"/>
  <c r="E16" i="6"/>
  <c r="J16" i="6"/>
  <c r="E17" i="6"/>
  <c r="J17" i="6" s="1"/>
  <c r="E18" i="6"/>
  <c r="J18" i="6"/>
  <c r="J19" i="6"/>
  <c r="J20" i="6"/>
  <c r="J21" i="6"/>
  <c r="E6" i="3"/>
  <c r="I4" i="3" s="1"/>
  <c r="J4" i="3" s="1"/>
  <c r="M6" i="3"/>
  <c r="E9" i="3"/>
  <c r="I9" i="3" s="1"/>
  <c r="J9" i="3" s="1"/>
  <c r="P9" i="3" s="1"/>
  <c r="M9" i="3"/>
  <c r="E12" i="3"/>
  <c r="I10" i="3" s="1"/>
  <c r="J10" i="3" s="1"/>
  <c r="M12" i="3"/>
  <c r="E15" i="3"/>
  <c r="I14" i="3" s="1"/>
  <c r="J14" i="3" s="1"/>
  <c r="I15" i="3"/>
  <c r="J15" i="3" s="1"/>
  <c r="P15" i="3" s="1"/>
  <c r="M15" i="3"/>
  <c r="E23" i="3"/>
  <c r="I21" i="3" s="1"/>
  <c r="J21" i="3" s="1"/>
  <c r="M23" i="3"/>
  <c r="E26" i="3"/>
  <c r="I24" i="3" s="1"/>
  <c r="J24" i="3" s="1"/>
  <c r="P24" i="3" s="1"/>
  <c r="M26" i="3"/>
  <c r="E29" i="3"/>
  <c r="I27" i="3" s="1"/>
  <c r="J27" i="3" s="1"/>
  <c r="M29" i="3"/>
  <c r="E32" i="3"/>
  <c r="I31" i="3" s="1"/>
  <c r="J31" i="3" s="1"/>
  <c r="M32" i="3"/>
  <c r="I12" i="3" l="1"/>
  <c r="J12" i="3" s="1"/>
  <c r="P12" i="3" s="1"/>
  <c r="I32" i="3"/>
  <c r="J32" i="3" s="1"/>
  <c r="P32" i="3" s="1"/>
  <c r="I22" i="3"/>
  <c r="J22" i="3" s="1"/>
  <c r="P22" i="3" s="1"/>
  <c r="I26" i="3"/>
  <c r="J26" i="3" s="1"/>
  <c r="P26" i="3" s="1"/>
  <c r="I28" i="3"/>
  <c r="J28" i="3" s="1"/>
  <c r="P28" i="3" s="1"/>
  <c r="I30" i="3"/>
  <c r="J30" i="3" s="1"/>
  <c r="P30" i="3" s="1"/>
  <c r="I29" i="3"/>
  <c r="J29" i="3" s="1"/>
  <c r="P29" i="3" s="1"/>
  <c r="K17" i="51"/>
  <c r="L17" i="51" s="1"/>
  <c r="N17" i="51" s="1"/>
  <c r="K56" i="51"/>
  <c r="L56" i="51" s="1"/>
  <c r="N56" i="51" s="1"/>
  <c r="K57" i="51"/>
  <c r="L57" i="51" s="1"/>
  <c r="N57" i="51" s="1"/>
  <c r="K45" i="51"/>
  <c r="L45" i="51" s="1"/>
  <c r="N45" i="51" s="1"/>
  <c r="K29" i="51"/>
  <c r="L29" i="51" s="1"/>
  <c r="N29" i="51" s="1"/>
  <c r="K66" i="51"/>
  <c r="L66" i="51" s="1"/>
  <c r="N66" i="51" s="1"/>
  <c r="K12" i="51"/>
  <c r="L12" i="51" s="1"/>
  <c r="N12" i="51" s="1"/>
  <c r="K52" i="51"/>
  <c r="L52" i="51" s="1"/>
  <c r="N52" i="51" s="1"/>
  <c r="K36" i="51"/>
  <c r="L36" i="51" s="1"/>
  <c r="N36" i="51" s="1"/>
  <c r="K10" i="51"/>
  <c r="L10" i="51" s="1"/>
  <c r="N10" i="51" s="1"/>
  <c r="K42" i="51"/>
  <c r="L42" i="51" s="1"/>
  <c r="N42" i="51" s="1"/>
  <c r="K54" i="51"/>
  <c r="L54" i="51" s="1"/>
  <c r="N54" i="51" s="1"/>
  <c r="K64" i="51"/>
  <c r="L64" i="51" s="1"/>
  <c r="N64" i="51" s="1"/>
  <c r="K24" i="51"/>
  <c r="L24" i="51" s="1"/>
  <c r="N24" i="51" s="1"/>
  <c r="K22" i="51"/>
  <c r="L22" i="51" s="1"/>
  <c r="N22" i="51" s="1"/>
  <c r="K44" i="51"/>
  <c r="L44" i="51" s="1"/>
  <c r="N44" i="51" s="1"/>
  <c r="K55" i="51"/>
  <c r="L55" i="51" s="1"/>
  <c r="N55" i="51" s="1"/>
  <c r="N41" i="51"/>
  <c r="K61" i="51"/>
  <c r="L61" i="51" s="1"/>
  <c r="N61" i="51" s="1"/>
  <c r="K8" i="51"/>
  <c r="L8" i="51" s="1"/>
  <c r="N8" i="51" s="1"/>
  <c r="K15" i="51"/>
  <c r="L15" i="51" s="1"/>
  <c r="N15" i="51" s="1"/>
  <c r="K20" i="51"/>
  <c r="L20" i="51" s="1"/>
  <c r="N20" i="51" s="1"/>
  <c r="K27" i="51"/>
  <c r="L27" i="51" s="1"/>
  <c r="N27" i="51" s="1"/>
  <c r="K32" i="51"/>
  <c r="L32" i="51" s="1"/>
  <c r="N32" i="51" s="1"/>
  <c r="K40" i="51"/>
  <c r="L40" i="51" s="1"/>
  <c r="N40" i="51" s="1"/>
  <c r="K47" i="51"/>
  <c r="L47" i="51" s="1"/>
  <c r="N47" i="51" s="1"/>
  <c r="K59" i="51"/>
  <c r="L59" i="51" s="1"/>
  <c r="N59" i="51" s="1"/>
  <c r="K13" i="51"/>
  <c r="L13" i="51" s="1"/>
  <c r="N13" i="51" s="1"/>
  <c r="K25" i="51"/>
  <c r="L25" i="51" s="1"/>
  <c r="N25" i="51" s="1"/>
  <c r="K38" i="51"/>
  <c r="L38" i="51" s="1"/>
  <c r="N38" i="51" s="1"/>
  <c r="K18" i="51"/>
  <c r="L18" i="51" s="1"/>
  <c r="N18" i="51" s="1"/>
  <c r="K30" i="51"/>
  <c r="L30" i="51" s="1"/>
  <c r="N30" i="51" s="1"/>
  <c r="K43" i="51"/>
  <c r="L43" i="51" s="1"/>
  <c r="N43" i="51" s="1"/>
  <c r="K50" i="51"/>
  <c r="L50" i="51" s="1"/>
  <c r="N50" i="51" s="1"/>
  <c r="K62" i="51"/>
  <c r="L62" i="51" s="1"/>
  <c r="N62" i="51" s="1"/>
  <c r="K48" i="51"/>
  <c r="L48" i="51" s="1"/>
  <c r="N48" i="51" s="1"/>
  <c r="K67" i="51"/>
  <c r="L67" i="51" s="1"/>
  <c r="N67" i="51" s="1"/>
  <c r="K9" i="51"/>
  <c r="L9" i="51" s="1"/>
  <c r="N9" i="51" s="1"/>
  <c r="K21" i="51"/>
  <c r="L21" i="51" s="1"/>
  <c r="N21" i="51" s="1"/>
  <c r="K33" i="51"/>
  <c r="L33" i="51" s="1"/>
  <c r="N33" i="51" s="1"/>
  <c r="I39" i="13"/>
  <c r="J39" i="13" s="1"/>
  <c r="L39" i="13" s="1"/>
  <c r="I41" i="13"/>
  <c r="J41" i="13" s="1"/>
  <c r="L41" i="13" s="1"/>
  <c r="I42" i="13"/>
  <c r="J42" i="13" s="1"/>
  <c r="L42" i="13" s="1"/>
  <c r="I37" i="13"/>
  <c r="J37" i="13" s="1"/>
  <c r="L37" i="13" s="1"/>
  <c r="J27" i="50"/>
  <c r="K27" i="50" s="1"/>
  <c r="M27" i="50" s="1"/>
  <c r="J22" i="50"/>
  <c r="K22" i="50" s="1"/>
  <c r="J25" i="50"/>
  <c r="K25" i="50" s="1"/>
  <c r="M25" i="50" s="1"/>
  <c r="J24" i="50"/>
  <c r="K24" i="50" s="1"/>
  <c r="M24" i="50" s="1"/>
  <c r="I7" i="3"/>
  <c r="J7" i="3" s="1"/>
  <c r="L9" i="3" s="1"/>
  <c r="N9" i="3" s="1"/>
  <c r="I25" i="3"/>
  <c r="J25" i="3" s="1"/>
  <c r="P25" i="3" s="1"/>
  <c r="I23" i="3"/>
  <c r="J23" i="3" s="1"/>
  <c r="P23" i="3" s="1"/>
  <c r="I13" i="3"/>
  <c r="J13" i="3" s="1"/>
  <c r="P13" i="3" s="1"/>
  <c r="I8" i="3"/>
  <c r="J8" i="3" s="1"/>
  <c r="P8" i="3" s="1"/>
  <c r="P27" i="3"/>
  <c r="P14" i="3"/>
  <c r="P31" i="3"/>
  <c r="P21" i="3"/>
  <c r="P10" i="3"/>
  <c r="P4" i="3"/>
  <c r="I11" i="3"/>
  <c r="J11" i="3" s="1"/>
  <c r="P11" i="3" s="1"/>
  <c r="I6" i="3"/>
  <c r="J6" i="3" s="1"/>
  <c r="P6" i="3" s="1"/>
  <c r="I5" i="3"/>
  <c r="J5" i="3" s="1"/>
  <c r="P5" i="3" s="1"/>
  <c r="F16" i="69"/>
  <c r="J16" i="69" s="1"/>
  <c r="K16" i="69" s="1"/>
  <c r="N16" i="69" s="1"/>
  <c r="F13" i="69"/>
  <c r="J11" i="69" s="1"/>
  <c r="K11" i="69" s="1"/>
  <c r="N11" i="69" s="1"/>
  <c r="F10" i="69"/>
  <c r="J10" i="69" s="1"/>
  <c r="K10" i="69" s="1"/>
  <c r="N10" i="69" s="1"/>
  <c r="F7" i="69"/>
  <c r="J5" i="69" s="1"/>
  <c r="K5" i="69" s="1"/>
  <c r="N5" i="69" s="1"/>
  <c r="L29" i="3" l="1"/>
  <c r="N29" i="3" s="1"/>
  <c r="P7" i="3"/>
  <c r="K32" i="3"/>
  <c r="K26" i="3"/>
  <c r="L26" i="3"/>
  <c r="N26" i="3" s="1"/>
  <c r="L32" i="3"/>
  <c r="N32" i="3" s="1"/>
  <c r="K9" i="3"/>
  <c r="K29" i="3"/>
  <c r="J8" i="69"/>
  <c r="K8" i="69" s="1"/>
  <c r="N8" i="69" s="1"/>
  <c r="J14" i="69"/>
  <c r="K14" i="69" s="1"/>
  <c r="N14" i="69" s="1"/>
  <c r="M43" i="51"/>
  <c r="M22" i="50"/>
  <c r="L22" i="50"/>
  <c r="L23" i="3"/>
  <c r="N23" i="3" s="1"/>
  <c r="K23" i="3"/>
  <c r="K12" i="3"/>
  <c r="L15" i="3"/>
  <c r="N15" i="3" s="1"/>
  <c r="K15" i="3"/>
  <c r="L6" i="3"/>
  <c r="N6" i="3" s="1"/>
  <c r="L12" i="3"/>
  <c r="N12" i="3" s="1"/>
  <c r="K6" i="3"/>
  <c r="J6" i="69"/>
  <c r="K6" i="69" s="1"/>
  <c r="N6" i="69" s="1"/>
  <c r="J7" i="69"/>
  <c r="K7" i="69" s="1"/>
  <c r="N7" i="69" s="1"/>
  <c r="J12" i="69"/>
  <c r="K12" i="69" s="1"/>
  <c r="N12" i="69" s="1"/>
  <c r="J13" i="69"/>
  <c r="K13" i="69" s="1"/>
  <c r="N13" i="69" s="1"/>
  <c r="J9" i="69"/>
  <c r="K9" i="69" s="1"/>
  <c r="N9" i="69" s="1"/>
  <c r="J15" i="69"/>
  <c r="K15" i="69" s="1"/>
  <c r="N15" i="69" s="1"/>
  <c r="D15" i="58" l="1"/>
  <c r="E12" i="58"/>
  <c r="E15" i="58" s="1"/>
  <c r="D12" i="58"/>
  <c r="F11" i="58"/>
  <c r="F14" i="58" s="1"/>
  <c r="E11" i="58"/>
  <c r="E14" i="58" s="1"/>
  <c r="Q10" i="57"/>
  <c r="Q13" i="57" s="1"/>
  <c r="Q16" i="57" s="1"/>
  <c r="P10" i="57"/>
  <c r="P13" i="57" s="1"/>
  <c r="P16" i="57" s="1"/>
  <c r="O10" i="57"/>
  <c r="O13" i="57" s="1"/>
  <c r="O16" i="57" s="1"/>
  <c r="N10" i="57"/>
  <c r="N13" i="57" s="1"/>
  <c r="N16" i="57" s="1"/>
  <c r="M10" i="57"/>
  <c r="M13" i="57" s="1"/>
  <c r="M16" i="57" s="1"/>
  <c r="L10" i="57"/>
  <c r="L13" i="57" s="1"/>
  <c r="L16" i="57" s="1"/>
  <c r="J10" i="57"/>
  <c r="J13" i="57" s="1"/>
  <c r="J16" i="57" s="1"/>
  <c r="I10" i="57"/>
  <c r="I13" i="57" s="1"/>
  <c r="I16" i="57" s="1"/>
  <c r="H10" i="57"/>
  <c r="H13" i="57" s="1"/>
  <c r="H16" i="57" s="1"/>
  <c r="G10" i="57"/>
  <c r="G13" i="57" s="1"/>
  <c r="G16" i="57" s="1"/>
  <c r="F10" i="57"/>
  <c r="F13" i="57" s="1"/>
  <c r="F16" i="57" s="1"/>
  <c r="E10" i="57"/>
  <c r="E13" i="57" s="1"/>
  <c r="E16" i="57" s="1"/>
  <c r="Q9" i="57"/>
  <c r="Q12" i="57" s="1"/>
  <c r="Q15" i="57" s="1"/>
  <c r="P9" i="57"/>
  <c r="P12" i="57" s="1"/>
  <c r="P15" i="57" s="1"/>
  <c r="O9" i="57"/>
  <c r="O12" i="57" s="1"/>
  <c r="O15" i="57" s="1"/>
  <c r="N9" i="57"/>
  <c r="N12" i="57" s="1"/>
  <c r="N15" i="57" s="1"/>
  <c r="M9" i="57"/>
  <c r="M12" i="57" s="1"/>
  <c r="M15" i="57" s="1"/>
  <c r="L9" i="57"/>
  <c r="L12" i="57" s="1"/>
  <c r="L15" i="57" s="1"/>
  <c r="J9" i="57"/>
  <c r="J12" i="57" s="1"/>
  <c r="J15" i="57" s="1"/>
  <c r="I9" i="57"/>
  <c r="I12" i="57" s="1"/>
  <c r="I15" i="57" s="1"/>
  <c r="H9" i="57"/>
  <c r="H12" i="57" s="1"/>
  <c r="H15" i="57" s="1"/>
  <c r="G9" i="57"/>
  <c r="G12" i="57" s="1"/>
  <c r="G15" i="57" s="1"/>
  <c r="F9" i="57"/>
  <c r="F12" i="57" s="1"/>
  <c r="F15" i="57" s="1"/>
  <c r="E9" i="57"/>
  <c r="E12" i="57" s="1"/>
  <c r="E15" i="57" s="1"/>
  <c r="I35" i="56" l="1"/>
  <c r="J35" i="56" s="1"/>
  <c r="K35" i="56" s="1"/>
  <c r="O35" i="56" s="1"/>
  <c r="I34" i="56"/>
  <c r="J34" i="56" s="1"/>
  <c r="K34" i="56" s="1"/>
  <c r="O34" i="56" s="1"/>
  <c r="I33" i="56"/>
  <c r="J33" i="56" s="1"/>
  <c r="K33" i="56" s="1"/>
  <c r="I32" i="56"/>
  <c r="J32" i="56" s="1"/>
  <c r="K32" i="56" s="1"/>
  <c r="O32" i="56" s="1"/>
  <c r="I31" i="56"/>
  <c r="J31" i="56" s="1"/>
  <c r="K31" i="56" s="1"/>
  <c r="O31" i="56" s="1"/>
  <c r="I30" i="56"/>
  <c r="J30" i="56" s="1"/>
  <c r="K30" i="56" s="1"/>
  <c r="I29" i="56"/>
  <c r="J29" i="56" s="1"/>
  <c r="K29" i="56" s="1"/>
  <c r="O29" i="56" s="1"/>
  <c r="I28" i="56"/>
  <c r="J28" i="56" s="1"/>
  <c r="K28" i="56" s="1"/>
  <c r="O28" i="56" s="1"/>
  <c r="I27" i="56"/>
  <c r="J27" i="56" s="1"/>
  <c r="K27" i="56" s="1"/>
  <c r="I26" i="56"/>
  <c r="J26" i="56" s="1"/>
  <c r="K26" i="56" s="1"/>
  <c r="O26" i="56" s="1"/>
  <c r="I25" i="56"/>
  <c r="J25" i="56" s="1"/>
  <c r="K25" i="56" s="1"/>
  <c r="O25" i="56" s="1"/>
  <c r="I24" i="56"/>
  <c r="J24" i="56" s="1"/>
  <c r="K24" i="56" s="1"/>
  <c r="I23" i="56"/>
  <c r="J23" i="56" s="1"/>
  <c r="K23" i="56" s="1"/>
  <c r="O23" i="56" s="1"/>
  <c r="J22" i="56"/>
  <c r="K22" i="56" s="1"/>
  <c r="I21" i="56"/>
  <c r="J21" i="56" s="1"/>
  <c r="K21" i="56" s="1"/>
  <c r="I18" i="56"/>
  <c r="J18" i="56" s="1"/>
  <c r="K18" i="56" s="1"/>
  <c r="O18" i="56" s="1"/>
  <c r="I17" i="56"/>
  <c r="J17" i="56" s="1"/>
  <c r="K17" i="56" s="1"/>
  <c r="O17" i="56" s="1"/>
  <c r="I16" i="56"/>
  <c r="J16" i="56" s="1"/>
  <c r="K16" i="56" s="1"/>
  <c r="F16" i="56"/>
  <c r="I15" i="56"/>
  <c r="J15" i="56" s="1"/>
  <c r="K15" i="56" s="1"/>
  <c r="O15" i="56" s="1"/>
  <c r="J14" i="56"/>
  <c r="K14" i="56" s="1"/>
  <c r="O14" i="56" s="1"/>
  <c r="I14" i="56"/>
  <c r="I13" i="56"/>
  <c r="J13" i="56" s="1"/>
  <c r="K13" i="56" s="1"/>
  <c r="F13" i="56"/>
  <c r="I12" i="56"/>
  <c r="J12" i="56" s="1"/>
  <c r="K12" i="56" s="1"/>
  <c r="O12" i="56" s="1"/>
  <c r="I11" i="56"/>
  <c r="J11" i="56" s="1"/>
  <c r="K11" i="56" s="1"/>
  <c r="O11" i="56" s="1"/>
  <c r="I10" i="56"/>
  <c r="J10" i="56" s="1"/>
  <c r="K10" i="56" s="1"/>
  <c r="F10" i="56"/>
  <c r="I9" i="56"/>
  <c r="J9" i="56" s="1"/>
  <c r="K9" i="56" s="1"/>
  <c r="O9" i="56" s="1"/>
  <c r="I8" i="56"/>
  <c r="J8" i="56" s="1"/>
  <c r="K8" i="56" s="1"/>
  <c r="O8" i="56" s="1"/>
  <c r="I7" i="56"/>
  <c r="J7" i="56" s="1"/>
  <c r="K7" i="56" s="1"/>
  <c r="F7" i="56"/>
  <c r="I6" i="56"/>
  <c r="J6" i="56" s="1"/>
  <c r="K6" i="56" s="1"/>
  <c r="O6" i="56" s="1"/>
  <c r="I5" i="56"/>
  <c r="J5" i="56" s="1"/>
  <c r="K5" i="56" s="1"/>
  <c r="O5" i="56" s="1"/>
  <c r="I4" i="56"/>
  <c r="J4" i="56" s="1"/>
  <c r="K4" i="56" s="1"/>
  <c r="F4" i="56"/>
  <c r="F31" i="37"/>
  <c r="H31" i="37" s="1"/>
  <c r="J31" i="37" s="1"/>
  <c r="K31" i="37" s="1"/>
  <c r="F30" i="37"/>
  <c r="H30" i="37" s="1"/>
  <c r="J30" i="37" s="1"/>
  <c r="K30" i="37" s="1"/>
  <c r="F29" i="37"/>
  <c r="H29" i="37" s="1"/>
  <c r="J29" i="37" s="1"/>
  <c r="K29" i="37" s="1"/>
  <c r="F28" i="37"/>
  <c r="H28" i="37" s="1"/>
  <c r="J28" i="37" s="1"/>
  <c r="K28" i="37" s="1"/>
  <c r="F27" i="37"/>
  <c r="H27" i="37" s="1"/>
  <c r="J27" i="37" s="1"/>
  <c r="K27" i="37" s="1"/>
  <c r="F26" i="37"/>
  <c r="H26" i="37" s="1"/>
  <c r="J26" i="37" s="1"/>
  <c r="K26" i="37" s="1"/>
  <c r="F25" i="37"/>
  <c r="H25" i="37" s="1"/>
  <c r="J25" i="37" s="1"/>
  <c r="K25" i="37" s="1"/>
  <c r="F24" i="37"/>
  <c r="H24" i="37" s="1"/>
  <c r="J24" i="37" s="1"/>
  <c r="K24" i="37" s="1"/>
  <c r="F23" i="37"/>
  <c r="H23" i="37" s="1"/>
  <c r="J23" i="37" s="1"/>
  <c r="K23" i="37" s="1"/>
  <c r="F22" i="37"/>
  <c r="H22" i="37" s="1"/>
  <c r="J22" i="37" s="1"/>
  <c r="K22" i="37" s="1"/>
  <c r="F21" i="37"/>
  <c r="H21" i="37" s="1"/>
  <c r="J21" i="37" s="1"/>
  <c r="K21" i="37" s="1"/>
  <c r="F20" i="37"/>
  <c r="H20" i="37" s="1"/>
  <c r="J20" i="37" s="1"/>
  <c r="K20" i="37" s="1"/>
  <c r="F19" i="37"/>
  <c r="H19" i="37" s="1"/>
  <c r="J19" i="37" s="1"/>
  <c r="K19" i="37" s="1"/>
  <c r="F18" i="37"/>
  <c r="H18" i="37" s="1"/>
  <c r="J18" i="37" s="1"/>
  <c r="K18" i="37" s="1"/>
  <c r="F17" i="37"/>
  <c r="H17" i="37" s="1"/>
  <c r="J17" i="37" s="1"/>
  <c r="K17" i="37" s="1"/>
  <c r="F16" i="37"/>
  <c r="H16" i="37" s="1"/>
  <c r="J16" i="37" s="1"/>
  <c r="K16" i="37" s="1"/>
  <c r="F15" i="37"/>
  <c r="H15" i="37" s="1"/>
  <c r="J15" i="37" s="1"/>
  <c r="K15" i="37" s="1"/>
  <c r="F14" i="37"/>
  <c r="H14" i="37" s="1"/>
  <c r="J14" i="37" s="1"/>
  <c r="K14" i="37" s="1"/>
  <c r="F13" i="37"/>
  <c r="H13" i="37" s="1"/>
  <c r="J13" i="37" s="1"/>
  <c r="K13" i="37" s="1"/>
  <c r="F12" i="37"/>
  <c r="H12" i="37" s="1"/>
  <c r="J12" i="37" s="1"/>
  <c r="K12" i="37" s="1"/>
  <c r="L10" i="56" l="1"/>
  <c r="O10" i="56"/>
  <c r="M10" i="56"/>
  <c r="N10" i="56" s="1"/>
  <c r="L4" i="56"/>
  <c r="O4" i="56"/>
  <c r="M4" i="56"/>
  <c r="N4" i="56" s="1"/>
  <c r="L16" i="56"/>
  <c r="O16" i="56"/>
  <c r="M16" i="56"/>
  <c r="N16" i="56" s="1"/>
  <c r="L24" i="56"/>
  <c r="O24" i="56"/>
  <c r="M24" i="56"/>
  <c r="N24" i="56" s="1"/>
  <c r="O33" i="56"/>
  <c r="L33" i="56"/>
  <c r="M33" i="56"/>
  <c r="N33" i="56" s="1"/>
  <c r="L7" i="56"/>
  <c r="O7" i="56"/>
  <c r="M7" i="56"/>
  <c r="N7" i="56" s="1"/>
  <c r="L13" i="56"/>
  <c r="M13" i="56"/>
  <c r="N13" i="56" s="1"/>
  <c r="O13" i="56"/>
  <c r="M21" i="56"/>
  <c r="N21" i="56" s="1"/>
  <c r="L21" i="56"/>
  <c r="O21" i="56"/>
  <c r="L30" i="56"/>
  <c r="M30" i="56"/>
  <c r="N30" i="56" s="1"/>
  <c r="O30" i="56"/>
  <c r="M27" i="56"/>
  <c r="N27" i="56" s="1"/>
  <c r="L27" i="56"/>
  <c r="O27" i="56"/>
  <c r="K14" i="35"/>
  <c r="M14" i="35" s="1"/>
  <c r="Q14" i="35" s="1"/>
  <c r="J14" i="35"/>
  <c r="L14" i="35" s="1"/>
  <c r="P14" i="35" s="1"/>
  <c r="K13" i="35"/>
  <c r="M13" i="35" s="1"/>
  <c r="Q13" i="35" s="1"/>
  <c r="J13" i="35"/>
  <c r="L13" i="35" s="1"/>
  <c r="P13" i="35" s="1"/>
  <c r="K12" i="35"/>
  <c r="M12" i="35" s="1"/>
  <c r="Q12" i="35" s="1"/>
  <c r="J12" i="35"/>
  <c r="L12" i="35" s="1"/>
  <c r="P12" i="35" s="1"/>
  <c r="K11" i="35"/>
  <c r="M11" i="35" s="1"/>
  <c r="Q11" i="35" s="1"/>
  <c r="J11" i="35"/>
  <c r="L11" i="35" s="1"/>
  <c r="P11" i="35" s="1"/>
  <c r="K10" i="35"/>
  <c r="M10" i="35" s="1"/>
  <c r="Q10" i="35" s="1"/>
  <c r="J10" i="35"/>
  <c r="L10" i="35" s="1"/>
  <c r="P10" i="35" s="1"/>
  <c r="K9" i="35"/>
  <c r="M9" i="35" s="1"/>
  <c r="Q9" i="35" s="1"/>
  <c r="J9" i="35"/>
  <c r="L9" i="35" s="1"/>
  <c r="P9" i="35" s="1"/>
  <c r="K8" i="35"/>
  <c r="M8" i="35" s="1"/>
  <c r="Q8" i="35" s="1"/>
  <c r="J8" i="35"/>
  <c r="L8" i="35" s="1"/>
  <c r="P8" i="35" s="1"/>
  <c r="K7" i="35"/>
  <c r="M7" i="35" s="1"/>
  <c r="Q7" i="35" s="1"/>
  <c r="J7" i="35"/>
  <c r="L7" i="35" s="1"/>
  <c r="P7" i="35" s="1"/>
  <c r="K6" i="35"/>
  <c r="M6" i="35" s="1"/>
  <c r="Q6" i="35" s="1"/>
  <c r="J6" i="35"/>
  <c r="L6" i="35" s="1"/>
  <c r="P6" i="35" s="1"/>
  <c r="K5" i="35"/>
  <c r="M5" i="35" s="1"/>
  <c r="Q5" i="35" s="1"/>
  <c r="J5" i="35"/>
  <c r="L5" i="35" s="1"/>
  <c r="P5" i="35" s="1"/>
  <c r="K4" i="35"/>
  <c r="M4" i="35" s="1"/>
  <c r="Q4" i="35" s="1"/>
  <c r="J4" i="35"/>
  <c r="L4" i="35" s="1"/>
  <c r="P4" i="35" s="1"/>
  <c r="K3" i="35"/>
  <c r="M3" i="35" s="1"/>
  <c r="J3" i="35"/>
  <c r="L3" i="35" s="1"/>
  <c r="W15" i="26"/>
  <c r="V15" i="26"/>
  <c r="U15" i="26"/>
  <c r="T15" i="26"/>
  <c r="S15" i="26"/>
  <c r="R15" i="26"/>
  <c r="W14" i="26"/>
  <c r="V14" i="26"/>
  <c r="U14" i="26"/>
  <c r="T14" i="26"/>
  <c r="S14" i="26"/>
  <c r="R14" i="26"/>
  <c r="W13" i="26"/>
  <c r="V13" i="26"/>
  <c r="U13" i="26"/>
  <c r="T13" i="26"/>
  <c r="S13" i="26"/>
  <c r="R13" i="26"/>
  <c r="W12" i="26"/>
  <c r="V12" i="26"/>
  <c r="U12" i="26"/>
  <c r="T12" i="26"/>
  <c r="S12" i="26"/>
  <c r="R12" i="26"/>
  <c r="M7" i="26"/>
  <c r="L15" i="17"/>
  <c r="L14" i="17"/>
  <c r="L13" i="17"/>
  <c r="L12" i="17"/>
  <c r="L11" i="17"/>
  <c r="L10" i="17"/>
  <c r="L9" i="17"/>
  <c r="L8" i="17"/>
  <c r="L7" i="17"/>
  <c r="L6" i="17"/>
  <c r="L5" i="17"/>
  <c r="L4" i="17"/>
  <c r="N3" i="35" l="1"/>
  <c r="P3" i="35"/>
  <c r="Q3" i="35"/>
  <c r="O3" i="35"/>
  <c r="P8" i="15"/>
  <c r="O8" i="15"/>
  <c r="I8" i="15"/>
  <c r="H8" i="15"/>
  <c r="P7" i="15"/>
  <c r="O7" i="15"/>
  <c r="I7" i="15"/>
  <c r="H7" i="15"/>
  <c r="P22" i="14" l="1"/>
  <c r="W22" i="14" s="1"/>
  <c r="O22" i="14"/>
  <c r="V22" i="14" s="1"/>
  <c r="N22" i="14"/>
  <c r="U22" i="14" s="1"/>
  <c r="M22" i="14"/>
  <c r="T22" i="14" s="1"/>
  <c r="L22" i="14"/>
  <c r="S22" i="14" s="1"/>
  <c r="K22" i="14"/>
  <c r="R22" i="14" s="1"/>
  <c r="P21" i="14"/>
  <c r="W21" i="14" s="1"/>
  <c r="O21" i="14"/>
  <c r="V21" i="14" s="1"/>
  <c r="N21" i="14"/>
  <c r="U21" i="14" s="1"/>
  <c r="M21" i="14"/>
  <c r="T21" i="14" s="1"/>
  <c r="L21" i="14"/>
  <c r="S21" i="14" s="1"/>
  <c r="K21" i="14"/>
  <c r="R21" i="14" s="1"/>
  <c r="P20" i="14"/>
  <c r="W20" i="14" s="1"/>
  <c r="O20" i="14"/>
  <c r="V20" i="14" s="1"/>
  <c r="N20" i="14"/>
  <c r="U20" i="14" s="1"/>
  <c r="M20" i="14"/>
  <c r="T20" i="14" s="1"/>
  <c r="L20" i="14"/>
  <c r="S20" i="14" s="1"/>
  <c r="K20" i="14"/>
  <c r="R20" i="14" s="1"/>
  <c r="F87" i="13" l="1"/>
  <c r="J85" i="13" s="1"/>
  <c r="K85" i="13" s="1"/>
  <c r="L85" i="13" s="1"/>
  <c r="F84" i="13"/>
  <c r="J84" i="13" s="1"/>
  <c r="K84" i="13" s="1"/>
  <c r="L84" i="13" s="1"/>
  <c r="F81" i="13"/>
  <c r="J79" i="13" s="1"/>
  <c r="K79" i="13" s="1"/>
  <c r="L79" i="13" s="1"/>
  <c r="F78" i="13"/>
  <c r="J78" i="13" s="1"/>
  <c r="K78" i="13" s="1"/>
  <c r="L78" i="13" s="1"/>
  <c r="F75" i="13"/>
  <c r="J72" i="13" s="1"/>
  <c r="K72" i="13" s="1"/>
  <c r="L72" i="13" s="1"/>
  <c r="F72" i="13"/>
  <c r="J73" i="13" s="1"/>
  <c r="K73" i="13" s="1"/>
  <c r="L73" i="13" s="1"/>
  <c r="F67" i="13"/>
  <c r="J65" i="13" s="1"/>
  <c r="K65" i="13" s="1"/>
  <c r="L65" i="13" s="1"/>
  <c r="F64" i="13"/>
  <c r="J64" i="13" s="1"/>
  <c r="K64" i="13" s="1"/>
  <c r="L64" i="13" s="1"/>
  <c r="F61" i="13"/>
  <c r="J59" i="13" s="1"/>
  <c r="K59" i="13" s="1"/>
  <c r="L59" i="13" s="1"/>
  <c r="F58" i="13"/>
  <c r="J58" i="13" s="1"/>
  <c r="K58" i="13" s="1"/>
  <c r="L58" i="13" s="1"/>
  <c r="F55" i="13"/>
  <c r="J53" i="13" s="1"/>
  <c r="K53" i="13" s="1"/>
  <c r="L53" i="13" s="1"/>
  <c r="F52" i="13"/>
  <c r="J52" i="13" s="1"/>
  <c r="K52" i="13" s="1"/>
  <c r="L52" i="13" s="1"/>
  <c r="J56" i="13" l="1"/>
  <c r="K56" i="13" s="1"/>
  <c r="L56" i="13" s="1"/>
  <c r="J50" i="13"/>
  <c r="K50" i="13" s="1"/>
  <c r="L50" i="13" s="1"/>
  <c r="J76" i="13"/>
  <c r="K76" i="13" s="1"/>
  <c r="L76" i="13" s="1"/>
  <c r="J82" i="13"/>
  <c r="K82" i="13" s="1"/>
  <c r="L82" i="13" s="1"/>
  <c r="J70" i="13"/>
  <c r="K70" i="13" s="1"/>
  <c r="L70" i="13" s="1"/>
  <c r="J62" i="13"/>
  <c r="K62" i="13" s="1"/>
  <c r="L62" i="13" s="1"/>
  <c r="J54" i="13"/>
  <c r="K54" i="13" s="1"/>
  <c r="L54" i="13" s="1"/>
  <c r="J55" i="13"/>
  <c r="K55" i="13" s="1"/>
  <c r="L55" i="13" s="1"/>
  <c r="J60" i="13"/>
  <c r="K60" i="13" s="1"/>
  <c r="L60" i="13" s="1"/>
  <c r="J61" i="13"/>
  <c r="K61" i="13" s="1"/>
  <c r="L61" i="13" s="1"/>
  <c r="J66" i="13"/>
  <c r="K66" i="13" s="1"/>
  <c r="L66" i="13" s="1"/>
  <c r="J67" i="13"/>
  <c r="K67" i="13" s="1"/>
  <c r="L67" i="13" s="1"/>
  <c r="J74" i="13"/>
  <c r="K74" i="13" s="1"/>
  <c r="L74" i="13" s="1"/>
  <c r="J75" i="13"/>
  <c r="K75" i="13" s="1"/>
  <c r="L75" i="13" s="1"/>
  <c r="J80" i="13"/>
  <c r="K80" i="13" s="1"/>
  <c r="L80" i="13" s="1"/>
  <c r="J81" i="13"/>
  <c r="K81" i="13" s="1"/>
  <c r="L81" i="13" s="1"/>
  <c r="J86" i="13"/>
  <c r="K86" i="13" s="1"/>
  <c r="L86" i="13" s="1"/>
  <c r="J87" i="13"/>
  <c r="K87" i="13" s="1"/>
  <c r="L87" i="13" s="1"/>
  <c r="J51" i="13"/>
  <c r="K51" i="13" s="1"/>
  <c r="L51" i="13" s="1"/>
  <c r="J57" i="13"/>
  <c r="K57" i="13" s="1"/>
  <c r="L57" i="13" s="1"/>
  <c r="J63" i="13"/>
  <c r="K63" i="13" s="1"/>
  <c r="L63" i="13" s="1"/>
  <c r="J71" i="13"/>
  <c r="K71" i="13" s="1"/>
  <c r="L71" i="13" s="1"/>
  <c r="J77" i="13"/>
  <c r="K77" i="13" s="1"/>
  <c r="L77" i="13" s="1"/>
  <c r="J83" i="13"/>
  <c r="K83" i="13" s="1"/>
  <c r="L83" i="13" s="1"/>
  <c r="E36" i="13" l="1"/>
  <c r="E33" i="13"/>
  <c r="I33" i="13" s="1"/>
  <c r="J33" i="13" s="1"/>
  <c r="L33" i="13" s="1"/>
  <c r="I31" i="13"/>
  <c r="J31" i="13" s="1"/>
  <c r="L31" i="13" s="1"/>
  <c r="E30" i="13"/>
  <c r="I28" i="13" s="1"/>
  <c r="J28" i="13" s="1"/>
  <c r="I29" i="13"/>
  <c r="J29" i="13" s="1"/>
  <c r="L29" i="13" s="1"/>
  <c r="E27" i="13"/>
  <c r="I27" i="13" s="1"/>
  <c r="J27" i="13" s="1"/>
  <c r="L27" i="13" s="1"/>
  <c r="I26" i="13"/>
  <c r="J26" i="13" s="1"/>
  <c r="L26" i="13" s="1"/>
  <c r="E23" i="13"/>
  <c r="I22" i="13" s="1"/>
  <c r="J22" i="13" s="1"/>
  <c r="L22" i="13" s="1"/>
  <c r="E20" i="13"/>
  <c r="I18" i="13" s="1"/>
  <c r="J18" i="13" s="1"/>
  <c r="L18" i="13" s="1"/>
  <c r="I19" i="13"/>
  <c r="J19" i="13" s="1"/>
  <c r="L19" i="13" s="1"/>
  <c r="E17" i="13"/>
  <c r="I17" i="13" s="1"/>
  <c r="J17" i="13" s="1"/>
  <c r="L17" i="13" s="1"/>
  <c r="I16" i="13"/>
  <c r="J16" i="13" s="1"/>
  <c r="L16" i="13" s="1"/>
  <c r="E14" i="13"/>
  <c r="I12" i="13" s="1"/>
  <c r="J12" i="13" s="1"/>
  <c r="L12" i="13" s="1"/>
  <c r="E11" i="13"/>
  <c r="I9" i="13" s="1"/>
  <c r="J9" i="13" s="1"/>
  <c r="L9" i="13" s="1"/>
  <c r="I10" i="13"/>
  <c r="J10" i="13" s="1"/>
  <c r="L10" i="13" s="1"/>
  <c r="E8" i="13"/>
  <c r="I6" i="13" s="1"/>
  <c r="J6" i="13" s="1"/>
  <c r="L6" i="13" s="1"/>
  <c r="I7" i="13"/>
  <c r="J7" i="13" s="1"/>
  <c r="L7" i="13" s="1"/>
  <c r="I25" i="13" l="1"/>
  <c r="J25" i="13" s="1"/>
  <c r="L25" i="13" s="1"/>
  <c r="I13" i="13"/>
  <c r="J13" i="13" s="1"/>
  <c r="L13" i="13" s="1"/>
  <c r="I15" i="13"/>
  <c r="J15" i="13" s="1"/>
  <c r="L15" i="13" s="1"/>
  <c r="I23" i="13"/>
  <c r="J23" i="13" s="1"/>
  <c r="L23" i="13" s="1"/>
  <c r="I30" i="13"/>
  <c r="J30" i="13" s="1"/>
  <c r="L30" i="13" s="1"/>
  <c r="I20" i="13"/>
  <c r="J20" i="13" s="1"/>
  <c r="L20" i="13" s="1"/>
  <c r="I11" i="13"/>
  <c r="J11" i="13" s="1"/>
  <c r="L11" i="13" s="1"/>
  <c r="I21" i="13"/>
  <c r="J21" i="13" s="1"/>
  <c r="L21" i="13" s="1"/>
  <c r="I8" i="13"/>
  <c r="J8" i="13" s="1"/>
  <c r="L8" i="13" s="1"/>
  <c r="I14" i="13"/>
  <c r="J14" i="13" s="1"/>
  <c r="L14" i="13" s="1"/>
  <c r="L28" i="13"/>
  <c r="I34" i="13"/>
  <c r="J34" i="13" s="1"/>
  <c r="L34" i="13" s="1"/>
  <c r="I36" i="13"/>
  <c r="J36" i="13" s="1"/>
  <c r="L36" i="13" s="1"/>
  <c r="I35" i="13"/>
  <c r="J35" i="13" s="1"/>
  <c r="L35" i="13" s="1"/>
  <c r="I32" i="13"/>
  <c r="J32" i="13" s="1"/>
  <c r="L32" i="13" s="1"/>
  <c r="K30" i="13" l="1"/>
  <c r="P8" i="9"/>
  <c r="Q8" i="9" s="1"/>
  <c r="L8" i="9"/>
  <c r="P7" i="9"/>
  <c r="Q7" i="9" s="1"/>
  <c r="P6" i="9"/>
  <c r="Q6" i="9" s="1"/>
  <c r="L5" i="9"/>
  <c r="P3" i="9" s="1"/>
  <c r="Q3" i="9" s="1"/>
  <c r="R8" i="9" l="1"/>
  <c r="R5" i="9"/>
  <c r="P4" i="9"/>
  <c r="Q4" i="9" s="1"/>
  <c r="P5" i="9"/>
  <c r="Q5" i="9" s="1"/>
  <c r="R16" i="9" l="1"/>
  <c r="R15" i="9"/>
  <c r="R14" i="9"/>
  <c r="R13" i="9"/>
  <c r="R12" i="9"/>
  <c r="R11" i="9"/>
  <c r="D20" i="4" l="1"/>
  <c r="I20" i="4" s="1"/>
  <c r="D19" i="4"/>
  <c r="I19" i="4" s="1"/>
  <c r="D18" i="4"/>
  <c r="I18" i="4" s="1"/>
  <c r="I17" i="4"/>
  <c r="I16" i="4"/>
  <c r="I15" i="4"/>
  <c r="I14" i="4"/>
  <c r="I13" i="4"/>
  <c r="I12" i="4"/>
  <c r="I11" i="4"/>
  <c r="I10" i="4"/>
  <c r="I9" i="4"/>
  <c r="I8" i="4"/>
  <c r="D8" i="4"/>
  <c r="I7" i="4"/>
  <c r="D7" i="4"/>
  <c r="I6" i="4"/>
  <c r="D6" i="4"/>
  <c r="I5" i="4"/>
  <c r="I4" i="4"/>
  <c r="I3" i="4"/>
  <c r="G3" i="4"/>
  <c r="I20" i="2"/>
  <c r="I19" i="2"/>
  <c r="I18" i="2"/>
  <c r="I17" i="2"/>
  <c r="D17" i="2"/>
  <c r="D16" i="2"/>
  <c r="I16" i="2" s="1"/>
  <c r="I15" i="2"/>
  <c r="D15" i="2"/>
  <c r="I14" i="2"/>
  <c r="I13" i="2"/>
  <c r="I12" i="2"/>
  <c r="I11" i="2"/>
  <c r="I10" i="2"/>
  <c r="I9" i="2"/>
  <c r="I8" i="2"/>
  <c r="I7" i="2"/>
  <c r="I6" i="2"/>
  <c r="I5" i="2"/>
  <c r="I4" i="2"/>
  <c r="I3" i="2"/>
  <c r="G3" i="2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" i="1"/>
  <c r="I3" i="1"/>
  <c r="G3" i="1"/>
  <c r="D28" i="36"/>
  <c r="E28" i="36"/>
  <c r="F28" i="36"/>
  <c r="G28" i="36"/>
  <c r="H28" i="36"/>
  <c r="I28" i="36"/>
  <c r="D29" i="36"/>
  <c r="E29" i="36"/>
  <c r="F29" i="36"/>
  <c r="H29" i="36"/>
  <c r="E27" i="36"/>
  <c r="F27" i="36"/>
  <c r="G27" i="36"/>
  <c r="H27" i="36"/>
  <c r="I27" i="36"/>
  <c r="D27" i="36"/>
  <c r="E38" i="18" l="1"/>
  <c r="G38" i="18" s="1"/>
  <c r="G37" i="18"/>
  <c r="E37" i="18"/>
  <c r="E36" i="18"/>
  <c r="G36" i="18" s="1"/>
  <c r="E35" i="18"/>
  <c r="G35" i="18" s="1"/>
  <c r="E34" i="18"/>
  <c r="G34" i="18" s="1"/>
  <c r="E33" i="18"/>
  <c r="G33" i="18" s="1"/>
  <c r="E32" i="18"/>
  <c r="G32" i="18" s="1"/>
  <c r="E31" i="18"/>
  <c r="G31" i="18" s="1"/>
  <c r="E30" i="18"/>
  <c r="G30" i="18" s="1"/>
  <c r="G29" i="18"/>
  <c r="E29" i="18"/>
  <c r="E28" i="18"/>
  <c r="G28" i="18" s="1"/>
  <c r="E27" i="18"/>
  <c r="G27" i="18" s="1"/>
  <c r="E26" i="18"/>
  <c r="G26" i="18" s="1"/>
  <c r="E25" i="18"/>
  <c r="G25" i="18" s="1"/>
  <c r="E24" i="18"/>
  <c r="G24" i="18" s="1"/>
  <c r="E23" i="18"/>
  <c r="G23" i="18" s="1"/>
  <c r="E22" i="18"/>
  <c r="G22" i="18" s="1"/>
  <c r="G21" i="18"/>
  <c r="E21" i="18"/>
  <c r="E20" i="18"/>
  <c r="G20" i="18" s="1"/>
  <c r="E19" i="18"/>
  <c r="G19" i="18" s="1"/>
  <c r="E18" i="18"/>
  <c r="G18" i="18" s="1"/>
  <c r="E17" i="18"/>
  <c r="G17" i="18" s="1"/>
  <c r="E16" i="18"/>
  <c r="G16" i="18" s="1"/>
  <c r="E15" i="18"/>
  <c r="G15" i="18" s="1"/>
  <c r="E14" i="18"/>
  <c r="G14" i="18" s="1"/>
  <c r="G13" i="18"/>
  <c r="E13" i="18"/>
  <c r="E12" i="18"/>
  <c r="G12" i="18" s="1"/>
  <c r="E11" i="18"/>
  <c r="G11" i="18" s="1"/>
  <c r="E10" i="18"/>
  <c r="G10" i="18" s="1"/>
  <c r="E9" i="18"/>
  <c r="G9" i="18" s="1"/>
  <c r="E8" i="18"/>
  <c r="G8" i="18" s="1"/>
  <c r="E7" i="18"/>
  <c r="G7" i="18" s="1"/>
  <c r="E6" i="18"/>
  <c r="G6" i="18" s="1"/>
  <c r="G5" i="18"/>
  <c r="F5" i="18"/>
  <c r="E5" i="18"/>
  <c r="E4" i="18"/>
  <c r="G4" i="18" s="1"/>
  <c r="E3" i="18"/>
  <c r="G3" i="18" s="1"/>
  <c r="J10" i="77" l="1"/>
  <c r="I10" i="77"/>
  <c r="G10" i="77"/>
  <c r="F10" i="77"/>
  <c r="E10" i="77"/>
  <c r="O34" i="74" l="1"/>
  <c r="N34" i="74"/>
  <c r="M34" i="74"/>
  <c r="O33" i="74"/>
  <c r="N33" i="74"/>
  <c r="M33" i="74"/>
  <c r="P33" i="74" s="1"/>
  <c r="O32" i="74"/>
  <c r="P32" i="74" s="1"/>
  <c r="N32" i="74"/>
  <c r="M32" i="74"/>
  <c r="O31" i="74"/>
  <c r="P31" i="74" s="1"/>
  <c r="N31" i="74"/>
  <c r="M31" i="74"/>
  <c r="O30" i="74"/>
  <c r="P30" i="74" s="1"/>
  <c r="N30" i="74"/>
  <c r="M30" i="74"/>
  <c r="O29" i="74"/>
  <c r="P29" i="74" s="1"/>
  <c r="N29" i="74"/>
  <c r="M29" i="74"/>
  <c r="O24" i="74"/>
  <c r="P24" i="74" s="1"/>
  <c r="N24" i="74"/>
  <c r="M24" i="74"/>
  <c r="O23" i="74"/>
  <c r="P23" i="74" s="1"/>
  <c r="N23" i="74"/>
  <c r="M23" i="74"/>
  <c r="O22" i="74"/>
  <c r="N22" i="74"/>
  <c r="M22" i="74"/>
  <c r="O21" i="74"/>
  <c r="N21" i="74"/>
  <c r="M21" i="74"/>
  <c r="O20" i="74"/>
  <c r="N20" i="74"/>
  <c r="M20" i="74"/>
  <c r="P20" i="74" s="1"/>
  <c r="O19" i="74"/>
  <c r="N19" i="74"/>
  <c r="M19" i="74"/>
  <c r="P19" i="74" s="1"/>
  <c r="O11" i="74"/>
  <c r="N11" i="74"/>
  <c r="M11" i="74"/>
  <c r="P11" i="74" s="1"/>
  <c r="O10" i="74"/>
  <c r="N10" i="74"/>
  <c r="M10" i="74"/>
  <c r="P10" i="74" s="1"/>
  <c r="O9" i="74"/>
  <c r="N9" i="74"/>
  <c r="M9" i="74"/>
  <c r="P9" i="74" s="1"/>
  <c r="O8" i="74"/>
  <c r="N8" i="74"/>
  <c r="M8" i="74"/>
  <c r="O7" i="74"/>
  <c r="N7" i="74"/>
  <c r="M7" i="74"/>
  <c r="O6" i="74"/>
  <c r="N6" i="74"/>
  <c r="M6" i="74"/>
  <c r="P6" i="74" s="1"/>
  <c r="P34" i="74" l="1"/>
  <c r="P8" i="74"/>
  <c r="P22" i="74"/>
  <c r="P7" i="74"/>
  <c r="P21" i="74"/>
  <c r="F80" i="67"/>
  <c r="J80" i="67" s="1"/>
  <c r="K80" i="67" s="1"/>
  <c r="N80" i="67" s="1"/>
  <c r="J79" i="67"/>
  <c r="K79" i="67" s="1"/>
  <c r="N79" i="67" s="1"/>
  <c r="F77" i="67"/>
  <c r="J76" i="67" s="1"/>
  <c r="K76" i="67" s="1"/>
  <c r="N76" i="67" s="1"/>
  <c r="F74" i="67"/>
  <c r="J73" i="67" s="1"/>
  <c r="K73" i="67" s="1"/>
  <c r="N73" i="67" s="1"/>
  <c r="F71" i="67"/>
  <c r="J71" i="67" s="1"/>
  <c r="K71" i="67" s="1"/>
  <c r="N71" i="67" s="1"/>
  <c r="F68" i="67"/>
  <c r="J68" i="67" s="1"/>
  <c r="K68" i="67" s="1"/>
  <c r="N68" i="67" s="1"/>
  <c r="J67" i="67"/>
  <c r="K67" i="67" s="1"/>
  <c r="N67" i="67" s="1"/>
  <c r="J66" i="67"/>
  <c r="K66" i="67" s="1"/>
  <c r="N66" i="67" s="1"/>
  <c r="F65" i="67"/>
  <c r="J64" i="67" s="1"/>
  <c r="K64" i="67" s="1"/>
  <c r="N64" i="67" s="1"/>
  <c r="F62" i="67"/>
  <c r="J62" i="67" s="1"/>
  <c r="K62" i="67" s="1"/>
  <c r="N62" i="67" s="1"/>
  <c r="J61" i="67"/>
  <c r="K61" i="67" s="1"/>
  <c r="N61" i="67" s="1"/>
  <c r="F59" i="67"/>
  <c r="J58" i="67" s="1"/>
  <c r="K58" i="67" s="1"/>
  <c r="N58" i="67" s="1"/>
  <c r="F56" i="67"/>
  <c r="J55" i="67" s="1"/>
  <c r="K55" i="67" s="1"/>
  <c r="N55" i="67" s="1"/>
  <c r="F53" i="67"/>
  <c r="J53" i="67" s="1"/>
  <c r="K53" i="67" s="1"/>
  <c r="N53" i="67" s="1"/>
  <c r="J51" i="67"/>
  <c r="K51" i="67" s="1"/>
  <c r="N51" i="67" s="1"/>
  <c r="F50" i="67"/>
  <c r="J48" i="67" s="1"/>
  <c r="K48" i="67" s="1"/>
  <c r="N48" i="67" s="1"/>
  <c r="F47" i="67"/>
  <c r="J46" i="67" s="1"/>
  <c r="K46" i="67" s="1"/>
  <c r="N46" i="67" s="1"/>
  <c r="F41" i="67"/>
  <c r="J39" i="67" s="1"/>
  <c r="K39" i="67" s="1"/>
  <c r="N39" i="67" s="1"/>
  <c r="J38" i="67"/>
  <c r="K38" i="67" s="1"/>
  <c r="N38" i="67" s="1"/>
  <c r="F38" i="67"/>
  <c r="J37" i="67"/>
  <c r="K37" i="67" s="1"/>
  <c r="N37" i="67" s="1"/>
  <c r="J36" i="67"/>
  <c r="K36" i="67" s="1"/>
  <c r="N36" i="67" s="1"/>
  <c r="F35" i="67"/>
  <c r="J34" i="67" s="1"/>
  <c r="K34" i="67" s="1"/>
  <c r="N34" i="67" s="1"/>
  <c r="F32" i="67"/>
  <c r="J31" i="67" s="1"/>
  <c r="K31" i="67" s="1"/>
  <c r="N31" i="67" s="1"/>
  <c r="J30" i="67"/>
  <c r="K30" i="67" s="1"/>
  <c r="N30" i="67" s="1"/>
  <c r="F29" i="67"/>
  <c r="J27" i="67" s="1"/>
  <c r="K27" i="67" s="1"/>
  <c r="N27" i="67" s="1"/>
  <c r="J26" i="67"/>
  <c r="K26" i="67" s="1"/>
  <c r="N26" i="67" s="1"/>
  <c r="F26" i="67"/>
  <c r="J24" i="67" s="1"/>
  <c r="K24" i="67" s="1"/>
  <c r="N24" i="67" s="1"/>
  <c r="J25" i="67"/>
  <c r="K25" i="67" s="1"/>
  <c r="N25" i="67" s="1"/>
  <c r="F23" i="67"/>
  <c r="J21" i="67" s="1"/>
  <c r="K21" i="67" s="1"/>
  <c r="N21" i="67" s="1"/>
  <c r="J22" i="67"/>
  <c r="K22" i="67" s="1"/>
  <c r="N22" i="67" s="1"/>
  <c r="F20" i="67"/>
  <c r="J19" i="67" s="1"/>
  <c r="K19" i="67" s="1"/>
  <c r="N19" i="67" s="1"/>
  <c r="F17" i="67"/>
  <c r="J16" i="67" s="1"/>
  <c r="K16" i="67" s="1"/>
  <c r="N16" i="67" s="1"/>
  <c r="F14" i="67"/>
  <c r="J14" i="67" s="1"/>
  <c r="K14" i="67" s="1"/>
  <c r="N14" i="67" s="1"/>
  <c r="J12" i="67"/>
  <c r="K12" i="67" s="1"/>
  <c r="N12" i="67" s="1"/>
  <c r="F11" i="67"/>
  <c r="J9" i="67" s="1"/>
  <c r="K9" i="67" s="1"/>
  <c r="N9" i="67" s="1"/>
  <c r="J10" i="67"/>
  <c r="K10" i="67" s="1"/>
  <c r="N10" i="67" s="1"/>
  <c r="F8" i="67"/>
  <c r="J7" i="67" s="1"/>
  <c r="K7" i="67" s="1"/>
  <c r="N7" i="67" s="1"/>
  <c r="J23" i="67" l="1"/>
  <c r="K23" i="67" s="1"/>
  <c r="N23" i="67" s="1"/>
  <c r="J11" i="67"/>
  <c r="K11" i="67" s="1"/>
  <c r="N11" i="67" s="1"/>
  <c r="J32" i="67"/>
  <c r="K32" i="67" s="1"/>
  <c r="N32" i="67" s="1"/>
  <c r="J57" i="67"/>
  <c r="K57" i="67" s="1"/>
  <c r="N57" i="67" s="1"/>
  <c r="J69" i="67"/>
  <c r="K69" i="67" s="1"/>
  <c r="N69" i="67" s="1"/>
  <c r="J78" i="67"/>
  <c r="K78" i="67" s="1"/>
  <c r="N78" i="67" s="1"/>
  <c r="J65" i="67"/>
  <c r="K65" i="67" s="1"/>
  <c r="N65" i="67" s="1"/>
  <c r="J70" i="67"/>
  <c r="K70" i="67" s="1"/>
  <c r="N70" i="67" s="1"/>
  <c r="J77" i="67"/>
  <c r="K77" i="67" s="1"/>
  <c r="N77" i="67" s="1"/>
  <c r="J74" i="67"/>
  <c r="K74" i="67" s="1"/>
  <c r="N74" i="67" s="1"/>
  <c r="J72" i="67"/>
  <c r="K72" i="67" s="1"/>
  <c r="N72" i="67" s="1"/>
  <c r="J63" i="67"/>
  <c r="K63" i="67" s="1"/>
  <c r="N63" i="67" s="1"/>
  <c r="J75" i="67"/>
  <c r="K75" i="67" s="1"/>
  <c r="N75" i="67" s="1"/>
  <c r="J56" i="67"/>
  <c r="K56" i="67" s="1"/>
  <c r="N56" i="67" s="1"/>
  <c r="J47" i="67"/>
  <c r="K47" i="67" s="1"/>
  <c r="N47" i="67" s="1"/>
  <c r="J54" i="67"/>
  <c r="K54" i="67" s="1"/>
  <c r="N54" i="67" s="1"/>
  <c r="J45" i="67"/>
  <c r="K45" i="67" s="1"/>
  <c r="J52" i="67"/>
  <c r="K52" i="67" s="1"/>
  <c r="N52" i="67" s="1"/>
  <c r="J59" i="67"/>
  <c r="K59" i="67" s="1"/>
  <c r="N59" i="67" s="1"/>
  <c r="J49" i="67"/>
  <c r="K49" i="67" s="1"/>
  <c r="N49" i="67" s="1"/>
  <c r="J50" i="67"/>
  <c r="K50" i="67" s="1"/>
  <c r="N50" i="67" s="1"/>
  <c r="J60" i="67"/>
  <c r="K60" i="67" s="1"/>
  <c r="N60" i="67" s="1"/>
  <c r="J28" i="67"/>
  <c r="K28" i="67" s="1"/>
  <c r="N28" i="67" s="1"/>
  <c r="J35" i="67"/>
  <c r="K35" i="67" s="1"/>
  <c r="N35" i="67" s="1"/>
  <c r="J40" i="67"/>
  <c r="K40" i="67" s="1"/>
  <c r="N40" i="67" s="1"/>
  <c r="J33" i="67"/>
  <c r="K33" i="67" s="1"/>
  <c r="N33" i="67" s="1"/>
  <c r="J29" i="67"/>
  <c r="K29" i="67" s="1"/>
  <c r="N29" i="67" s="1"/>
  <c r="J41" i="67"/>
  <c r="K41" i="67" s="1"/>
  <c r="N41" i="67" s="1"/>
  <c r="J17" i="67"/>
  <c r="K17" i="67" s="1"/>
  <c r="N17" i="67" s="1"/>
  <c r="J15" i="67"/>
  <c r="K15" i="67" s="1"/>
  <c r="N15" i="67" s="1"/>
  <c r="J8" i="67"/>
  <c r="K8" i="67" s="1"/>
  <c r="N8" i="67" s="1"/>
  <c r="J13" i="67"/>
  <c r="K13" i="67" s="1"/>
  <c r="N13" i="67" s="1"/>
  <c r="J20" i="67"/>
  <c r="K20" i="67" s="1"/>
  <c r="N20" i="67" s="1"/>
  <c r="J6" i="67"/>
  <c r="K6" i="67" s="1"/>
  <c r="N6" i="67" s="1"/>
  <c r="J18" i="67"/>
  <c r="K18" i="67" s="1"/>
  <c r="N18" i="67" s="1"/>
  <c r="D47" i="59"/>
  <c r="D46" i="59"/>
  <c r="D45" i="59"/>
  <c r="D44" i="59"/>
  <c r="D43" i="59"/>
  <c r="D42" i="59"/>
  <c r="D41" i="59"/>
  <c r="D40" i="59"/>
  <c r="P39" i="59"/>
  <c r="O39" i="59"/>
  <c r="N39" i="59"/>
  <c r="M39" i="59"/>
  <c r="L39" i="59"/>
  <c r="K39" i="59"/>
  <c r="J39" i="59"/>
  <c r="I39" i="59"/>
  <c r="H39" i="59"/>
  <c r="D39" i="59"/>
  <c r="P38" i="59"/>
  <c r="O38" i="59"/>
  <c r="N38" i="59"/>
  <c r="M38" i="59"/>
  <c r="L38" i="59"/>
  <c r="K38" i="59"/>
  <c r="J38" i="59"/>
  <c r="I38" i="59"/>
  <c r="H38" i="59"/>
  <c r="D38" i="59"/>
  <c r="D37" i="59"/>
  <c r="D36" i="59"/>
  <c r="D35" i="59"/>
  <c r="D34" i="59"/>
  <c r="D33" i="59"/>
  <c r="D32" i="59"/>
  <c r="D31" i="59"/>
  <c r="D30" i="59"/>
  <c r="E32" i="59" s="1"/>
  <c r="G8" i="59"/>
  <c r="G9" i="59"/>
  <c r="G10" i="59"/>
  <c r="G11" i="59"/>
  <c r="G12" i="59"/>
  <c r="G13" i="59"/>
  <c r="G14" i="59"/>
  <c r="G15" i="59"/>
  <c r="G16" i="59"/>
  <c r="G17" i="59"/>
  <c r="G18" i="59"/>
  <c r="G19" i="59"/>
  <c r="G20" i="59"/>
  <c r="G21" i="59"/>
  <c r="G22" i="59"/>
  <c r="G23" i="59"/>
  <c r="G24" i="59"/>
  <c r="G7" i="59"/>
  <c r="F9" i="59"/>
  <c r="N45" i="67" l="1"/>
  <c r="AH90" i="48" l="1"/>
  <c r="AG90" i="48"/>
  <c r="AF90" i="48"/>
  <c r="AE90" i="48"/>
  <c r="AD90" i="48"/>
  <c r="AC90" i="48"/>
  <c r="AH89" i="48"/>
  <c r="AG89" i="48"/>
  <c r="AF89" i="48"/>
  <c r="AE89" i="48"/>
  <c r="AD89" i="48"/>
  <c r="AC89" i="48"/>
  <c r="AH88" i="48"/>
  <c r="AG88" i="48"/>
  <c r="AF88" i="48"/>
  <c r="AE88" i="48"/>
  <c r="AD88" i="48"/>
  <c r="AC88" i="48"/>
  <c r="M87" i="48"/>
  <c r="L87" i="48"/>
  <c r="K87" i="48"/>
  <c r="J87" i="48"/>
  <c r="I87" i="48"/>
  <c r="H87" i="48"/>
  <c r="M86" i="48"/>
  <c r="L86" i="48"/>
  <c r="K86" i="48"/>
  <c r="J86" i="48"/>
  <c r="I86" i="48"/>
  <c r="H86" i="48"/>
  <c r="M85" i="48"/>
  <c r="L85" i="48"/>
  <c r="K85" i="48"/>
  <c r="J85" i="48"/>
  <c r="I85" i="48"/>
  <c r="H85" i="48"/>
  <c r="AA98" i="48"/>
  <c r="AA107" i="48" s="1"/>
  <c r="Z98" i="48"/>
  <c r="Z107" i="48" s="1"/>
  <c r="Y98" i="48"/>
  <c r="Y107" i="48" s="1"/>
  <c r="AA97" i="48"/>
  <c r="AA106" i="48" s="1"/>
  <c r="Z97" i="48"/>
  <c r="Z106" i="48" s="1"/>
  <c r="Y97" i="48"/>
  <c r="Y106" i="48" s="1"/>
  <c r="AA96" i="48"/>
  <c r="AA105" i="48" s="1"/>
  <c r="Z96" i="48"/>
  <c r="Z105" i="48" s="1"/>
  <c r="Y96" i="48"/>
  <c r="Y105" i="48" s="1"/>
  <c r="AA95" i="48"/>
  <c r="AA104" i="48" s="1"/>
  <c r="Z95" i="48"/>
  <c r="Z104" i="48" s="1"/>
  <c r="Y95" i="48"/>
  <c r="Y104" i="48" s="1"/>
  <c r="AA94" i="48"/>
  <c r="AA103" i="48" s="1"/>
  <c r="Z94" i="48"/>
  <c r="Z103" i="48" s="1"/>
  <c r="Y94" i="48"/>
  <c r="Y103" i="48" s="1"/>
  <c r="AA93" i="48"/>
  <c r="AA102" i="48" s="1"/>
  <c r="Z93" i="48"/>
  <c r="Z102" i="48" s="1"/>
  <c r="Y93" i="48"/>
  <c r="Y102" i="48" s="1"/>
  <c r="F98" i="48"/>
  <c r="F107" i="48" s="1"/>
  <c r="E98" i="48"/>
  <c r="E107" i="48" s="1"/>
  <c r="D98" i="48"/>
  <c r="D107" i="48" s="1"/>
  <c r="F97" i="48"/>
  <c r="F106" i="48" s="1"/>
  <c r="E97" i="48"/>
  <c r="E106" i="48" s="1"/>
  <c r="D97" i="48"/>
  <c r="D106" i="48" s="1"/>
  <c r="F96" i="48"/>
  <c r="F105" i="48" s="1"/>
  <c r="E96" i="48"/>
  <c r="E105" i="48" s="1"/>
  <c r="D96" i="48"/>
  <c r="D105" i="48" s="1"/>
  <c r="F95" i="48"/>
  <c r="F104" i="48" s="1"/>
  <c r="E95" i="48"/>
  <c r="E104" i="48" s="1"/>
  <c r="D95" i="48"/>
  <c r="D104" i="48" s="1"/>
  <c r="F94" i="48"/>
  <c r="F103" i="48" s="1"/>
  <c r="E94" i="48"/>
  <c r="E103" i="48" s="1"/>
  <c r="D94" i="48"/>
  <c r="D103" i="48" s="1"/>
  <c r="F93" i="48"/>
  <c r="F102" i="48" s="1"/>
  <c r="E93" i="48"/>
  <c r="E102" i="48" s="1"/>
  <c r="D93" i="48"/>
  <c r="D102" i="48" s="1"/>
  <c r="AH26" i="48" l="1"/>
  <c r="AG26" i="48"/>
  <c r="AF26" i="48"/>
  <c r="AE26" i="48"/>
  <c r="AD26" i="48"/>
  <c r="AC26" i="48"/>
  <c r="AH25" i="48"/>
  <c r="AG25" i="48"/>
  <c r="AF25" i="48"/>
  <c r="AE25" i="48"/>
  <c r="AD25" i="48"/>
  <c r="AC25" i="48"/>
  <c r="AH24" i="48"/>
  <c r="AG24" i="48"/>
  <c r="AF24" i="48"/>
  <c r="AE24" i="48"/>
  <c r="AD24" i="48"/>
  <c r="AC24" i="48"/>
  <c r="AA28" i="48"/>
  <c r="AA38" i="48" s="1"/>
  <c r="AA47" i="48" s="1"/>
  <c r="Z28" i="48"/>
  <c r="Z38" i="48" s="1"/>
  <c r="Z47" i="48" s="1"/>
  <c r="Y28" i="48"/>
  <c r="Y38" i="48" s="1"/>
  <c r="Y47" i="48" s="1"/>
  <c r="AA27" i="48"/>
  <c r="AA37" i="48" s="1"/>
  <c r="AA46" i="48" s="1"/>
  <c r="Z27" i="48"/>
  <c r="Z37" i="48" s="1"/>
  <c r="Z46" i="48" s="1"/>
  <c r="Y27" i="48"/>
  <c r="Y37" i="48" s="1"/>
  <c r="Y46" i="48" s="1"/>
  <c r="AA26" i="48"/>
  <c r="AA36" i="48" s="1"/>
  <c r="AA45" i="48" s="1"/>
  <c r="Z26" i="48"/>
  <c r="Z36" i="48" s="1"/>
  <c r="Z45" i="48" s="1"/>
  <c r="Y26" i="48"/>
  <c r="Y36" i="48" s="1"/>
  <c r="Y45" i="48" s="1"/>
  <c r="AA25" i="48"/>
  <c r="AA35" i="48" s="1"/>
  <c r="AA44" i="48" s="1"/>
  <c r="Z25" i="48"/>
  <c r="Z35" i="48" s="1"/>
  <c r="Z44" i="48" s="1"/>
  <c r="Y25" i="48"/>
  <c r="Y35" i="48" s="1"/>
  <c r="Y44" i="48" s="1"/>
  <c r="AA24" i="48"/>
  <c r="AA34" i="48" s="1"/>
  <c r="AA43" i="48" s="1"/>
  <c r="Z24" i="48"/>
  <c r="Z34" i="48" s="1"/>
  <c r="Z43" i="48" s="1"/>
  <c r="Y24" i="48"/>
  <c r="Y34" i="48" s="1"/>
  <c r="Y43" i="48" s="1"/>
  <c r="AA23" i="48"/>
  <c r="AA33" i="48" s="1"/>
  <c r="AA42" i="48" s="1"/>
  <c r="Z23" i="48"/>
  <c r="Z33" i="48" s="1"/>
  <c r="Z42" i="48" s="1"/>
  <c r="Y23" i="48"/>
  <c r="Y33" i="48" s="1"/>
  <c r="Y42" i="48" s="1"/>
  <c r="M27" i="48"/>
  <c r="L27" i="48"/>
  <c r="K27" i="48"/>
  <c r="J27" i="48"/>
  <c r="I27" i="48"/>
  <c r="H27" i="48"/>
  <c r="M26" i="48"/>
  <c r="L26" i="48"/>
  <c r="K26" i="48"/>
  <c r="J26" i="48"/>
  <c r="I26" i="48"/>
  <c r="H26" i="48"/>
  <c r="M25" i="48"/>
  <c r="L25" i="48"/>
  <c r="K25" i="48"/>
  <c r="J25" i="48"/>
  <c r="I25" i="48"/>
  <c r="H25" i="48"/>
  <c r="F28" i="48"/>
  <c r="F38" i="48" s="1"/>
  <c r="F47" i="48" s="1"/>
  <c r="E28" i="48"/>
  <c r="E38" i="48" s="1"/>
  <c r="E47" i="48" s="1"/>
  <c r="D28" i="48"/>
  <c r="D38" i="48" s="1"/>
  <c r="D47" i="48" s="1"/>
  <c r="F27" i="48"/>
  <c r="F37" i="48" s="1"/>
  <c r="F46" i="48" s="1"/>
  <c r="E27" i="48"/>
  <c r="E37" i="48" s="1"/>
  <c r="E46" i="48" s="1"/>
  <c r="D27" i="48"/>
  <c r="D37" i="48" s="1"/>
  <c r="D46" i="48" s="1"/>
  <c r="F26" i="48"/>
  <c r="F36" i="48" s="1"/>
  <c r="F45" i="48" s="1"/>
  <c r="E26" i="48"/>
  <c r="E36" i="48" s="1"/>
  <c r="E45" i="48" s="1"/>
  <c r="D26" i="48"/>
  <c r="D36" i="48" s="1"/>
  <c r="D45" i="48" s="1"/>
  <c r="F25" i="48"/>
  <c r="F35" i="48" s="1"/>
  <c r="F44" i="48" s="1"/>
  <c r="E25" i="48"/>
  <c r="E35" i="48" s="1"/>
  <c r="E44" i="48" s="1"/>
  <c r="D25" i="48"/>
  <c r="D35" i="48" s="1"/>
  <c r="D44" i="48" s="1"/>
  <c r="F24" i="48"/>
  <c r="F34" i="48" s="1"/>
  <c r="F43" i="48" s="1"/>
  <c r="E24" i="48"/>
  <c r="E34" i="48" s="1"/>
  <c r="E43" i="48" s="1"/>
  <c r="D24" i="48"/>
  <c r="D34" i="48" s="1"/>
  <c r="D43" i="48" s="1"/>
  <c r="F23" i="48"/>
  <c r="F33" i="48" s="1"/>
  <c r="F42" i="48" s="1"/>
  <c r="E23" i="48"/>
  <c r="E33" i="48" s="1"/>
  <c r="E42" i="48" s="1"/>
  <c r="D23" i="48"/>
  <c r="D33" i="48" s="1"/>
  <c r="D42" i="48" s="1"/>
  <c r="EE62" i="47" l="1"/>
  <c r="EI61" i="47" s="1"/>
  <c r="EJ61" i="47" s="1"/>
  <c r="EL61" i="47" s="1"/>
  <c r="EE59" i="47"/>
  <c r="EI59" i="47" s="1"/>
  <c r="EJ59" i="47" s="1"/>
  <c r="EL59" i="47" s="1"/>
  <c r="EE56" i="47"/>
  <c r="EI55" i="47" s="1"/>
  <c r="EJ55" i="47" s="1"/>
  <c r="EL55" i="47" s="1"/>
  <c r="EE53" i="47"/>
  <c r="EI52" i="47" s="1"/>
  <c r="EJ52" i="47" s="1"/>
  <c r="EL52" i="47" s="1"/>
  <c r="EE50" i="47"/>
  <c r="EI50" i="47" s="1"/>
  <c r="EJ50" i="47" s="1"/>
  <c r="EL50" i="47" s="1"/>
  <c r="EE47" i="47"/>
  <c r="EI47" i="47" s="1"/>
  <c r="EJ47" i="47" s="1"/>
  <c r="EL47" i="47" s="1"/>
  <c r="EE44" i="47"/>
  <c r="EI43" i="47" s="1"/>
  <c r="EJ43" i="47" s="1"/>
  <c r="EL43" i="47" s="1"/>
  <c r="EE41" i="47"/>
  <c r="EI39" i="47" s="1"/>
  <c r="EJ39" i="47" s="1"/>
  <c r="EL39" i="47" s="1"/>
  <c r="EE38" i="47"/>
  <c r="EI37" i="47" s="1"/>
  <c r="EJ37" i="47" s="1"/>
  <c r="EL37" i="47" s="1"/>
  <c r="DI63" i="47"/>
  <c r="DJ63" i="47" s="1"/>
  <c r="DL63" i="47" s="1"/>
  <c r="DE62" i="47"/>
  <c r="DI62" i="47" s="1"/>
  <c r="DJ62" i="47" s="1"/>
  <c r="DL62" i="47" s="1"/>
  <c r="DE59" i="47"/>
  <c r="DI59" i="47" s="1"/>
  <c r="DJ59" i="47" s="1"/>
  <c r="DL59" i="47" s="1"/>
  <c r="DE56" i="47"/>
  <c r="DI54" i="47" s="1"/>
  <c r="DJ54" i="47" s="1"/>
  <c r="DL54" i="47" s="1"/>
  <c r="DE53" i="47"/>
  <c r="DI52" i="47" s="1"/>
  <c r="DJ52" i="47" s="1"/>
  <c r="DL52" i="47" s="1"/>
  <c r="DE50" i="47"/>
  <c r="DI50" i="47" s="1"/>
  <c r="DJ50" i="47" s="1"/>
  <c r="DL50" i="47" s="1"/>
  <c r="DE47" i="47"/>
  <c r="DI45" i="47" s="1"/>
  <c r="DJ45" i="47" s="1"/>
  <c r="DL45" i="47" s="1"/>
  <c r="DE44" i="47"/>
  <c r="DI43" i="47" s="1"/>
  <c r="DJ43" i="47" s="1"/>
  <c r="DL43" i="47" s="1"/>
  <c r="DE41" i="47"/>
  <c r="DI39" i="47" s="1"/>
  <c r="DJ39" i="47" s="1"/>
  <c r="DL39" i="47" s="1"/>
  <c r="DE38" i="47"/>
  <c r="DI37" i="47" s="1"/>
  <c r="DJ37" i="47" s="1"/>
  <c r="DL37" i="47" s="1"/>
  <c r="CI63" i="47"/>
  <c r="CJ63" i="47" s="1"/>
  <c r="CL63" i="47" s="1"/>
  <c r="CE62" i="47"/>
  <c r="CI62" i="47" s="1"/>
  <c r="CJ62" i="47" s="1"/>
  <c r="CL62" i="47" s="1"/>
  <c r="CE59" i="47"/>
  <c r="CI58" i="47" s="1"/>
  <c r="CJ58" i="47" s="1"/>
  <c r="CL58" i="47" s="1"/>
  <c r="CE56" i="47"/>
  <c r="CI55" i="47" s="1"/>
  <c r="CJ55" i="47" s="1"/>
  <c r="CL55" i="47" s="1"/>
  <c r="CE53" i="47"/>
  <c r="CI52" i="47" s="1"/>
  <c r="CJ52" i="47" s="1"/>
  <c r="CL52" i="47" s="1"/>
  <c r="CE50" i="47"/>
  <c r="CI50" i="47" s="1"/>
  <c r="CJ50" i="47" s="1"/>
  <c r="CL50" i="47" s="1"/>
  <c r="CE47" i="47"/>
  <c r="CI45" i="47" s="1"/>
  <c r="CJ45" i="47" s="1"/>
  <c r="CL45" i="47" s="1"/>
  <c r="CE44" i="47"/>
  <c r="CI43" i="47" s="1"/>
  <c r="CJ43" i="47" s="1"/>
  <c r="CL43" i="47" s="1"/>
  <c r="CE41" i="47"/>
  <c r="CI39" i="47" s="1"/>
  <c r="CJ39" i="47" s="1"/>
  <c r="CL39" i="47" s="1"/>
  <c r="CE38" i="47"/>
  <c r="CI37" i="47" s="1"/>
  <c r="CJ37" i="47" s="1"/>
  <c r="CL37" i="47" s="1"/>
  <c r="DI55" i="47" l="1"/>
  <c r="DJ55" i="47" s="1"/>
  <c r="DL55" i="47" s="1"/>
  <c r="EI45" i="47"/>
  <c r="EJ45" i="47" s="1"/>
  <c r="EL45" i="47" s="1"/>
  <c r="EI48" i="47"/>
  <c r="EJ48" i="47" s="1"/>
  <c r="EL48" i="47" s="1"/>
  <c r="CI54" i="47"/>
  <c r="CJ54" i="47" s="1"/>
  <c r="CL54" i="47" s="1"/>
  <c r="DI48" i="47"/>
  <c r="DJ48" i="47" s="1"/>
  <c r="DL48" i="47" s="1"/>
  <c r="CI40" i="47"/>
  <c r="CJ40" i="47" s="1"/>
  <c r="CL40" i="47" s="1"/>
  <c r="CI61" i="47"/>
  <c r="CJ61" i="47" s="1"/>
  <c r="CL61" i="47" s="1"/>
  <c r="CI46" i="47"/>
  <c r="CJ46" i="47" s="1"/>
  <c r="CL46" i="47" s="1"/>
  <c r="CI59" i="47"/>
  <c r="CJ59" i="47" s="1"/>
  <c r="CL59" i="47" s="1"/>
  <c r="CI60" i="47"/>
  <c r="CJ60" i="47" s="1"/>
  <c r="CL60" i="47" s="1"/>
  <c r="CI56" i="47"/>
  <c r="CJ56" i="47" s="1"/>
  <c r="CL56" i="47" s="1"/>
  <c r="DI58" i="47"/>
  <c r="DJ58" i="47" s="1"/>
  <c r="DL58" i="47" s="1"/>
  <c r="DI41" i="47"/>
  <c r="DJ41" i="47" s="1"/>
  <c r="DL41" i="47" s="1"/>
  <c r="CI41" i="47"/>
  <c r="CJ41" i="47" s="1"/>
  <c r="CL41" i="47" s="1"/>
  <c r="CI48" i="47"/>
  <c r="CJ48" i="47" s="1"/>
  <c r="CL48" i="47" s="1"/>
  <c r="CI57" i="47"/>
  <c r="CJ57" i="47" s="1"/>
  <c r="CL57" i="47" s="1"/>
  <c r="DI57" i="47"/>
  <c r="DJ57" i="47" s="1"/>
  <c r="DL57" i="47" s="1"/>
  <c r="EI46" i="47"/>
  <c r="EJ46" i="47" s="1"/>
  <c r="EL46" i="47" s="1"/>
  <c r="EI63" i="47"/>
  <c r="EJ63" i="47" s="1"/>
  <c r="EL63" i="47" s="1"/>
  <c r="DI40" i="47"/>
  <c r="DJ40" i="47" s="1"/>
  <c r="DL40" i="47" s="1"/>
  <c r="DI46" i="47"/>
  <c r="DJ46" i="47" s="1"/>
  <c r="DL46" i="47" s="1"/>
  <c r="EI38" i="47"/>
  <c r="EJ38" i="47" s="1"/>
  <c r="EL38" i="47" s="1"/>
  <c r="EI42" i="47"/>
  <c r="EJ42" i="47" s="1"/>
  <c r="EL42" i="47" s="1"/>
  <c r="EI53" i="47"/>
  <c r="EJ53" i="47" s="1"/>
  <c r="EL53" i="47" s="1"/>
  <c r="EI60" i="47"/>
  <c r="EJ60" i="47" s="1"/>
  <c r="EL60" i="47" s="1"/>
  <c r="EI49" i="47"/>
  <c r="EJ49" i="47" s="1"/>
  <c r="EL49" i="47" s="1"/>
  <c r="EI51" i="47"/>
  <c r="EJ51" i="47" s="1"/>
  <c r="EL51" i="47" s="1"/>
  <c r="EI57" i="47"/>
  <c r="EJ57" i="47" s="1"/>
  <c r="EL57" i="47" s="1"/>
  <c r="EI44" i="47"/>
  <c r="EJ44" i="47" s="1"/>
  <c r="EL44" i="47" s="1"/>
  <c r="EI62" i="47"/>
  <c r="EJ62" i="47" s="1"/>
  <c r="EL62" i="47" s="1"/>
  <c r="EI40" i="47"/>
  <c r="EJ40" i="47" s="1"/>
  <c r="EL40" i="47" s="1"/>
  <c r="EI36" i="47"/>
  <c r="EJ36" i="47" s="1"/>
  <c r="EI58" i="47"/>
  <c r="EJ58" i="47" s="1"/>
  <c r="EL58" i="47" s="1"/>
  <c r="EI41" i="47"/>
  <c r="EJ41" i="47" s="1"/>
  <c r="EL41" i="47" s="1"/>
  <c r="EI54" i="47"/>
  <c r="EJ54" i="47" s="1"/>
  <c r="EL54" i="47" s="1"/>
  <c r="EI56" i="47"/>
  <c r="EJ56" i="47" s="1"/>
  <c r="EL56" i="47" s="1"/>
  <c r="DI36" i="47"/>
  <c r="DJ36" i="47" s="1"/>
  <c r="DI49" i="47"/>
  <c r="DJ49" i="47" s="1"/>
  <c r="DL49" i="47" s="1"/>
  <c r="DI51" i="47"/>
  <c r="DJ51" i="47" s="1"/>
  <c r="DL51" i="47" s="1"/>
  <c r="DI56" i="47"/>
  <c r="DJ56" i="47" s="1"/>
  <c r="DL56" i="47" s="1"/>
  <c r="DI44" i="47"/>
  <c r="DJ44" i="47" s="1"/>
  <c r="DL44" i="47" s="1"/>
  <c r="DI42" i="47"/>
  <c r="DJ42" i="47" s="1"/>
  <c r="DL42" i="47" s="1"/>
  <c r="DI53" i="47"/>
  <c r="DJ53" i="47" s="1"/>
  <c r="DL53" i="47" s="1"/>
  <c r="DI60" i="47"/>
  <c r="DJ60" i="47" s="1"/>
  <c r="DL60" i="47" s="1"/>
  <c r="DI47" i="47"/>
  <c r="DJ47" i="47" s="1"/>
  <c r="DL47" i="47" s="1"/>
  <c r="DI38" i="47"/>
  <c r="DJ38" i="47" s="1"/>
  <c r="DL38" i="47" s="1"/>
  <c r="DI61" i="47"/>
  <c r="DJ61" i="47" s="1"/>
  <c r="DL61" i="47" s="1"/>
  <c r="CI44" i="47"/>
  <c r="CJ44" i="47" s="1"/>
  <c r="CL44" i="47" s="1"/>
  <c r="CI36" i="47"/>
  <c r="CJ36" i="47" s="1"/>
  <c r="CI49" i="47"/>
  <c r="CJ49" i="47" s="1"/>
  <c r="CL49" i="47" s="1"/>
  <c r="CI47" i="47"/>
  <c r="CJ47" i="47" s="1"/>
  <c r="CL47" i="47" s="1"/>
  <c r="CI38" i="47"/>
  <c r="CJ38" i="47" s="1"/>
  <c r="CL38" i="47" s="1"/>
  <c r="CI42" i="47"/>
  <c r="CJ42" i="47" s="1"/>
  <c r="CL42" i="47" s="1"/>
  <c r="CI53" i="47"/>
  <c r="CJ53" i="47" s="1"/>
  <c r="CL53" i="47" s="1"/>
  <c r="CI51" i="47"/>
  <c r="CJ51" i="47" s="1"/>
  <c r="CL51" i="47" s="1"/>
  <c r="EL36" i="47" l="1"/>
  <c r="EK38" i="47"/>
  <c r="DL36" i="47"/>
  <c r="DK38" i="47"/>
  <c r="CL36" i="47"/>
  <c r="CK38" i="47"/>
  <c r="EE32" i="47" l="1"/>
  <c r="EI30" i="47" s="1"/>
  <c r="EJ30" i="47" s="1"/>
  <c r="EL30" i="47" s="1"/>
  <c r="EI31" i="47"/>
  <c r="EJ31" i="47" s="1"/>
  <c r="EL31" i="47" s="1"/>
  <c r="EE29" i="47"/>
  <c r="EI28" i="47" s="1"/>
  <c r="EJ28" i="47" s="1"/>
  <c r="EL28" i="47" s="1"/>
  <c r="EE26" i="47"/>
  <c r="EI26" i="47" s="1"/>
  <c r="EJ26" i="47" s="1"/>
  <c r="EL26" i="47" s="1"/>
  <c r="EI25" i="47"/>
  <c r="EJ25" i="47" s="1"/>
  <c r="EL25" i="47" s="1"/>
  <c r="EI24" i="47"/>
  <c r="EJ24" i="47" s="1"/>
  <c r="EL24" i="47" s="1"/>
  <c r="EE23" i="47"/>
  <c r="EI21" i="47" s="1"/>
  <c r="EJ21" i="47" s="1"/>
  <c r="EL21" i="47" s="1"/>
  <c r="EI22" i="47"/>
  <c r="EJ22" i="47" s="1"/>
  <c r="EL22" i="47" s="1"/>
  <c r="EE20" i="47"/>
  <c r="EI19" i="47" s="1"/>
  <c r="EJ19" i="47" s="1"/>
  <c r="EL19" i="47" s="1"/>
  <c r="EE17" i="47"/>
  <c r="EI17" i="47" s="1"/>
  <c r="EJ17" i="47" s="1"/>
  <c r="EL17" i="47" s="1"/>
  <c r="EE14" i="47"/>
  <c r="EI12" i="47" s="1"/>
  <c r="EJ12" i="47" s="1"/>
  <c r="EL12" i="47" s="1"/>
  <c r="EE11" i="47"/>
  <c r="EI10" i="47" s="1"/>
  <c r="EJ10" i="47" s="1"/>
  <c r="EL10" i="47" s="1"/>
  <c r="EE8" i="47"/>
  <c r="EI6" i="47" s="1"/>
  <c r="EJ6" i="47" s="1"/>
  <c r="EL6" i="47" s="1"/>
  <c r="EE5" i="47"/>
  <c r="EI4" i="47" s="1"/>
  <c r="EJ4" i="47" s="1"/>
  <c r="EL4" i="47" s="1"/>
  <c r="DE32" i="47"/>
  <c r="DI30" i="47" s="1"/>
  <c r="DJ30" i="47" s="1"/>
  <c r="DL30" i="47" s="1"/>
  <c r="DE29" i="47"/>
  <c r="DI28" i="47" s="1"/>
  <c r="DJ28" i="47" s="1"/>
  <c r="DL28" i="47" s="1"/>
  <c r="DE26" i="47"/>
  <c r="DI24" i="47" s="1"/>
  <c r="DJ24" i="47" s="1"/>
  <c r="DL24" i="47" s="1"/>
  <c r="DE23" i="47"/>
  <c r="DI21" i="47" s="1"/>
  <c r="DJ21" i="47" s="1"/>
  <c r="DL21" i="47" s="1"/>
  <c r="DE20" i="47"/>
  <c r="DI18" i="47" s="1"/>
  <c r="DJ18" i="47" s="1"/>
  <c r="DL18" i="47" s="1"/>
  <c r="DE17" i="47"/>
  <c r="DI17" i="47" s="1"/>
  <c r="DJ17" i="47" s="1"/>
  <c r="DL17" i="47" s="1"/>
  <c r="DE14" i="47"/>
  <c r="DI13" i="47" s="1"/>
  <c r="DJ13" i="47" s="1"/>
  <c r="DL13" i="47" s="1"/>
  <c r="DE11" i="47"/>
  <c r="DI10" i="47" s="1"/>
  <c r="DJ10" i="47" s="1"/>
  <c r="DL10" i="47" s="1"/>
  <c r="DE8" i="47"/>
  <c r="DI6" i="47" s="1"/>
  <c r="DJ6" i="47" s="1"/>
  <c r="DL6" i="47" s="1"/>
  <c r="DE5" i="47"/>
  <c r="DI3" i="47" s="1"/>
  <c r="DJ3" i="47" s="1"/>
  <c r="CE32" i="47"/>
  <c r="CI30" i="47" s="1"/>
  <c r="CJ30" i="47" s="1"/>
  <c r="CL30" i="47" s="1"/>
  <c r="CE29" i="47"/>
  <c r="CI28" i="47" s="1"/>
  <c r="CJ28" i="47" s="1"/>
  <c r="CL28" i="47" s="1"/>
  <c r="CE26" i="47"/>
  <c r="CI24" i="47" s="1"/>
  <c r="CJ24" i="47" s="1"/>
  <c r="CL24" i="47" s="1"/>
  <c r="CE23" i="47"/>
  <c r="CI22" i="47" s="1"/>
  <c r="CJ22" i="47" s="1"/>
  <c r="CL22" i="47" s="1"/>
  <c r="CE20" i="47"/>
  <c r="CI19" i="47" s="1"/>
  <c r="CJ19" i="47" s="1"/>
  <c r="CL19" i="47" s="1"/>
  <c r="CE17" i="47"/>
  <c r="CI15" i="47" s="1"/>
  <c r="CJ15" i="47" s="1"/>
  <c r="CL15" i="47" s="1"/>
  <c r="CE14" i="47"/>
  <c r="CI14" i="47" s="1"/>
  <c r="CJ14" i="47" s="1"/>
  <c r="CL14" i="47" s="1"/>
  <c r="CE11" i="47"/>
  <c r="CI11" i="47" s="1"/>
  <c r="CJ11" i="47" s="1"/>
  <c r="CL11" i="47" s="1"/>
  <c r="CE8" i="47"/>
  <c r="CI6" i="47" s="1"/>
  <c r="CJ6" i="47" s="1"/>
  <c r="CL6" i="47" s="1"/>
  <c r="CE5" i="47"/>
  <c r="CI5" i="47" s="1"/>
  <c r="CJ5" i="47" s="1"/>
  <c r="CL5" i="47" s="1"/>
  <c r="EI7" i="47" l="1"/>
  <c r="EJ7" i="47" s="1"/>
  <c r="EL7" i="47" s="1"/>
  <c r="CI3" i="47"/>
  <c r="CJ3" i="47" s="1"/>
  <c r="DI31" i="47"/>
  <c r="DJ31" i="47" s="1"/>
  <c r="DL31" i="47" s="1"/>
  <c r="CI4" i="47"/>
  <c r="CJ4" i="47" s="1"/>
  <c r="CL4" i="47" s="1"/>
  <c r="EI13" i="47"/>
  <c r="EJ13" i="47" s="1"/>
  <c r="EL13" i="47" s="1"/>
  <c r="DI22" i="47"/>
  <c r="DJ22" i="47" s="1"/>
  <c r="DL22" i="47" s="1"/>
  <c r="DI9" i="47"/>
  <c r="DJ9" i="47" s="1"/>
  <c r="DL9" i="47" s="1"/>
  <c r="CI25" i="47"/>
  <c r="CJ25" i="47" s="1"/>
  <c r="CL25" i="47" s="1"/>
  <c r="CI7" i="47"/>
  <c r="CJ7" i="47" s="1"/>
  <c r="CL7" i="47" s="1"/>
  <c r="DI15" i="47"/>
  <c r="DJ15" i="47" s="1"/>
  <c r="DL15" i="47" s="1"/>
  <c r="DI25" i="47"/>
  <c r="DJ25" i="47" s="1"/>
  <c r="DL25" i="47" s="1"/>
  <c r="CI10" i="47"/>
  <c r="CJ10" i="47" s="1"/>
  <c r="CL10" i="47" s="1"/>
  <c r="DI16" i="47"/>
  <c r="DJ16" i="47" s="1"/>
  <c r="DL16" i="47" s="1"/>
  <c r="CI18" i="47"/>
  <c r="CJ18" i="47" s="1"/>
  <c r="CL18" i="47" s="1"/>
  <c r="CI20" i="47"/>
  <c r="CJ20" i="47" s="1"/>
  <c r="CL20" i="47" s="1"/>
  <c r="DI7" i="47"/>
  <c r="DJ7" i="47" s="1"/>
  <c r="DL7" i="47" s="1"/>
  <c r="DI11" i="47"/>
  <c r="DJ11" i="47" s="1"/>
  <c r="DL11" i="47" s="1"/>
  <c r="DI26" i="47"/>
  <c r="DJ26" i="47" s="1"/>
  <c r="DL26" i="47" s="1"/>
  <c r="EI8" i="47"/>
  <c r="EJ8" i="47" s="1"/>
  <c r="EL8" i="47" s="1"/>
  <c r="EI15" i="47"/>
  <c r="EJ15" i="47" s="1"/>
  <c r="EL15" i="47" s="1"/>
  <c r="CI17" i="47"/>
  <c r="CJ17" i="47" s="1"/>
  <c r="CL17" i="47" s="1"/>
  <c r="CI9" i="47"/>
  <c r="CJ9" i="47" s="1"/>
  <c r="CL9" i="47" s="1"/>
  <c r="CI16" i="47"/>
  <c r="CJ16" i="47" s="1"/>
  <c r="CL16" i="47" s="1"/>
  <c r="CI31" i="47"/>
  <c r="CJ31" i="47" s="1"/>
  <c r="CL31" i="47" s="1"/>
  <c r="EI16" i="47"/>
  <c r="EJ16" i="47" s="1"/>
  <c r="EL16" i="47" s="1"/>
  <c r="EI11" i="47"/>
  <c r="EJ11" i="47" s="1"/>
  <c r="EL11" i="47" s="1"/>
  <c r="EI3" i="47"/>
  <c r="EJ3" i="47" s="1"/>
  <c r="EI18" i="47"/>
  <c r="EJ18" i="47" s="1"/>
  <c r="EL18" i="47" s="1"/>
  <c r="EI14" i="47"/>
  <c r="EJ14" i="47" s="1"/>
  <c r="EL14" i="47" s="1"/>
  <c r="EI32" i="47"/>
  <c r="EJ32" i="47" s="1"/>
  <c r="EL32" i="47" s="1"/>
  <c r="EI29" i="47"/>
  <c r="EJ29" i="47" s="1"/>
  <c r="EL29" i="47" s="1"/>
  <c r="EI9" i="47"/>
  <c r="EJ9" i="47" s="1"/>
  <c r="EL9" i="47" s="1"/>
  <c r="EI20" i="47"/>
  <c r="EJ20" i="47" s="1"/>
  <c r="EL20" i="47" s="1"/>
  <c r="EI23" i="47"/>
  <c r="EJ23" i="47" s="1"/>
  <c r="EL23" i="47" s="1"/>
  <c r="EI5" i="47"/>
  <c r="EJ5" i="47" s="1"/>
  <c r="EL5" i="47" s="1"/>
  <c r="EI27" i="47"/>
  <c r="EJ27" i="47" s="1"/>
  <c r="EL27" i="47" s="1"/>
  <c r="DL3" i="47"/>
  <c r="DI14" i="47"/>
  <c r="DJ14" i="47" s="1"/>
  <c r="DL14" i="47" s="1"/>
  <c r="DI27" i="47"/>
  <c r="DJ27" i="47" s="1"/>
  <c r="DL27" i="47" s="1"/>
  <c r="DI12" i="47"/>
  <c r="DJ12" i="47" s="1"/>
  <c r="DL12" i="47" s="1"/>
  <c r="DI23" i="47"/>
  <c r="DJ23" i="47" s="1"/>
  <c r="DL23" i="47" s="1"/>
  <c r="DI29" i="47"/>
  <c r="DJ29" i="47" s="1"/>
  <c r="DL29" i="47" s="1"/>
  <c r="DI4" i="47"/>
  <c r="DJ4" i="47" s="1"/>
  <c r="DL4" i="47" s="1"/>
  <c r="DI8" i="47"/>
  <c r="DJ8" i="47" s="1"/>
  <c r="DL8" i="47" s="1"/>
  <c r="DI19" i="47"/>
  <c r="DJ19" i="47" s="1"/>
  <c r="DL19" i="47" s="1"/>
  <c r="DI32" i="47"/>
  <c r="DJ32" i="47" s="1"/>
  <c r="DL32" i="47" s="1"/>
  <c r="DI5" i="47"/>
  <c r="DJ5" i="47" s="1"/>
  <c r="DL5" i="47" s="1"/>
  <c r="DI20" i="47"/>
  <c r="DJ20" i="47" s="1"/>
  <c r="DL20" i="47" s="1"/>
  <c r="CK5" i="47"/>
  <c r="CL3" i="47"/>
  <c r="CI29" i="47"/>
  <c r="CJ29" i="47" s="1"/>
  <c r="CL29" i="47" s="1"/>
  <c r="CI27" i="47"/>
  <c r="CJ27" i="47" s="1"/>
  <c r="CL27" i="47" s="1"/>
  <c r="CI12" i="47"/>
  <c r="CJ12" i="47" s="1"/>
  <c r="CL12" i="47" s="1"/>
  <c r="CI23" i="47"/>
  <c r="CJ23" i="47" s="1"/>
  <c r="CL23" i="47" s="1"/>
  <c r="CI8" i="47"/>
  <c r="CJ8" i="47" s="1"/>
  <c r="CL8" i="47" s="1"/>
  <c r="CI21" i="47"/>
  <c r="CJ21" i="47" s="1"/>
  <c r="CL21" i="47" s="1"/>
  <c r="CI32" i="47"/>
  <c r="CJ32" i="47" s="1"/>
  <c r="CL32" i="47" s="1"/>
  <c r="CI13" i="47"/>
  <c r="CJ13" i="47" s="1"/>
  <c r="CL13" i="47" s="1"/>
  <c r="CI26" i="47"/>
  <c r="CJ26" i="47" s="1"/>
  <c r="CL26" i="47" s="1"/>
  <c r="EL3" i="47" l="1"/>
  <c r="EK5" i="47"/>
  <c r="DK5" i="47"/>
  <c r="AI63" i="47" l="1"/>
  <c r="AJ63" i="47" s="1"/>
  <c r="AL63" i="47" s="1"/>
  <c r="AE62" i="47"/>
  <c r="AI61" i="47" s="1"/>
  <c r="AJ61" i="47" s="1"/>
  <c r="AL61" i="47" s="1"/>
  <c r="AE59" i="47"/>
  <c r="AI58" i="47" s="1"/>
  <c r="AJ58" i="47" s="1"/>
  <c r="AL58" i="47" s="1"/>
  <c r="AE56" i="47"/>
  <c r="AI56" i="47" s="1"/>
  <c r="AJ56" i="47" s="1"/>
  <c r="AL56" i="47" s="1"/>
  <c r="AI54" i="47"/>
  <c r="AJ54" i="47" s="1"/>
  <c r="AL54" i="47" s="1"/>
  <c r="AE53" i="47"/>
  <c r="AI51" i="47" s="1"/>
  <c r="AJ51" i="47" s="1"/>
  <c r="AL51" i="47" s="1"/>
  <c r="AE50" i="47"/>
  <c r="AI49" i="47" s="1"/>
  <c r="AJ49" i="47" s="1"/>
  <c r="AL49" i="47" s="1"/>
  <c r="AE47" i="47"/>
  <c r="AI46" i="47" s="1"/>
  <c r="AJ46" i="47" s="1"/>
  <c r="AL46" i="47" s="1"/>
  <c r="AE44" i="47"/>
  <c r="AI44" i="47" s="1"/>
  <c r="AJ44" i="47" s="1"/>
  <c r="AL44" i="47" s="1"/>
  <c r="AE41" i="47"/>
  <c r="AI39" i="47" s="1"/>
  <c r="AJ39" i="47" s="1"/>
  <c r="AL39" i="47" s="1"/>
  <c r="AE38" i="47"/>
  <c r="AI37" i="47" s="1"/>
  <c r="AJ37" i="47" s="1"/>
  <c r="AL37" i="47" s="1"/>
  <c r="E65" i="47"/>
  <c r="I63" i="47" s="1"/>
  <c r="J63" i="47" s="1"/>
  <c r="L63" i="47" s="1"/>
  <c r="E62" i="47"/>
  <c r="I61" i="47" s="1"/>
  <c r="J61" i="47" s="1"/>
  <c r="L61" i="47" s="1"/>
  <c r="E59" i="47"/>
  <c r="I58" i="47" s="1"/>
  <c r="J58" i="47" s="1"/>
  <c r="L58" i="47" s="1"/>
  <c r="E56" i="47"/>
  <c r="I56" i="47" s="1"/>
  <c r="J56" i="47" s="1"/>
  <c r="L56" i="47" s="1"/>
  <c r="E53" i="47"/>
  <c r="I53" i="47" s="1"/>
  <c r="J53" i="47" s="1"/>
  <c r="L53" i="47" s="1"/>
  <c r="E50" i="47"/>
  <c r="I48" i="47" s="1"/>
  <c r="J48" i="47" s="1"/>
  <c r="L48" i="47" s="1"/>
  <c r="E47" i="47"/>
  <c r="I45" i="47" s="1"/>
  <c r="J45" i="47" s="1"/>
  <c r="L45" i="47" s="1"/>
  <c r="E44" i="47"/>
  <c r="I43" i="47" s="1"/>
  <c r="J43" i="47" s="1"/>
  <c r="L43" i="47" s="1"/>
  <c r="E41" i="47"/>
  <c r="I40" i="47" s="1"/>
  <c r="J40" i="47" s="1"/>
  <c r="L40" i="47" s="1"/>
  <c r="E38" i="47"/>
  <c r="I36" i="47" s="1"/>
  <c r="J36" i="47" s="1"/>
  <c r="BE62" i="47"/>
  <c r="BI61" i="47" s="1"/>
  <c r="BJ61" i="47" s="1"/>
  <c r="BL61" i="47" s="1"/>
  <c r="BE59" i="47"/>
  <c r="BI59" i="47" s="1"/>
  <c r="BJ59" i="47" s="1"/>
  <c r="BL59" i="47" s="1"/>
  <c r="BE56" i="47"/>
  <c r="BI56" i="47" s="1"/>
  <c r="BJ56" i="47" s="1"/>
  <c r="BL56" i="47" s="1"/>
  <c r="BE53" i="47"/>
  <c r="BI53" i="47" s="1"/>
  <c r="BJ53" i="47" s="1"/>
  <c r="BL53" i="47" s="1"/>
  <c r="BI52" i="47"/>
  <c r="BJ52" i="47" s="1"/>
  <c r="BL52" i="47" s="1"/>
  <c r="BE50" i="47"/>
  <c r="BI49" i="47" s="1"/>
  <c r="BJ49" i="47" s="1"/>
  <c r="BL49" i="47" s="1"/>
  <c r="BE47" i="47"/>
  <c r="BI46" i="47" s="1"/>
  <c r="BJ46" i="47" s="1"/>
  <c r="BL46" i="47" s="1"/>
  <c r="BE44" i="47"/>
  <c r="BI43" i="47" s="1"/>
  <c r="BJ43" i="47" s="1"/>
  <c r="BL43" i="47" s="1"/>
  <c r="BE41" i="47"/>
  <c r="BI41" i="47" s="1"/>
  <c r="BJ41" i="47" s="1"/>
  <c r="BL41" i="47" s="1"/>
  <c r="BE38" i="47"/>
  <c r="BI36" i="47" s="1"/>
  <c r="BJ36" i="47" s="1"/>
  <c r="BI37" i="47"/>
  <c r="BJ37" i="47" s="1"/>
  <c r="BL37" i="47" s="1"/>
  <c r="I65" i="47" l="1"/>
  <c r="J65" i="47" s="1"/>
  <c r="L65" i="47" s="1"/>
  <c r="AI60" i="47"/>
  <c r="AJ60" i="47" s="1"/>
  <c r="AL60" i="47" s="1"/>
  <c r="AI48" i="47"/>
  <c r="AJ48" i="47" s="1"/>
  <c r="AL48" i="47" s="1"/>
  <c r="BI51" i="47"/>
  <c r="BJ51" i="47" s="1"/>
  <c r="BL51" i="47" s="1"/>
  <c r="I37" i="47"/>
  <c r="J37" i="47" s="1"/>
  <c r="L37" i="47" s="1"/>
  <c r="I46" i="47"/>
  <c r="J46" i="47" s="1"/>
  <c r="L46" i="47" s="1"/>
  <c r="I54" i="47"/>
  <c r="J54" i="47" s="1"/>
  <c r="L54" i="47" s="1"/>
  <c r="AI42" i="47"/>
  <c r="AJ42" i="47" s="1"/>
  <c r="AL42" i="47" s="1"/>
  <c r="AI38" i="47"/>
  <c r="AJ38" i="47" s="1"/>
  <c r="AL38" i="47" s="1"/>
  <c r="AI45" i="47"/>
  <c r="AJ45" i="47" s="1"/>
  <c r="AL45" i="47" s="1"/>
  <c r="AI40" i="47"/>
  <c r="AJ40" i="47" s="1"/>
  <c r="AL40" i="47" s="1"/>
  <c r="AI47" i="47"/>
  <c r="AJ47" i="47" s="1"/>
  <c r="AL47" i="47" s="1"/>
  <c r="AI52" i="47"/>
  <c r="AJ52" i="47" s="1"/>
  <c r="AL52" i="47" s="1"/>
  <c r="AI59" i="47"/>
  <c r="AJ59" i="47" s="1"/>
  <c r="AL59" i="47" s="1"/>
  <c r="AI57" i="47"/>
  <c r="AJ57" i="47" s="1"/>
  <c r="AL57" i="47" s="1"/>
  <c r="AI36" i="47"/>
  <c r="AJ36" i="47" s="1"/>
  <c r="AI43" i="47"/>
  <c r="AJ43" i="47" s="1"/>
  <c r="AL43" i="47" s="1"/>
  <c r="AI50" i="47"/>
  <c r="AJ50" i="47" s="1"/>
  <c r="AL50" i="47" s="1"/>
  <c r="AI55" i="47"/>
  <c r="AJ55" i="47" s="1"/>
  <c r="AL55" i="47" s="1"/>
  <c r="AI62" i="47"/>
  <c r="AJ62" i="47" s="1"/>
  <c r="AL62" i="47" s="1"/>
  <c r="AI41" i="47"/>
  <c r="AJ41" i="47" s="1"/>
  <c r="AL41" i="47" s="1"/>
  <c r="AI53" i="47"/>
  <c r="AJ53" i="47" s="1"/>
  <c r="AL53" i="47" s="1"/>
  <c r="I52" i="47"/>
  <c r="J52" i="47" s="1"/>
  <c r="L52" i="47" s="1"/>
  <c r="BI39" i="47"/>
  <c r="BJ39" i="47" s="1"/>
  <c r="BL39" i="47" s="1"/>
  <c r="BI54" i="47"/>
  <c r="BJ54" i="47" s="1"/>
  <c r="BL54" i="47" s="1"/>
  <c r="BI63" i="47"/>
  <c r="BJ63" i="47" s="1"/>
  <c r="BL63" i="47" s="1"/>
  <c r="L36" i="47"/>
  <c r="I64" i="47"/>
  <c r="J64" i="47" s="1"/>
  <c r="L64" i="47" s="1"/>
  <c r="I59" i="47"/>
  <c r="J59" i="47" s="1"/>
  <c r="L59" i="47" s="1"/>
  <c r="I39" i="47"/>
  <c r="J39" i="47" s="1"/>
  <c r="L39" i="47" s="1"/>
  <c r="I51" i="47"/>
  <c r="J51" i="47" s="1"/>
  <c r="L51" i="47" s="1"/>
  <c r="I57" i="47"/>
  <c r="J57" i="47" s="1"/>
  <c r="L57" i="47" s="1"/>
  <c r="I44" i="47"/>
  <c r="J44" i="47" s="1"/>
  <c r="L44" i="47" s="1"/>
  <c r="I49" i="47"/>
  <c r="J49" i="47" s="1"/>
  <c r="L49" i="47" s="1"/>
  <c r="I50" i="47"/>
  <c r="J50" i="47" s="1"/>
  <c r="L50" i="47" s="1"/>
  <c r="I55" i="47"/>
  <c r="J55" i="47" s="1"/>
  <c r="L55" i="47" s="1"/>
  <c r="I62" i="47"/>
  <c r="J62" i="47" s="1"/>
  <c r="L62" i="47" s="1"/>
  <c r="I41" i="47"/>
  <c r="J41" i="47" s="1"/>
  <c r="L41" i="47" s="1"/>
  <c r="I42" i="47"/>
  <c r="J42" i="47" s="1"/>
  <c r="L42" i="47" s="1"/>
  <c r="I60" i="47"/>
  <c r="J60" i="47" s="1"/>
  <c r="L60" i="47" s="1"/>
  <c r="I47" i="47"/>
  <c r="J47" i="47" s="1"/>
  <c r="L47" i="47" s="1"/>
  <c r="I38" i="47"/>
  <c r="J38" i="47" s="1"/>
  <c r="L38" i="47" s="1"/>
  <c r="BL36" i="47"/>
  <c r="BI42" i="47"/>
  <c r="BJ42" i="47" s="1"/>
  <c r="BL42" i="47" s="1"/>
  <c r="BI57" i="47"/>
  <c r="BJ57" i="47" s="1"/>
  <c r="BL57" i="47" s="1"/>
  <c r="BI40" i="47"/>
  <c r="BJ40" i="47" s="1"/>
  <c r="BL40" i="47" s="1"/>
  <c r="BI47" i="47"/>
  <c r="BJ47" i="47" s="1"/>
  <c r="BL47" i="47" s="1"/>
  <c r="BI62" i="47"/>
  <c r="BJ62" i="47" s="1"/>
  <c r="BL62" i="47" s="1"/>
  <c r="BI38" i="47"/>
  <c r="BJ38" i="47" s="1"/>
  <c r="BL38" i="47" s="1"/>
  <c r="BI60" i="47"/>
  <c r="BJ60" i="47" s="1"/>
  <c r="BL60" i="47" s="1"/>
  <c r="BI44" i="47"/>
  <c r="BJ44" i="47" s="1"/>
  <c r="BL44" i="47" s="1"/>
  <c r="BI55" i="47"/>
  <c r="BJ55" i="47" s="1"/>
  <c r="BL55" i="47" s="1"/>
  <c r="BI45" i="47"/>
  <c r="BJ45" i="47" s="1"/>
  <c r="BL45" i="47" s="1"/>
  <c r="BI58" i="47"/>
  <c r="BJ58" i="47" s="1"/>
  <c r="BL58" i="47" s="1"/>
  <c r="BI50" i="47"/>
  <c r="BJ50" i="47" s="1"/>
  <c r="BL50" i="47" s="1"/>
  <c r="BI48" i="47"/>
  <c r="BJ48" i="47" s="1"/>
  <c r="BL48" i="47" s="1"/>
  <c r="AK38" i="47" l="1"/>
  <c r="AL36" i="47"/>
  <c r="K38" i="47"/>
  <c r="BK38" i="47"/>
  <c r="BE32" i="47" l="1"/>
  <c r="BI30" i="47" s="1"/>
  <c r="BJ30" i="47" s="1"/>
  <c r="BL30" i="47" s="1"/>
  <c r="BE29" i="47"/>
  <c r="BI28" i="47" s="1"/>
  <c r="BJ28" i="47" s="1"/>
  <c r="BL28" i="47" s="1"/>
  <c r="BE26" i="47"/>
  <c r="BI26" i="47" s="1"/>
  <c r="BJ26" i="47" s="1"/>
  <c r="BL26" i="47" s="1"/>
  <c r="BE23" i="47"/>
  <c r="BI23" i="47" s="1"/>
  <c r="BJ23" i="47" s="1"/>
  <c r="BL23" i="47" s="1"/>
  <c r="BE20" i="47"/>
  <c r="BI18" i="47" s="1"/>
  <c r="BJ18" i="47" s="1"/>
  <c r="BL18" i="47" s="1"/>
  <c r="BE17" i="47"/>
  <c r="BI16" i="47" s="1"/>
  <c r="BJ16" i="47" s="1"/>
  <c r="BL16" i="47" s="1"/>
  <c r="BI15" i="47"/>
  <c r="BJ15" i="47" s="1"/>
  <c r="BL15" i="47" s="1"/>
  <c r="BE14" i="47"/>
  <c r="BI13" i="47" s="1"/>
  <c r="BJ13" i="47" s="1"/>
  <c r="BL13" i="47" s="1"/>
  <c r="BE11" i="47"/>
  <c r="BI11" i="47" s="1"/>
  <c r="BJ11" i="47" s="1"/>
  <c r="BL11" i="47" s="1"/>
  <c r="BE8" i="47"/>
  <c r="BI6" i="47" s="1"/>
  <c r="BJ6" i="47" s="1"/>
  <c r="BL6" i="47" s="1"/>
  <c r="BI7" i="47"/>
  <c r="BJ7" i="47" s="1"/>
  <c r="BL7" i="47" s="1"/>
  <c r="BE5" i="47"/>
  <c r="BI4" i="47" s="1"/>
  <c r="BJ4" i="47" s="1"/>
  <c r="BL4" i="47" s="1"/>
  <c r="AE32" i="47"/>
  <c r="AI30" i="47" s="1"/>
  <c r="AJ30" i="47" s="1"/>
  <c r="AL30" i="47" s="1"/>
  <c r="AI31" i="47"/>
  <c r="AJ31" i="47" s="1"/>
  <c r="AL31" i="47" s="1"/>
  <c r="AE29" i="47"/>
  <c r="AI28" i="47" s="1"/>
  <c r="AJ28" i="47" s="1"/>
  <c r="AL28" i="47" s="1"/>
  <c r="AE26" i="47"/>
  <c r="AI25" i="47" s="1"/>
  <c r="AJ25" i="47" s="1"/>
  <c r="AL25" i="47" s="1"/>
  <c r="AE23" i="47"/>
  <c r="AI23" i="47" s="1"/>
  <c r="AJ23" i="47" s="1"/>
  <c r="AL23" i="47" s="1"/>
  <c r="AE20" i="47"/>
  <c r="AI20" i="47" s="1"/>
  <c r="AJ20" i="47" s="1"/>
  <c r="AL20" i="47" s="1"/>
  <c r="AI18" i="47"/>
  <c r="AJ18" i="47" s="1"/>
  <c r="AL18" i="47" s="1"/>
  <c r="AE17" i="47"/>
  <c r="AI16" i="47" s="1"/>
  <c r="AJ16" i="47" s="1"/>
  <c r="AL16" i="47" s="1"/>
  <c r="AE14" i="47"/>
  <c r="AI14" i="47" s="1"/>
  <c r="AJ14" i="47" s="1"/>
  <c r="AL14" i="47" s="1"/>
  <c r="AE11" i="47"/>
  <c r="AI9" i="47" s="1"/>
  <c r="AJ9" i="47" s="1"/>
  <c r="AL9" i="47" s="1"/>
  <c r="AE8" i="47"/>
  <c r="AI6" i="47" s="1"/>
  <c r="AJ6" i="47" s="1"/>
  <c r="AL6" i="47" s="1"/>
  <c r="AE5" i="47"/>
  <c r="AI5" i="47" s="1"/>
  <c r="AJ5" i="47" s="1"/>
  <c r="AL5" i="47" s="1"/>
  <c r="E32" i="47"/>
  <c r="I30" i="47" s="1"/>
  <c r="J30" i="47" s="1"/>
  <c r="L30" i="47" s="1"/>
  <c r="E29" i="47"/>
  <c r="I29" i="47" s="1"/>
  <c r="J29" i="47" s="1"/>
  <c r="L29" i="47" s="1"/>
  <c r="E26" i="47"/>
  <c r="I25" i="47" s="1"/>
  <c r="J25" i="47" s="1"/>
  <c r="L25" i="47" s="1"/>
  <c r="E23" i="47"/>
  <c r="I22" i="47" s="1"/>
  <c r="J22" i="47" s="1"/>
  <c r="L22" i="47" s="1"/>
  <c r="E20" i="47"/>
  <c r="I18" i="47" s="1"/>
  <c r="J18" i="47" s="1"/>
  <c r="L18" i="47" s="1"/>
  <c r="E17" i="47"/>
  <c r="I17" i="47" s="1"/>
  <c r="J17" i="47" s="1"/>
  <c r="L17" i="47" s="1"/>
  <c r="E14" i="47"/>
  <c r="I12" i="47" s="1"/>
  <c r="J12" i="47" s="1"/>
  <c r="L12" i="47" s="1"/>
  <c r="E11" i="47"/>
  <c r="I10" i="47" s="1"/>
  <c r="J10" i="47" s="1"/>
  <c r="L10" i="47" s="1"/>
  <c r="E8" i="47"/>
  <c r="I6" i="47" s="1"/>
  <c r="J6" i="47" s="1"/>
  <c r="L6" i="47" s="1"/>
  <c r="E5" i="47"/>
  <c r="I3" i="47" s="1"/>
  <c r="J3" i="47" s="1"/>
  <c r="I28" i="47" l="1"/>
  <c r="J28" i="47" s="1"/>
  <c r="L28" i="47" s="1"/>
  <c r="AI22" i="47"/>
  <c r="AJ22" i="47" s="1"/>
  <c r="AL22" i="47" s="1"/>
  <c r="I15" i="47"/>
  <c r="J15" i="47" s="1"/>
  <c r="L15" i="47" s="1"/>
  <c r="AI7" i="47"/>
  <c r="AJ7" i="47" s="1"/>
  <c r="AL7" i="47" s="1"/>
  <c r="AI19" i="47"/>
  <c r="AJ19" i="47" s="1"/>
  <c r="AL19" i="47" s="1"/>
  <c r="BI31" i="47"/>
  <c r="BJ31" i="47" s="1"/>
  <c r="BL31" i="47" s="1"/>
  <c r="I4" i="47"/>
  <c r="J4" i="47" s="1"/>
  <c r="L4" i="47" s="1"/>
  <c r="BI21" i="47"/>
  <c r="BJ21" i="47" s="1"/>
  <c r="BL21" i="47" s="1"/>
  <c r="BI9" i="47"/>
  <c r="BJ9" i="47" s="1"/>
  <c r="BL9" i="47" s="1"/>
  <c r="BI22" i="47"/>
  <c r="BJ22" i="47" s="1"/>
  <c r="BL22" i="47" s="1"/>
  <c r="AI32" i="47"/>
  <c r="AJ32" i="47" s="1"/>
  <c r="AL32" i="47" s="1"/>
  <c r="I13" i="47"/>
  <c r="J13" i="47" s="1"/>
  <c r="L13" i="47" s="1"/>
  <c r="AI21" i="47"/>
  <c r="AJ21" i="47" s="1"/>
  <c r="AL21" i="47" s="1"/>
  <c r="BI17" i="47"/>
  <c r="BJ17" i="47" s="1"/>
  <c r="BL17" i="47" s="1"/>
  <c r="AI13" i="47"/>
  <c r="AJ13" i="47" s="1"/>
  <c r="AL13" i="47" s="1"/>
  <c r="I5" i="47"/>
  <c r="J5" i="47" s="1"/>
  <c r="L5" i="47" s="1"/>
  <c r="I11" i="47"/>
  <c r="J11" i="47" s="1"/>
  <c r="L11" i="47" s="1"/>
  <c r="I23" i="47"/>
  <c r="J23" i="47" s="1"/>
  <c r="L23" i="47" s="1"/>
  <c r="BI19" i="47"/>
  <c r="BJ19" i="47" s="1"/>
  <c r="BL19" i="47" s="1"/>
  <c r="BI29" i="47"/>
  <c r="BJ29" i="47" s="1"/>
  <c r="BL29" i="47" s="1"/>
  <c r="I9" i="47"/>
  <c r="J9" i="47" s="1"/>
  <c r="L9" i="47" s="1"/>
  <c r="I21" i="47"/>
  <c r="J21" i="47" s="1"/>
  <c r="L21" i="47" s="1"/>
  <c r="I27" i="47"/>
  <c r="J27" i="47" s="1"/>
  <c r="L27" i="47" s="1"/>
  <c r="AI12" i="47"/>
  <c r="AJ12" i="47" s="1"/>
  <c r="AL12" i="47" s="1"/>
  <c r="BI10" i="47"/>
  <c r="BJ10" i="47" s="1"/>
  <c r="BL10" i="47" s="1"/>
  <c r="BI27" i="47"/>
  <c r="BJ27" i="47" s="1"/>
  <c r="BL27" i="47" s="1"/>
  <c r="BI5" i="47"/>
  <c r="BJ5" i="47" s="1"/>
  <c r="BL5" i="47" s="1"/>
  <c r="BI12" i="47"/>
  <c r="BJ12" i="47" s="1"/>
  <c r="BL12" i="47" s="1"/>
  <c r="BI24" i="47"/>
  <c r="BJ24" i="47" s="1"/>
  <c r="BL24" i="47" s="1"/>
  <c r="BI14" i="47"/>
  <c r="BJ14" i="47" s="1"/>
  <c r="BL14" i="47" s="1"/>
  <c r="BI8" i="47"/>
  <c r="BJ8" i="47" s="1"/>
  <c r="BL8" i="47" s="1"/>
  <c r="BI20" i="47"/>
  <c r="BJ20" i="47" s="1"/>
  <c r="BL20" i="47" s="1"/>
  <c r="BI25" i="47"/>
  <c r="BJ25" i="47" s="1"/>
  <c r="BL25" i="47" s="1"/>
  <c r="BI32" i="47"/>
  <c r="BJ32" i="47" s="1"/>
  <c r="BL32" i="47" s="1"/>
  <c r="BI3" i="47"/>
  <c r="BJ3" i="47" s="1"/>
  <c r="AI26" i="47"/>
  <c r="AJ26" i="47" s="1"/>
  <c r="AL26" i="47" s="1"/>
  <c r="AI3" i="47"/>
  <c r="AJ3" i="47" s="1"/>
  <c r="AI10" i="47"/>
  <c r="AJ10" i="47" s="1"/>
  <c r="AL10" i="47" s="1"/>
  <c r="AI17" i="47"/>
  <c r="AJ17" i="47" s="1"/>
  <c r="AL17" i="47" s="1"/>
  <c r="AI24" i="47"/>
  <c r="AJ24" i="47" s="1"/>
  <c r="AL24" i="47" s="1"/>
  <c r="AI15" i="47"/>
  <c r="AJ15" i="47" s="1"/>
  <c r="AL15" i="47" s="1"/>
  <c r="AI29" i="47"/>
  <c r="AJ29" i="47" s="1"/>
  <c r="AL29" i="47" s="1"/>
  <c r="AI8" i="47"/>
  <c r="AJ8" i="47" s="1"/>
  <c r="AL8" i="47" s="1"/>
  <c r="AI27" i="47"/>
  <c r="AJ27" i="47" s="1"/>
  <c r="AL27" i="47" s="1"/>
  <c r="AI4" i="47"/>
  <c r="AJ4" i="47" s="1"/>
  <c r="AL4" i="47" s="1"/>
  <c r="AI11" i="47"/>
  <c r="AJ11" i="47" s="1"/>
  <c r="AL11" i="47" s="1"/>
  <c r="L3" i="47"/>
  <c r="K5" i="47"/>
  <c r="I16" i="47"/>
  <c r="J16" i="47" s="1"/>
  <c r="L16" i="47" s="1"/>
  <c r="I7" i="47"/>
  <c r="J7" i="47" s="1"/>
  <c r="L7" i="47" s="1"/>
  <c r="I14" i="47"/>
  <c r="J14" i="47" s="1"/>
  <c r="L14" i="47" s="1"/>
  <c r="I19" i="47"/>
  <c r="J19" i="47" s="1"/>
  <c r="L19" i="47" s="1"/>
  <c r="I26" i="47"/>
  <c r="J26" i="47" s="1"/>
  <c r="L26" i="47" s="1"/>
  <c r="I31" i="47"/>
  <c r="J31" i="47" s="1"/>
  <c r="L31" i="47" s="1"/>
  <c r="I8" i="47"/>
  <c r="J8" i="47" s="1"/>
  <c r="L8" i="47" s="1"/>
  <c r="I24" i="47"/>
  <c r="J24" i="47" s="1"/>
  <c r="L24" i="47" s="1"/>
  <c r="I20" i="47"/>
  <c r="J20" i="47" s="1"/>
  <c r="L20" i="47" s="1"/>
  <c r="I32" i="47"/>
  <c r="J32" i="47" s="1"/>
  <c r="L32" i="47" s="1"/>
  <c r="BL3" i="47" l="1"/>
  <c r="BK5" i="47"/>
  <c r="AK5" i="47"/>
  <c r="AL3" i="47"/>
  <c r="AD76" i="43" l="1"/>
  <c r="AE76" i="43" s="1"/>
  <c r="AF76" i="43" s="1"/>
  <c r="AI76" i="43" s="1"/>
  <c r="AD73" i="43"/>
  <c r="AE74" i="43" s="1"/>
  <c r="AF74" i="43" s="1"/>
  <c r="AI74" i="43" s="1"/>
  <c r="AD70" i="43"/>
  <c r="AE72" i="43" s="1"/>
  <c r="AF72" i="43" s="1"/>
  <c r="AI72" i="43" s="1"/>
  <c r="AD67" i="43"/>
  <c r="AE69" i="43" s="1"/>
  <c r="AF69" i="43" s="1"/>
  <c r="AI69" i="43" s="1"/>
  <c r="AD64" i="43"/>
  <c r="AE65" i="43" s="1"/>
  <c r="AF65" i="43" s="1"/>
  <c r="AI65" i="43" s="1"/>
  <c r="AD61" i="43"/>
  <c r="AE61" i="43" s="1"/>
  <c r="AF61" i="43" s="1"/>
  <c r="AI61" i="43" s="1"/>
  <c r="AD58" i="43"/>
  <c r="AE58" i="43" s="1"/>
  <c r="AF58" i="43" s="1"/>
  <c r="AI58" i="43" s="1"/>
  <c r="AD55" i="43"/>
  <c r="AE57" i="43" s="1"/>
  <c r="AF57" i="43" s="1"/>
  <c r="AI57" i="43" s="1"/>
  <c r="AD52" i="43"/>
  <c r="AE52" i="43" s="1"/>
  <c r="AF52" i="43" s="1"/>
  <c r="AI52" i="43" s="1"/>
  <c r="AD49" i="43"/>
  <c r="AE50" i="43" s="1"/>
  <c r="AF50" i="43" s="1"/>
  <c r="AI50" i="43" s="1"/>
  <c r="AD46" i="43"/>
  <c r="AE48" i="43" s="1"/>
  <c r="AF48" i="43" s="1"/>
  <c r="AI48" i="43" s="1"/>
  <c r="AD43" i="43"/>
  <c r="AE45" i="43" s="1"/>
  <c r="AF45" i="43" s="1"/>
  <c r="AI45" i="43" s="1"/>
  <c r="E77" i="43"/>
  <c r="H75" i="43" s="1"/>
  <c r="I75" i="43" s="1"/>
  <c r="K75" i="43" s="1"/>
  <c r="E74" i="43"/>
  <c r="H74" i="43" s="1"/>
  <c r="I74" i="43" s="1"/>
  <c r="K74" i="43" s="1"/>
  <c r="E71" i="43"/>
  <c r="H71" i="43" s="1"/>
  <c r="I71" i="43" s="1"/>
  <c r="K71" i="43" s="1"/>
  <c r="E68" i="43"/>
  <c r="H68" i="43" s="1"/>
  <c r="I68" i="43" s="1"/>
  <c r="K68" i="43" s="1"/>
  <c r="E65" i="43"/>
  <c r="H63" i="43" s="1"/>
  <c r="I63" i="43" s="1"/>
  <c r="K63" i="43" s="1"/>
  <c r="E62" i="43"/>
  <c r="H60" i="43" s="1"/>
  <c r="I60" i="43" s="1"/>
  <c r="K60" i="43" s="1"/>
  <c r="E59" i="43"/>
  <c r="H58" i="43" s="1"/>
  <c r="I58" i="43" s="1"/>
  <c r="K58" i="43" s="1"/>
  <c r="E56" i="43"/>
  <c r="H55" i="43" s="1"/>
  <c r="I55" i="43" s="1"/>
  <c r="K55" i="43" s="1"/>
  <c r="E53" i="43"/>
  <c r="H52" i="43" s="1"/>
  <c r="I52" i="43" s="1"/>
  <c r="K52" i="43" s="1"/>
  <c r="E50" i="43"/>
  <c r="H50" i="43" s="1"/>
  <c r="I50" i="43" s="1"/>
  <c r="K50" i="43" s="1"/>
  <c r="E47" i="43"/>
  <c r="H45" i="43" s="1"/>
  <c r="I45" i="43" s="1"/>
  <c r="K45" i="43" s="1"/>
  <c r="E44" i="43"/>
  <c r="H44" i="43" s="1"/>
  <c r="I44" i="43" s="1"/>
  <c r="K44" i="43" s="1"/>
  <c r="H73" i="43" l="1"/>
  <c r="I73" i="43" s="1"/>
  <c r="K73" i="43" s="1"/>
  <c r="H42" i="43"/>
  <c r="I42" i="43" s="1"/>
  <c r="H43" i="43"/>
  <c r="I43" i="43" s="1"/>
  <c r="K43" i="43" s="1"/>
  <c r="H64" i="43"/>
  <c r="I64" i="43" s="1"/>
  <c r="K64" i="43" s="1"/>
  <c r="H66" i="43"/>
  <c r="I66" i="43" s="1"/>
  <c r="K66" i="43" s="1"/>
  <c r="H67" i="43"/>
  <c r="I67" i="43" s="1"/>
  <c r="K67" i="43" s="1"/>
  <c r="AE46" i="43"/>
  <c r="AF46" i="43" s="1"/>
  <c r="AI46" i="43" s="1"/>
  <c r="AE67" i="43"/>
  <c r="AF67" i="43" s="1"/>
  <c r="AI67" i="43" s="1"/>
  <c r="AJ67" i="43" s="1"/>
  <c r="AE68" i="43"/>
  <c r="AF68" i="43" s="1"/>
  <c r="AI68" i="43" s="1"/>
  <c r="H56" i="43"/>
  <c r="I56" i="43" s="1"/>
  <c r="K56" i="43" s="1"/>
  <c r="H53" i="43"/>
  <c r="I53" i="43" s="1"/>
  <c r="K53" i="43" s="1"/>
  <c r="H77" i="43"/>
  <c r="I77" i="43" s="1"/>
  <c r="K77" i="43" s="1"/>
  <c r="AE59" i="43"/>
  <c r="AF59" i="43" s="1"/>
  <c r="AI59" i="43" s="1"/>
  <c r="H51" i="43"/>
  <c r="I51" i="43" s="1"/>
  <c r="K51" i="43" s="1"/>
  <c r="H54" i="43"/>
  <c r="I54" i="43" s="1"/>
  <c r="K54" i="43" s="1"/>
  <c r="AE56" i="43"/>
  <c r="AF56" i="43" s="1"/>
  <c r="AI56" i="43" s="1"/>
  <c r="H61" i="43"/>
  <c r="I61" i="43" s="1"/>
  <c r="K61" i="43" s="1"/>
  <c r="H65" i="43"/>
  <c r="I65" i="43" s="1"/>
  <c r="K65" i="43" s="1"/>
  <c r="H76" i="43"/>
  <c r="I76" i="43" s="1"/>
  <c r="K76" i="43" s="1"/>
  <c r="AE44" i="43"/>
  <c r="AF44" i="43" s="1"/>
  <c r="AI44" i="43" s="1"/>
  <c r="AE49" i="43"/>
  <c r="AF49" i="43" s="1"/>
  <c r="AI49" i="43" s="1"/>
  <c r="AJ49" i="43" s="1"/>
  <c r="AE70" i="43"/>
  <c r="AF70" i="43" s="1"/>
  <c r="AI70" i="43" s="1"/>
  <c r="H49" i="43"/>
  <c r="I49" i="43" s="1"/>
  <c r="K49" i="43" s="1"/>
  <c r="AE55" i="43"/>
  <c r="AF55" i="43" s="1"/>
  <c r="AI55" i="43" s="1"/>
  <c r="AE51" i="43"/>
  <c r="AF51" i="43" s="1"/>
  <c r="AI51" i="43" s="1"/>
  <c r="AE53" i="43"/>
  <c r="AF53" i="43" s="1"/>
  <c r="AI53" i="43" s="1"/>
  <c r="AE64" i="43"/>
  <c r="AF64" i="43" s="1"/>
  <c r="AI64" i="43" s="1"/>
  <c r="AJ64" i="43" s="1"/>
  <c r="AE75" i="43"/>
  <c r="AF75" i="43" s="1"/>
  <c r="AI75" i="43" s="1"/>
  <c r="AE77" i="43"/>
  <c r="AF77" i="43" s="1"/>
  <c r="AI77" i="43" s="1"/>
  <c r="AE60" i="43"/>
  <c r="AF60" i="43" s="1"/>
  <c r="AI60" i="43" s="1"/>
  <c r="AE62" i="43"/>
  <c r="AF62" i="43" s="1"/>
  <c r="AI62" i="43" s="1"/>
  <c r="AE73" i="43"/>
  <c r="AF73" i="43" s="1"/>
  <c r="AI73" i="43" s="1"/>
  <c r="AE66" i="43"/>
  <c r="AF66" i="43" s="1"/>
  <c r="AI66" i="43" s="1"/>
  <c r="AE43" i="43"/>
  <c r="AF43" i="43" s="1"/>
  <c r="AE47" i="43"/>
  <c r="AF47" i="43" s="1"/>
  <c r="AI47" i="43" s="1"/>
  <c r="AE71" i="43"/>
  <c r="AF71" i="43" s="1"/>
  <c r="AI71" i="43" s="1"/>
  <c r="AE54" i="43"/>
  <c r="AF54" i="43" s="1"/>
  <c r="AI54" i="43" s="1"/>
  <c r="AE78" i="43"/>
  <c r="AF78" i="43" s="1"/>
  <c r="AI78" i="43" s="1"/>
  <c r="AJ76" i="43" s="1"/>
  <c r="AE63" i="43"/>
  <c r="AF63" i="43" s="1"/>
  <c r="AI63" i="43" s="1"/>
  <c r="K42" i="43"/>
  <c r="H47" i="43"/>
  <c r="I47" i="43" s="1"/>
  <c r="K47" i="43" s="1"/>
  <c r="H59" i="43"/>
  <c r="I59" i="43" s="1"/>
  <c r="K59" i="43" s="1"/>
  <c r="H57" i="43"/>
  <c r="I57" i="43" s="1"/>
  <c r="K57" i="43" s="1"/>
  <c r="H62" i="43"/>
  <c r="I62" i="43" s="1"/>
  <c r="K62" i="43" s="1"/>
  <c r="H48" i="43"/>
  <c r="I48" i="43" s="1"/>
  <c r="K48" i="43" s="1"/>
  <c r="H72" i="43"/>
  <c r="I72" i="43" s="1"/>
  <c r="K72" i="43" s="1"/>
  <c r="H69" i="43"/>
  <c r="I69" i="43" s="1"/>
  <c r="K69" i="43" s="1"/>
  <c r="H46" i="43"/>
  <c r="I46" i="43" s="1"/>
  <c r="K46" i="43" s="1"/>
  <c r="H70" i="43"/>
  <c r="I70" i="43" s="1"/>
  <c r="K70" i="43" s="1"/>
  <c r="AJ52" i="43" l="1"/>
  <c r="J44" i="43"/>
  <c r="AJ46" i="43"/>
  <c r="AJ55" i="43"/>
  <c r="AJ58" i="43"/>
  <c r="AJ61" i="43"/>
  <c r="AJ70" i="43"/>
  <c r="AI43" i="43"/>
  <c r="AJ43" i="43" s="1"/>
  <c r="AG43" i="43"/>
  <c r="AJ73" i="43"/>
  <c r="AD36" i="43" l="1"/>
  <c r="AE36" i="43" s="1"/>
  <c r="AF36" i="43" s="1"/>
  <c r="AI36" i="43" s="1"/>
  <c r="AD33" i="43"/>
  <c r="AE35" i="43" s="1"/>
  <c r="AF35" i="43" s="1"/>
  <c r="AI35" i="43" s="1"/>
  <c r="AD30" i="43"/>
  <c r="AE32" i="43" s="1"/>
  <c r="AF32" i="43" s="1"/>
  <c r="AI32" i="43" s="1"/>
  <c r="AD27" i="43"/>
  <c r="AE29" i="43" s="1"/>
  <c r="AF29" i="43" s="1"/>
  <c r="AI29" i="43" s="1"/>
  <c r="AE24" i="43"/>
  <c r="AF24" i="43" s="1"/>
  <c r="AI24" i="43" s="1"/>
  <c r="AD24" i="43"/>
  <c r="AE26" i="43" s="1"/>
  <c r="AF26" i="43" s="1"/>
  <c r="AI26" i="43" s="1"/>
  <c r="AD21" i="43"/>
  <c r="AE21" i="43" s="1"/>
  <c r="AF21" i="43" s="1"/>
  <c r="AI21" i="43" s="1"/>
  <c r="AD18" i="43"/>
  <c r="AE20" i="43" s="1"/>
  <c r="AF20" i="43" s="1"/>
  <c r="AI20" i="43" s="1"/>
  <c r="AD15" i="43"/>
  <c r="AE16" i="43" s="1"/>
  <c r="AF16" i="43" s="1"/>
  <c r="AI16" i="43" s="1"/>
  <c r="AD12" i="43"/>
  <c r="AE14" i="43" s="1"/>
  <c r="AF14" i="43" s="1"/>
  <c r="AI14" i="43" s="1"/>
  <c r="AD9" i="43"/>
  <c r="AE11" i="43" s="1"/>
  <c r="AF11" i="43" s="1"/>
  <c r="AI11" i="43" s="1"/>
  <c r="AD6" i="43"/>
  <c r="AE8" i="43" s="1"/>
  <c r="AF8" i="43" s="1"/>
  <c r="AI8" i="43" s="1"/>
  <c r="AD3" i="43"/>
  <c r="AE5" i="43" s="1"/>
  <c r="AF5" i="43" s="1"/>
  <c r="AI5" i="43" s="1"/>
  <c r="E36" i="43"/>
  <c r="F36" i="43" s="1"/>
  <c r="G36" i="43" s="1"/>
  <c r="J36" i="43" s="1"/>
  <c r="E33" i="43"/>
  <c r="F33" i="43" s="1"/>
  <c r="G33" i="43" s="1"/>
  <c r="J33" i="43" s="1"/>
  <c r="E30" i="43"/>
  <c r="F32" i="43" s="1"/>
  <c r="G32" i="43" s="1"/>
  <c r="J32" i="43" s="1"/>
  <c r="E27" i="43"/>
  <c r="F29" i="43" s="1"/>
  <c r="G29" i="43" s="1"/>
  <c r="J29" i="43" s="1"/>
  <c r="E24" i="43"/>
  <c r="F25" i="43" s="1"/>
  <c r="G25" i="43" s="1"/>
  <c r="J25" i="43" s="1"/>
  <c r="E21" i="43"/>
  <c r="F23" i="43" s="1"/>
  <c r="G23" i="43" s="1"/>
  <c r="J23" i="43" s="1"/>
  <c r="E18" i="43"/>
  <c r="F18" i="43" s="1"/>
  <c r="G18" i="43" s="1"/>
  <c r="J18" i="43" s="1"/>
  <c r="E15" i="43"/>
  <c r="F16" i="43" s="1"/>
  <c r="G16" i="43" s="1"/>
  <c r="J16" i="43" s="1"/>
  <c r="E12" i="43"/>
  <c r="F12" i="43" s="1"/>
  <c r="G12" i="43" s="1"/>
  <c r="J12" i="43" s="1"/>
  <c r="E9" i="43"/>
  <c r="F9" i="43" s="1"/>
  <c r="G9" i="43" s="1"/>
  <c r="J9" i="43" s="1"/>
  <c r="E6" i="43"/>
  <c r="F8" i="43" s="1"/>
  <c r="G8" i="43" s="1"/>
  <c r="J8" i="43" s="1"/>
  <c r="E3" i="43"/>
  <c r="F5" i="43" s="1"/>
  <c r="G5" i="43" s="1"/>
  <c r="J5" i="43" s="1"/>
  <c r="AE9" i="43" l="1"/>
  <c r="AF9" i="43" s="1"/>
  <c r="AI9" i="43" s="1"/>
  <c r="F4" i="43"/>
  <c r="G4" i="43" s="1"/>
  <c r="J4" i="43" s="1"/>
  <c r="AE10" i="43"/>
  <c r="AF10" i="43" s="1"/>
  <c r="AI10" i="43" s="1"/>
  <c r="AE28" i="43"/>
  <c r="AF28" i="43" s="1"/>
  <c r="AI28" i="43" s="1"/>
  <c r="F10" i="43"/>
  <c r="G10" i="43" s="1"/>
  <c r="J10" i="43" s="1"/>
  <c r="F21" i="43"/>
  <c r="G21" i="43" s="1"/>
  <c r="J21" i="43" s="1"/>
  <c r="AE12" i="43"/>
  <c r="AF12" i="43" s="1"/>
  <c r="AI12" i="43" s="1"/>
  <c r="AE25" i="43"/>
  <c r="AF25" i="43" s="1"/>
  <c r="AI25" i="43" s="1"/>
  <c r="AJ24" i="43" s="1"/>
  <c r="AE33" i="43"/>
  <c r="AF33" i="43" s="1"/>
  <c r="AI33" i="43" s="1"/>
  <c r="F34" i="43"/>
  <c r="G34" i="43" s="1"/>
  <c r="J34" i="43" s="1"/>
  <c r="AE30" i="43"/>
  <c r="AF30" i="43" s="1"/>
  <c r="AI30" i="43" s="1"/>
  <c r="AE34" i="43"/>
  <c r="AF34" i="43" s="1"/>
  <c r="AI34" i="43" s="1"/>
  <c r="F19" i="43"/>
  <c r="G19" i="43" s="1"/>
  <c r="J19" i="43" s="1"/>
  <c r="K18" i="43" s="1"/>
  <c r="F27" i="43"/>
  <c r="G27" i="43" s="1"/>
  <c r="J27" i="43" s="1"/>
  <c r="AE6" i="43"/>
  <c r="AF6" i="43" s="1"/>
  <c r="AI6" i="43" s="1"/>
  <c r="AE27" i="43"/>
  <c r="AF27" i="43" s="1"/>
  <c r="AI27" i="43" s="1"/>
  <c r="AJ27" i="43" s="1"/>
  <c r="F3" i="43"/>
  <c r="G3" i="43" s="1"/>
  <c r="J3" i="43" s="1"/>
  <c r="K3" i="43" s="1"/>
  <c r="F28" i="43"/>
  <c r="G28" i="43" s="1"/>
  <c r="J28" i="43" s="1"/>
  <c r="AE19" i="43"/>
  <c r="AF19" i="43" s="1"/>
  <c r="AI19" i="43" s="1"/>
  <c r="AJ9" i="43"/>
  <c r="AE4" i="43"/>
  <c r="AF4" i="43" s="1"/>
  <c r="AI4" i="43" s="1"/>
  <c r="AE15" i="43"/>
  <c r="AF15" i="43" s="1"/>
  <c r="AI15" i="43" s="1"/>
  <c r="AE13" i="43"/>
  <c r="AF13" i="43" s="1"/>
  <c r="AI13" i="43" s="1"/>
  <c r="AJ12" i="43" s="1"/>
  <c r="AE37" i="43"/>
  <c r="AF37" i="43" s="1"/>
  <c r="AI37" i="43" s="1"/>
  <c r="AE22" i="43"/>
  <c r="AF22" i="43" s="1"/>
  <c r="AI22" i="43" s="1"/>
  <c r="AE3" i="43"/>
  <c r="AF3" i="43" s="1"/>
  <c r="AE7" i="43"/>
  <c r="AF7" i="43" s="1"/>
  <c r="AI7" i="43" s="1"/>
  <c r="AE18" i="43"/>
  <c r="AF18" i="43" s="1"/>
  <c r="AI18" i="43" s="1"/>
  <c r="AJ18" i="43" s="1"/>
  <c r="AE31" i="43"/>
  <c r="AF31" i="43" s="1"/>
  <c r="AI31" i="43" s="1"/>
  <c r="AE17" i="43"/>
  <c r="AF17" i="43" s="1"/>
  <c r="AI17" i="43" s="1"/>
  <c r="AE38" i="43"/>
  <c r="AF38" i="43" s="1"/>
  <c r="AI38" i="43" s="1"/>
  <c r="AE23" i="43"/>
  <c r="AF23" i="43" s="1"/>
  <c r="AI23" i="43" s="1"/>
  <c r="F6" i="43"/>
  <c r="G6" i="43" s="1"/>
  <c r="J6" i="43" s="1"/>
  <c r="F17" i="43"/>
  <c r="G17" i="43" s="1"/>
  <c r="J17" i="43" s="1"/>
  <c r="F11" i="43"/>
  <c r="G11" i="43" s="1"/>
  <c r="J11" i="43" s="1"/>
  <c r="F13" i="43"/>
  <c r="G13" i="43" s="1"/>
  <c r="J13" i="43" s="1"/>
  <c r="F24" i="43"/>
  <c r="G24" i="43" s="1"/>
  <c r="J24" i="43" s="1"/>
  <c r="F35" i="43"/>
  <c r="G35" i="43" s="1"/>
  <c r="J35" i="43" s="1"/>
  <c r="K33" i="43" s="1"/>
  <c r="F37" i="43"/>
  <c r="G37" i="43" s="1"/>
  <c r="J37" i="43" s="1"/>
  <c r="F30" i="43"/>
  <c r="G30" i="43" s="1"/>
  <c r="J30" i="43" s="1"/>
  <c r="F26" i="43"/>
  <c r="G26" i="43" s="1"/>
  <c r="J26" i="43" s="1"/>
  <c r="F20" i="43"/>
  <c r="G20" i="43" s="1"/>
  <c r="J20" i="43" s="1"/>
  <c r="F22" i="43"/>
  <c r="G22" i="43" s="1"/>
  <c r="J22" i="43" s="1"/>
  <c r="F15" i="43"/>
  <c r="G15" i="43" s="1"/>
  <c r="J15" i="43" s="1"/>
  <c r="K15" i="43" s="1"/>
  <c r="F7" i="43"/>
  <c r="G7" i="43" s="1"/>
  <c r="J7" i="43" s="1"/>
  <c r="F31" i="43"/>
  <c r="G31" i="43" s="1"/>
  <c r="J31" i="43" s="1"/>
  <c r="F38" i="43"/>
  <c r="G38" i="43" s="1"/>
  <c r="J38" i="43" s="1"/>
  <c r="F14" i="43"/>
  <c r="G14" i="43" s="1"/>
  <c r="J14" i="43" s="1"/>
  <c r="K21" i="43" l="1"/>
  <c r="K27" i="43"/>
  <c r="AJ33" i="43"/>
  <c r="K12" i="43"/>
  <c r="K36" i="43"/>
  <c r="K9" i="43"/>
  <c r="H3" i="43"/>
  <c r="AJ30" i="43"/>
  <c r="AJ21" i="43"/>
  <c r="AJ36" i="43"/>
  <c r="K24" i="43"/>
  <c r="AJ6" i="43"/>
  <c r="AI3" i="43"/>
  <c r="AJ3" i="43" s="1"/>
  <c r="AG3" i="43"/>
  <c r="AJ15" i="43"/>
  <c r="K6" i="43"/>
  <c r="K30" i="43"/>
  <c r="F18" i="42" l="1"/>
  <c r="F15" i="42"/>
  <c r="J13" i="42" s="1"/>
  <c r="K13" i="42" s="1"/>
  <c r="J14" i="42"/>
  <c r="K14" i="42" s="1"/>
  <c r="F12" i="42"/>
  <c r="J10" i="42" s="1"/>
  <c r="K10" i="42" s="1"/>
  <c r="F9" i="42"/>
  <c r="J7" i="42" s="1"/>
  <c r="K7" i="42" s="1"/>
  <c r="J8" i="42"/>
  <c r="K8" i="42" s="1"/>
  <c r="F6" i="42"/>
  <c r="J4" i="42" s="1"/>
  <c r="K4" i="42" s="1"/>
  <c r="J5" i="42" l="1"/>
  <c r="K5" i="42" s="1"/>
  <c r="J11" i="42"/>
  <c r="K11" i="42" s="1"/>
  <c r="J17" i="42"/>
  <c r="K17" i="42" s="1"/>
  <c r="M17" i="42" s="1"/>
  <c r="L9" i="42"/>
  <c r="M13" i="42"/>
  <c r="L15" i="42"/>
  <c r="L6" i="42"/>
  <c r="M5" i="42" s="1"/>
  <c r="M4" i="42"/>
  <c r="J16" i="42"/>
  <c r="K16" i="42" s="1"/>
  <c r="M8" i="42" l="1"/>
  <c r="M11" i="42"/>
  <c r="M10" i="42"/>
  <c r="M14" i="42"/>
  <c r="M7" i="42"/>
  <c r="M16" i="42"/>
  <c r="K23" i="41" l="1"/>
  <c r="J23" i="41"/>
  <c r="I23" i="41"/>
  <c r="H23" i="41"/>
  <c r="G23" i="41"/>
  <c r="F23" i="41"/>
  <c r="E23" i="41"/>
  <c r="D23" i="41"/>
  <c r="C23" i="41"/>
  <c r="C18" i="41"/>
  <c r="E148" i="40"/>
  <c r="I146" i="40" s="1"/>
  <c r="J146" i="40" s="1"/>
  <c r="I147" i="40"/>
  <c r="J147" i="40" s="1"/>
  <c r="E145" i="40"/>
  <c r="I145" i="40" s="1"/>
  <c r="J145" i="40" s="1"/>
  <c r="E142" i="40"/>
  <c r="I141" i="40" s="1"/>
  <c r="J141" i="40" s="1"/>
  <c r="E139" i="40"/>
  <c r="I138" i="40" s="1"/>
  <c r="J138" i="40" s="1"/>
  <c r="E136" i="40"/>
  <c r="I135" i="40" s="1"/>
  <c r="J135" i="40" s="1"/>
  <c r="I133" i="40"/>
  <c r="J133" i="40" s="1"/>
  <c r="E133" i="40"/>
  <c r="J132" i="40"/>
  <c r="I132" i="40"/>
  <c r="I131" i="40"/>
  <c r="J131" i="40" s="1"/>
  <c r="E130" i="40"/>
  <c r="I130" i="40" s="1"/>
  <c r="J130" i="40" s="1"/>
  <c r="I127" i="40"/>
  <c r="J127" i="40" s="1"/>
  <c r="E127" i="40"/>
  <c r="I126" i="40"/>
  <c r="J126" i="40" s="1"/>
  <c r="I125" i="40"/>
  <c r="J125" i="40" s="1"/>
  <c r="E124" i="40"/>
  <c r="I124" i="40" s="1"/>
  <c r="J124" i="40" s="1"/>
  <c r="I123" i="40"/>
  <c r="J123" i="40" s="1"/>
  <c r="E121" i="40"/>
  <c r="I119" i="40" s="1"/>
  <c r="J119" i="40" s="1"/>
  <c r="I118" i="40"/>
  <c r="J118" i="40" s="1"/>
  <c r="E118" i="40"/>
  <c r="I117" i="40"/>
  <c r="J117" i="40" s="1"/>
  <c r="I116" i="40"/>
  <c r="J116" i="40" s="1"/>
  <c r="E115" i="40"/>
  <c r="I114" i="40" s="1"/>
  <c r="J114" i="40" s="1"/>
  <c r="E112" i="40"/>
  <c r="I111" i="40" s="1"/>
  <c r="J111" i="40" s="1"/>
  <c r="E109" i="40"/>
  <c r="I108" i="40" s="1"/>
  <c r="J108" i="40" s="1"/>
  <c r="E106" i="40"/>
  <c r="I106" i="40" s="1"/>
  <c r="J106" i="40" s="1"/>
  <c r="E103" i="40"/>
  <c r="I103" i="40" s="1"/>
  <c r="J103" i="40" s="1"/>
  <c r="E100" i="40"/>
  <c r="I99" i="40" s="1"/>
  <c r="J99" i="40" s="1"/>
  <c r="I98" i="40"/>
  <c r="J98" i="40" s="1"/>
  <c r="I97" i="40"/>
  <c r="J97" i="40" s="1"/>
  <c r="E97" i="40"/>
  <c r="I96" i="40" s="1"/>
  <c r="J96" i="40" s="1"/>
  <c r="I95" i="40"/>
  <c r="J95" i="40" s="1"/>
  <c r="E94" i="40"/>
  <c r="I94" i="40" s="1"/>
  <c r="J94" i="40" s="1"/>
  <c r="E91" i="40"/>
  <c r="I91" i="40" s="1"/>
  <c r="J91" i="40" s="1"/>
  <c r="I90" i="40"/>
  <c r="E88" i="40"/>
  <c r="I87" i="40" s="1"/>
  <c r="J87" i="40" s="1"/>
  <c r="E85" i="40"/>
  <c r="I84" i="40" s="1"/>
  <c r="J84" i="40" s="1"/>
  <c r="I82" i="40"/>
  <c r="J82" i="40" s="1"/>
  <c r="E82" i="40"/>
  <c r="J81" i="40"/>
  <c r="I81" i="40"/>
  <c r="I80" i="40"/>
  <c r="J80" i="40" s="1"/>
  <c r="K82" i="40" s="1"/>
  <c r="M82" i="40" s="1"/>
  <c r="E79" i="40"/>
  <c r="I79" i="40" s="1"/>
  <c r="J79" i="40" s="1"/>
  <c r="E73" i="40"/>
  <c r="I73" i="40" s="1"/>
  <c r="J73" i="40" s="1"/>
  <c r="E70" i="40"/>
  <c r="I70" i="40" s="1"/>
  <c r="J70" i="40" s="1"/>
  <c r="I68" i="40"/>
  <c r="J68" i="40" s="1"/>
  <c r="E67" i="40"/>
  <c r="I66" i="40" s="1"/>
  <c r="J66" i="40" s="1"/>
  <c r="E64" i="40"/>
  <c r="I63" i="40" s="1"/>
  <c r="J63" i="40" s="1"/>
  <c r="E61" i="40"/>
  <c r="I60" i="40" s="1"/>
  <c r="J60" i="40" s="1"/>
  <c r="E58" i="40"/>
  <c r="I58" i="40" s="1"/>
  <c r="J58" i="40" s="1"/>
  <c r="I55" i="40"/>
  <c r="J55" i="40" s="1"/>
  <c r="E55" i="40"/>
  <c r="I54" i="40" s="1"/>
  <c r="J54" i="40" s="1"/>
  <c r="I53" i="40"/>
  <c r="J53" i="40" s="1"/>
  <c r="K55" i="40" s="1"/>
  <c r="M55" i="40" s="1"/>
  <c r="I52" i="40"/>
  <c r="J52" i="40" s="1"/>
  <c r="E52" i="40"/>
  <c r="I51" i="40"/>
  <c r="J51" i="40" s="1"/>
  <c r="I50" i="40"/>
  <c r="J50" i="40" s="1"/>
  <c r="E49" i="40"/>
  <c r="I49" i="40" s="1"/>
  <c r="J49" i="40" s="1"/>
  <c r="E46" i="40"/>
  <c r="I46" i="40" s="1"/>
  <c r="J46" i="40" s="1"/>
  <c r="I44" i="40"/>
  <c r="J44" i="40" s="1"/>
  <c r="E43" i="40"/>
  <c r="I42" i="40" s="1"/>
  <c r="J42" i="40" s="1"/>
  <c r="E40" i="40"/>
  <c r="I39" i="40" s="1"/>
  <c r="J39" i="40" s="1"/>
  <c r="E37" i="40"/>
  <c r="I36" i="40" s="1"/>
  <c r="J36" i="40" s="1"/>
  <c r="E34" i="40"/>
  <c r="I34" i="40" s="1"/>
  <c r="J34" i="40" s="1"/>
  <c r="I31" i="40"/>
  <c r="J31" i="40" s="1"/>
  <c r="E31" i="40"/>
  <c r="I30" i="40" s="1"/>
  <c r="J30" i="40" s="1"/>
  <c r="I29" i="40"/>
  <c r="J29" i="40" s="1"/>
  <c r="K31" i="40" s="1"/>
  <c r="M31" i="40" s="1"/>
  <c r="I28" i="40"/>
  <c r="J28" i="40" s="1"/>
  <c r="E28" i="40"/>
  <c r="I27" i="40"/>
  <c r="J27" i="40" s="1"/>
  <c r="I26" i="40"/>
  <c r="J26" i="40" s="1"/>
  <c r="E25" i="40"/>
  <c r="I25" i="40" s="1"/>
  <c r="J25" i="40" s="1"/>
  <c r="E22" i="40"/>
  <c r="I22" i="40" s="1"/>
  <c r="J22" i="40" s="1"/>
  <c r="I20" i="40"/>
  <c r="J20" i="40" s="1"/>
  <c r="E19" i="40"/>
  <c r="I18" i="40" s="1"/>
  <c r="J18" i="40" s="1"/>
  <c r="I16" i="40"/>
  <c r="J16" i="40" s="1"/>
  <c r="E16" i="40"/>
  <c r="I15" i="40" s="1"/>
  <c r="J15" i="40" s="1"/>
  <c r="E13" i="40"/>
  <c r="I13" i="40" s="1"/>
  <c r="J13" i="40" s="1"/>
  <c r="E10" i="40"/>
  <c r="I9" i="40" s="1"/>
  <c r="I7" i="40"/>
  <c r="J7" i="40" s="1"/>
  <c r="E7" i="40"/>
  <c r="I6" i="40" s="1"/>
  <c r="J6" i="40" s="1"/>
  <c r="I5" i="40"/>
  <c r="J5" i="40" s="1"/>
  <c r="I4" i="40"/>
  <c r="J4" i="40" s="1"/>
  <c r="E4" i="40"/>
  <c r="I2" i="40" s="1"/>
  <c r="J2" i="40" s="1"/>
  <c r="K4" i="40" s="1"/>
  <c r="I3" i="40"/>
  <c r="J3" i="40" s="1"/>
  <c r="K100" i="40" l="1"/>
  <c r="M100" i="40" s="1"/>
  <c r="I92" i="40"/>
  <c r="J92" i="40" s="1"/>
  <c r="K97" i="40"/>
  <c r="M97" i="40" s="1"/>
  <c r="I105" i="40"/>
  <c r="J105" i="40" s="1"/>
  <c r="K133" i="40"/>
  <c r="M133" i="40" s="1"/>
  <c r="I143" i="40"/>
  <c r="J143" i="40" s="1"/>
  <c r="K145" i="40" s="1"/>
  <c r="M145" i="40" s="1"/>
  <c r="I10" i="40"/>
  <c r="J10" i="40" s="1"/>
  <c r="I23" i="40"/>
  <c r="J23" i="40" s="1"/>
  <c r="K25" i="40" s="1"/>
  <c r="M25" i="40" s="1"/>
  <c r="K28" i="40"/>
  <c r="M28" i="40" s="1"/>
  <c r="I47" i="40"/>
  <c r="J47" i="40" s="1"/>
  <c r="I71" i="40"/>
  <c r="J71" i="40" s="1"/>
  <c r="I89" i="40"/>
  <c r="J89" i="40" s="1"/>
  <c r="K91" i="40" s="1"/>
  <c r="M91" i="40" s="1"/>
  <c r="I93" i="40"/>
  <c r="J93" i="40" s="1"/>
  <c r="I100" i="40"/>
  <c r="J100" i="40" s="1"/>
  <c r="I122" i="40"/>
  <c r="J122" i="40" s="1"/>
  <c r="K124" i="40" s="1"/>
  <c r="M124" i="40" s="1"/>
  <c r="I144" i="40"/>
  <c r="J144" i="40" s="1"/>
  <c r="I8" i="40"/>
  <c r="J8" i="40" s="1"/>
  <c r="K10" i="40" s="1"/>
  <c r="M10" i="40" s="1"/>
  <c r="I21" i="40"/>
  <c r="J21" i="40" s="1"/>
  <c r="K22" i="40" s="1"/>
  <c r="M22" i="40" s="1"/>
  <c r="I24" i="40"/>
  <c r="J24" i="40" s="1"/>
  <c r="I37" i="40"/>
  <c r="J37" i="40" s="1"/>
  <c r="I45" i="40"/>
  <c r="J45" i="40" s="1"/>
  <c r="K46" i="40" s="1"/>
  <c r="M46" i="40" s="1"/>
  <c r="I48" i="40"/>
  <c r="J48" i="40" s="1"/>
  <c r="I61" i="40"/>
  <c r="J61" i="40" s="1"/>
  <c r="I69" i="40"/>
  <c r="J69" i="40" s="1"/>
  <c r="K70" i="40" s="1"/>
  <c r="M70" i="40" s="1"/>
  <c r="I72" i="40"/>
  <c r="J72" i="40" s="1"/>
  <c r="I104" i="40"/>
  <c r="J104" i="40" s="1"/>
  <c r="K106" i="40" s="1"/>
  <c r="M106" i="40" s="1"/>
  <c r="K118" i="40"/>
  <c r="M118" i="40" s="1"/>
  <c r="I120" i="40"/>
  <c r="J120" i="40" s="1"/>
  <c r="K127" i="40"/>
  <c r="M127" i="40" s="1"/>
  <c r="I109" i="40"/>
  <c r="J109" i="40" s="1"/>
  <c r="I136" i="40"/>
  <c r="I88" i="40"/>
  <c r="J88" i="40" s="1"/>
  <c r="I101" i="40"/>
  <c r="J101" i="40" s="1"/>
  <c r="K103" i="40" s="1"/>
  <c r="M103" i="40" s="1"/>
  <c r="I112" i="40"/>
  <c r="I115" i="40"/>
  <c r="J115" i="40" s="1"/>
  <c r="I128" i="40"/>
  <c r="J128" i="40" s="1"/>
  <c r="I142" i="40"/>
  <c r="J142" i="40" s="1"/>
  <c r="I85" i="40"/>
  <c r="J85" i="40" s="1"/>
  <c r="I139" i="40"/>
  <c r="J139" i="40" s="1"/>
  <c r="I78" i="40"/>
  <c r="J78" i="40" s="1"/>
  <c r="K79" i="40" s="1"/>
  <c r="I83" i="40"/>
  <c r="J83" i="40" s="1"/>
  <c r="K85" i="40" s="1"/>
  <c r="M85" i="40" s="1"/>
  <c r="I102" i="40"/>
  <c r="J102" i="40" s="1"/>
  <c r="I107" i="40"/>
  <c r="J107" i="40" s="1"/>
  <c r="K109" i="40" s="1"/>
  <c r="M109" i="40" s="1"/>
  <c r="I121" i="40"/>
  <c r="J121" i="40" s="1"/>
  <c r="K121" i="40" s="1"/>
  <c r="M121" i="40" s="1"/>
  <c r="I129" i="40"/>
  <c r="J129" i="40" s="1"/>
  <c r="I134" i="40"/>
  <c r="J134" i="40" s="1"/>
  <c r="K136" i="40" s="1"/>
  <c r="M136" i="40" s="1"/>
  <c r="I137" i="40"/>
  <c r="J137" i="40" s="1"/>
  <c r="K139" i="40" s="1"/>
  <c r="M139" i="40" s="1"/>
  <c r="I148" i="40"/>
  <c r="J148" i="40" s="1"/>
  <c r="K148" i="40" s="1"/>
  <c r="M148" i="40" s="1"/>
  <c r="I77" i="40"/>
  <c r="I86" i="40"/>
  <c r="J86" i="40" s="1"/>
  <c r="I110" i="40"/>
  <c r="J110" i="40" s="1"/>
  <c r="K112" i="40" s="1"/>
  <c r="M112" i="40" s="1"/>
  <c r="I113" i="40"/>
  <c r="J113" i="40" s="1"/>
  <c r="K115" i="40" s="1"/>
  <c r="M115" i="40" s="1"/>
  <c r="I140" i="40"/>
  <c r="J140" i="40" s="1"/>
  <c r="K142" i="40" s="1"/>
  <c r="M142" i="40" s="1"/>
  <c r="M4" i="40"/>
  <c r="K52" i="40"/>
  <c r="M52" i="40" s="1"/>
  <c r="K7" i="40"/>
  <c r="M7" i="40" s="1"/>
  <c r="I19" i="40"/>
  <c r="J19" i="40" s="1"/>
  <c r="I11" i="40"/>
  <c r="J11" i="40" s="1"/>
  <c r="I32" i="40"/>
  <c r="J32" i="40" s="1"/>
  <c r="I43" i="40"/>
  <c r="J43" i="40" s="1"/>
  <c r="I56" i="40"/>
  <c r="J56" i="40" s="1"/>
  <c r="I67" i="40"/>
  <c r="J67" i="40" s="1"/>
  <c r="I14" i="40"/>
  <c r="J14" i="40" s="1"/>
  <c r="K16" i="40" s="1"/>
  <c r="M16" i="40" s="1"/>
  <c r="I35" i="40"/>
  <c r="J35" i="40" s="1"/>
  <c r="K37" i="40" s="1"/>
  <c r="M37" i="40" s="1"/>
  <c r="I59" i="40"/>
  <c r="J59" i="40" s="1"/>
  <c r="K61" i="40" s="1"/>
  <c r="M61" i="40" s="1"/>
  <c r="I12" i="40"/>
  <c r="J12" i="40" s="1"/>
  <c r="I17" i="40"/>
  <c r="J17" i="40" s="1"/>
  <c r="K19" i="40" s="1"/>
  <c r="M19" i="40" s="1"/>
  <c r="I33" i="40"/>
  <c r="J33" i="40" s="1"/>
  <c r="I38" i="40"/>
  <c r="J38" i="40" s="1"/>
  <c r="I57" i="40"/>
  <c r="J57" i="40" s="1"/>
  <c r="I62" i="40"/>
  <c r="J62" i="40" s="1"/>
  <c r="K64" i="40" s="1"/>
  <c r="M64" i="40" s="1"/>
  <c r="I40" i="40"/>
  <c r="J40" i="40" s="1"/>
  <c r="I64" i="40"/>
  <c r="J64" i="40" s="1"/>
  <c r="I41" i="40"/>
  <c r="J41" i="40" s="1"/>
  <c r="I65" i="40"/>
  <c r="J65" i="40" s="1"/>
  <c r="K94" i="40" l="1"/>
  <c r="M94" i="40" s="1"/>
  <c r="K73" i="40"/>
  <c r="M73" i="40" s="1"/>
  <c r="K49" i="40"/>
  <c r="M49" i="40" s="1"/>
  <c r="L94" i="40"/>
  <c r="M79" i="40"/>
  <c r="K130" i="40"/>
  <c r="M130" i="40" s="1"/>
  <c r="K88" i="40"/>
  <c r="M88" i="40" s="1"/>
  <c r="K43" i="40"/>
  <c r="M43" i="40" s="1"/>
  <c r="K13" i="40"/>
  <c r="M13" i="40" s="1"/>
  <c r="K34" i="40"/>
  <c r="M34" i="40" s="1"/>
  <c r="K67" i="40"/>
  <c r="M67" i="40" s="1"/>
  <c r="L19" i="40"/>
  <c r="K40" i="40"/>
  <c r="M40" i="40" s="1"/>
  <c r="K58" i="40"/>
  <c r="M58" i="40" s="1"/>
  <c r="E148" i="39" l="1"/>
  <c r="I146" i="39" s="1"/>
  <c r="J146" i="39" s="1"/>
  <c r="E145" i="39"/>
  <c r="I145" i="39" s="1"/>
  <c r="J145" i="39" s="1"/>
  <c r="I144" i="39"/>
  <c r="J144" i="39" s="1"/>
  <c r="E142" i="39"/>
  <c r="I141" i="39" s="1"/>
  <c r="J141" i="39" s="1"/>
  <c r="E139" i="39"/>
  <c r="I138" i="39" s="1"/>
  <c r="J138" i="39" s="1"/>
  <c r="E136" i="39"/>
  <c r="I135" i="39" s="1"/>
  <c r="J135" i="39" s="1"/>
  <c r="I133" i="39"/>
  <c r="J133" i="39" s="1"/>
  <c r="E133" i="39"/>
  <c r="I132" i="39" s="1"/>
  <c r="J132" i="39" s="1"/>
  <c r="I131" i="39"/>
  <c r="J131" i="39" s="1"/>
  <c r="E130" i="39"/>
  <c r="I130" i="39" s="1"/>
  <c r="J130" i="39" s="1"/>
  <c r="E127" i="39"/>
  <c r="I127" i="39" s="1"/>
  <c r="J127" i="39" s="1"/>
  <c r="I126" i="39"/>
  <c r="J126" i="39" s="1"/>
  <c r="E124" i="39"/>
  <c r="I122" i="39" s="1"/>
  <c r="J122" i="39" s="1"/>
  <c r="I123" i="39"/>
  <c r="J123" i="39" s="1"/>
  <c r="E121" i="39"/>
  <c r="I119" i="39" s="1"/>
  <c r="J119" i="39" s="1"/>
  <c r="E118" i="39"/>
  <c r="I117" i="39" s="1"/>
  <c r="J117" i="39" s="1"/>
  <c r="E115" i="39"/>
  <c r="I113" i="39" s="1"/>
  <c r="J113" i="39" s="1"/>
  <c r="I112" i="39"/>
  <c r="J112" i="39" s="1"/>
  <c r="E112" i="39"/>
  <c r="I111" i="39" s="1"/>
  <c r="J111" i="39" s="1"/>
  <c r="I110" i="39"/>
  <c r="J110" i="39" s="1"/>
  <c r="I109" i="39"/>
  <c r="J109" i="39" s="1"/>
  <c r="E109" i="39"/>
  <c r="I108" i="39" s="1"/>
  <c r="J108" i="39" s="1"/>
  <c r="I107" i="39"/>
  <c r="J107" i="39" s="1"/>
  <c r="E106" i="39"/>
  <c r="I106" i="39" s="1"/>
  <c r="J106" i="39" s="1"/>
  <c r="E103" i="39"/>
  <c r="I103" i="39" s="1"/>
  <c r="J103" i="39" s="1"/>
  <c r="I102" i="39"/>
  <c r="J102" i="39" s="1"/>
  <c r="E100" i="39"/>
  <c r="I98" i="39" s="1"/>
  <c r="J98" i="39" s="1"/>
  <c r="I99" i="39"/>
  <c r="J99" i="39" s="1"/>
  <c r="E97" i="39"/>
  <c r="I97" i="39" s="1"/>
  <c r="J97" i="39" s="1"/>
  <c r="E94" i="39"/>
  <c r="I93" i="39" s="1"/>
  <c r="J93" i="39" s="1"/>
  <c r="E91" i="39"/>
  <c r="I90" i="39" s="1"/>
  <c r="J90" i="39" s="1"/>
  <c r="E88" i="39"/>
  <c r="I86" i="39" s="1"/>
  <c r="J86" i="39" s="1"/>
  <c r="E85" i="39"/>
  <c r="I84" i="39" s="1"/>
  <c r="J84" i="39" s="1"/>
  <c r="E82" i="39"/>
  <c r="I80" i="39" s="1"/>
  <c r="J80" i="39" s="1"/>
  <c r="I81" i="39"/>
  <c r="J81" i="39" s="1"/>
  <c r="E79" i="39"/>
  <c r="I78" i="39" s="1"/>
  <c r="J78" i="39" s="1"/>
  <c r="I91" i="39" l="1"/>
  <c r="J91" i="39" s="1"/>
  <c r="K133" i="39"/>
  <c r="M133" i="39" s="1"/>
  <c r="I136" i="39"/>
  <c r="J136" i="39" s="1"/>
  <c r="I104" i="39"/>
  <c r="J104" i="39" s="1"/>
  <c r="I128" i="39"/>
  <c r="J128" i="39" s="1"/>
  <c r="K130" i="39" s="1"/>
  <c r="M130" i="39" s="1"/>
  <c r="I134" i="39"/>
  <c r="J134" i="39" s="1"/>
  <c r="K136" i="39" s="1"/>
  <c r="M136" i="39" s="1"/>
  <c r="I147" i="39"/>
  <c r="J147" i="39" s="1"/>
  <c r="K148" i="39" s="1"/>
  <c r="M148" i="39" s="1"/>
  <c r="I88" i="39"/>
  <c r="J88" i="39" s="1"/>
  <c r="K88" i="39" s="1"/>
  <c r="M88" i="39" s="1"/>
  <c r="K109" i="39"/>
  <c r="M109" i="39" s="1"/>
  <c r="I89" i="39"/>
  <c r="J89" i="39" s="1"/>
  <c r="I96" i="39"/>
  <c r="J96" i="39" s="1"/>
  <c r="I101" i="39"/>
  <c r="J101" i="39" s="1"/>
  <c r="I105" i="39"/>
  <c r="J105" i="39" s="1"/>
  <c r="K106" i="39" s="1"/>
  <c r="M106" i="39" s="1"/>
  <c r="I120" i="39"/>
  <c r="J120" i="39" s="1"/>
  <c r="I125" i="39"/>
  <c r="J125" i="39" s="1"/>
  <c r="K127" i="39" s="1"/>
  <c r="M127" i="39" s="1"/>
  <c r="I129" i="39"/>
  <c r="J129" i="39" s="1"/>
  <c r="K112" i="39"/>
  <c r="M112" i="39" s="1"/>
  <c r="K82" i="39"/>
  <c r="M82" i="39" s="1"/>
  <c r="K91" i="39"/>
  <c r="M91" i="39" s="1"/>
  <c r="K103" i="39"/>
  <c r="M103" i="39" s="1"/>
  <c r="I94" i="39"/>
  <c r="J94" i="39" s="1"/>
  <c r="I79" i="39"/>
  <c r="J79" i="39" s="1"/>
  <c r="I121" i="39"/>
  <c r="J121" i="39" s="1"/>
  <c r="K121" i="39" s="1"/>
  <c r="M121" i="39" s="1"/>
  <c r="I124" i="39"/>
  <c r="J124" i="39" s="1"/>
  <c r="K124" i="39" s="1"/>
  <c r="M124" i="39" s="1"/>
  <c r="I77" i="39"/>
  <c r="J77" i="39" s="1"/>
  <c r="I140" i="39"/>
  <c r="J140" i="39" s="1"/>
  <c r="I115" i="39"/>
  <c r="J115" i="39" s="1"/>
  <c r="I139" i="39"/>
  <c r="J139" i="39" s="1"/>
  <c r="I118" i="39"/>
  <c r="J118" i="39" s="1"/>
  <c r="I142" i="39"/>
  <c r="J142" i="39" s="1"/>
  <c r="I92" i="39"/>
  <c r="J92" i="39" s="1"/>
  <c r="K94" i="39" s="1"/>
  <c r="M94" i="39" s="1"/>
  <c r="I137" i="39"/>
  <c r="J137" i="39" s="1"/>
  <c r="K139" i="39" s="1"/>
  <c r="M139" i="39" s="1"/>
  <c r="I148" i="39"/>
  <c r="J148" i="39" s="1"/>
  <c r="I83" i="39"/>
  <c r="J83" i="39" s="1"/>
  <c r="K85" i="39" s="1"/>
  <c r="M85" i="39" s="1"/>
  <c r="I116" i="39"/>
  <c r="J116" i="39" s="1"/>
  <c r="I95" i="39"/>
  <c r="J95" i="39" s="1"/>
  <c r="I114" i="39"/>
  <c r="J114" i="39" s="1"/>
  <c r="I143" i="39"/>
  <c r="J143" i="39" s="1"/>
  <c r="K145" i="39" s="1"/>
  <c r="M145" i="39" s="1"/>
  <c r="I100" i="39"/>
  <c r="J100" i="39" s="1"/>
  <c r="K100" i="39" s="1"/>
  <c r="M100" i="39" s="1"/>
  <c r="K115" i="39" l="1"/>
  <c r="M115" i="39" s="1"/>
  <c r="K97" i="39"/>
  <c r="M97" i="39" s="1"/>
  <c r="K118" i="39"/>
  <c r="M118" i="39" s="1"/>
  <c r="K142" i="39"/>
  <c r="M142" i="39" s="1"/>
  <c r="K79" i="39"/>
  <c r="L94" i="39" l="1"/>
  <c r="M79" i="39"/>
  <c r="E73" i="39" l="1"/>
  <c r="I71" i="39" s="1"/>
  <c r="J71" i="39" s="1"/>
  <c r="I72" i="39"/>
  <c r="J72" i="39" s="1"/>
  <c r="E70" i="39"/>
  <c r="I70" i="39" s="1"/>
  <c r="J70" i="39" s="1"/>
  <c r="E67" i="39"/>
  <c r="I66" i="39" s="1"/>
  <c r="J66" i="39" s="1"/>
  <c r="E64" i="39"/>
  <c r="I63" i="39" s="1"/>
  <c r="J63" i="39" s="1"/>
  <c r="I61" i="39"/>
  <c r="J61" i="39" s="1"/>
  <c r="E61" i="39"/>
  <c r="I60" i="39" s="1"/>
  <c r="J60" i="39" s="1"/>
  <c r="I59" i="39"/>
  <c r="J59" i="39" s="1"/>
  <c r="E58" i="39"/>
  <c r="I58" i="39" s="1"/>
  <c r="J58" i="39" s="1"/>
  <c r="E55" i="39"/>
  <c r="I55" i="39" s="1"/>
  <c r="J55" i="39" s="1"/>
  <c r="I54" i="39"/>
  <c r="J54" i="39" s="1"/>
  <c r="I53" i="39"/>
  <c r="J53" i="39" s="1"/>
  <c r="E52" i="39"/>
  <c r="I52" i="39" s="1"/>
  <c r="J52" i="39" s="1"/>
  <c r="I51" i="39"/>
  <c r="J51" i="39" s="1"/>
  <c r="I50" i="39"/>
  <c r="J50" i="39" s="1"/>
  <c r="E49" i="39"/>
  <c r="I47" i="39" s="1"/>
  <c r="J47" i="39" s="1"/>
  <c r="E46" i="39"/>
  <c r="I46" i="39" s="1"/>
  <c r="J46" i="39" s="1"/>
  <c r="E43" i="39"/>
  <c r="I42" i="39" s="1"/>
  <c r="J42" i="39" s="1"/>
  <c r="E40" i="39"/>
  <c r="I39" i="39" s="1"/>
  <c r="J39" i="39" s="1"/>
  <c r="I37" i="39"/>
  <c r="J37" i="39" s="1"/>
  <c r="E37" i="39"/>
  <c r="I35" i="39" s="1"/>
  <c r="J35" i="39" s="1"/>
  <c r="E34" i="39"/>
  <c r="I34" i="39" s="1"/>
  <c r="J34" i="39" s="1"/>
  <c r="E31" i="39"/>
  <c r="I31" i="39" s="1"/>
  <c r="J31" i="39" s="1"/>
  <c r="I29" i="39"/>
  <c r="J29" i="39" s="1"/>
  <c r="I28" i="39"/>
  <c r="J28" i="39" s="1"/>
  <c r="E28" i="39"/>
  <c r="I27" i="39" s="1"/>
  <c r="J27" i="39" s="1"/>
  <c r="I26" i="39"/>
  <c r="J26" i="39" s="1"/>
  <c r="E25" i="39"/>
  <c r="I23" i="39" s="1"/>
  <c r="J23" i="39" s="1"/>
  <c r="E22" i="39"/>
  <c r="I22" i="39" s="1"/>
  <c r="J22" i="39" s="1"/>
  <c r="I21" i="39"/>
  <c r="J21" i="39" s="1"/>
  <c r="E19" i="39"/>
  <c r="I18" i="39" s="1"/>
  <c r="J18" i="39" s="1"/>
  <c r="E16" i="39"/>
  <c r="I16" i="39" s="1"/>
  <c r="J16" i="39" s="1"/>
  <c r="I15" i="39"/>
  <c r="J15" i="39" s="1"/>
  <c r="I14" i="39"/>
  <c r="J14" i="39" s="1"/>
  <c r="E13" i="39"/>
  <c r="I13" i="39" s="1"/>
  <c r="J13" i="39" s="1"/>
  <c r="I12" i="39"/>
  <c r="J12" i="39" s="1"/>
  <c r="I11" i="39"/>
  <c r="J11" i="39" s="1"/>
  <c r="E10" i="39"/>
  <c r="I10" i="39" s="1"/>
  <c r="J10" i="39" s="1"/>
  <c r="I8" i="39"/>
  <c r="J8" i="39" s="1"/>
  <c r="I7" i="39"/>
  <c r="J7" i="39" s="1"/>
  <c r="E7" i="39"/>
  <c r="I6" i="39" s="1"/>
  <c r="J6" i="39" s="1"/>
  <c r="I5" i="39"/>
  <c r="J5" i="39" s="1"/>
  <c r="E4" i="39"/>
  <c r="I2" i="39" s="1"/>
  <c r="J2" i="39" s="1"/>
  <c r="I3" i="39" l="1"/>
  <c r="J3" i="39" s="1"/>
  <c r="I24" i="39"/>
  <c r="J24" i="39" s="1"/>
  <c r="I36" i="39"/>
  <c r="J36" i="39" s="1"/>
  <c r="K37" i="39" s="1"/>
  <c r="M37" i="39" s="1"/>
  <c r="I56" i="39"/>
  <c r="J56" i="39" s="1"/>
  <c r="I69" i="39"/>
  <c r="J69" i="39" s="1"/>
  <c r="K16" i="39"/>
  <c r="M16" i="39" s="1"/>
  <c r="I32" i="39"/>
  <c r="J32" i="39" s="1"/>
  <c r="I45" i="39"/>
  <c r="J45" i="39" s="1"/>
  <c r="K55" i="39"/>
  <c r="M55" i="39" s="1"/>
  <c r="I9" i="39"/>
  <c r="J9" i="39" s="1"/>
  <c r="K10" i="39" s="1"/>
  <c r="M10" i="39" s="1"/>
  <c r="I30" i="39"/>
  <c r="J30" i="39" s="1"/>
  <c r="I48" i="39"/>
  <c r="J48" i="39" s="1"/>
  <c r="K49" i="39" s="1"/>
  <c r="M49" i="39" s="1"/>
  <c r="K13" i="39"/>
  <c r="M13" i="39" s="1"/>
  <c r="K28" i="39"/>
  <c r="M28" i="39" s="1"/>
  <c r="K52" i="39"/>
  <c r="M52" i="39" s="1"/>
  <c r="K7" i="39"/>
  <c r="M7" i="39" s="1"/>
  <c r="K31" i="39"/>
  <c r="M31" i="39" s="1"/>
  <c r="K61" i="39"/>
  <c r="M61" i="39" s="1"/>
  <c r="I19" i="39"/>
  <c r="J19" i="39" s="1"/>
  <c r="I40" i="39"/>
  <c r="J40" i="39" s="1"/>
  <c r="I4" i="39"/>
  <c r="J4" i="39" s="1"/>
  <c r="K4" i="39" s="1"/>
  <c r="I17" i="39"/>
  <c r="J17" i="39" s="1"/>
  <c r="K19" i="39" s="1"/>
  <c r="M19" i="39" s="1"/>
  <c r="I25" i="39"/>
  <c r="J25" i="39" s="1"/>
  <c r="K25" i="39" s="1"/>
  <c r="M25" i="39" s="1"/>
  <c r="I33" i="39"/>
  <c r="J33" i="39" s="1"/>
  <c r="K34" i="39" s="1"/>
  <c r="M34" i="39" s="1"/>
  <c r="I38" i="39"/>
  <c r="J38" i="39" s="1"/>
  <c r="I49" i="39"/>
  <c r="J49" i="39" s="1"/>
  <c r="I57" i="39"/>
  <c r="J57" i="39" s="1"/>
  <c r="K58" i="39" s="1"/>
  <c r="M58" i="39" s="1"/>
  <c r="I62" i="39"/>
  <c r="J62" i="39" s="1"/>
  <c r="I73" i="39"/>
  <c r="J73" i="39" s="1"/>
  <c r="K73" i="39" s="1"/>
  <c r="M73" i="39" s="1"/>
  <c r="I41" i="39"/>
  <c r="J41" i="39" s="1"/>
  <c r="K43" i="39" s="1"/>
  <c r="M43" i="39" s="1"/>
  <c r="I65" i="39"/>
  <c r="J65" i="39" s="1"/>
  <c r="I64" i="39"/>
  <c r="J64" i="39" s="1"/>
  <c r="I43" i="39"/>
  <c r="J43" i="39" s="1"/>
  <c r="I20" i="39"/>
  <c r="J20" i="39" s="1"/>
  <c r="K22" i="39" s="1"/>
  <c r="M22" i="39" s="1"/>
  <c r="I44" i="39"/>
  <c r="J44" i="39" s="1"/>
  <c r="K46" i="39" s="1"/>
  <c r="M46" i="39" s="1"/>
  <c r="I68" i="39"/>
  <c r="J68" i="39" s="1"/>
  <c r="K70" i="39" s="1"/>
  <c r="M70" i="39" s="1"/>
  <c r="I67" i="39"/>
  <c r="J67" i="39" s="1"/>
  <c r="K64" i="39" l="1"/>
  <c r="M64" i="39" s="1"/>
  <c r="M4" i="39"/>
  <c r="L19" i="39"/>
  <c r="K40" i="39"/>
  <c r="M40" i="39" s="1"/>
  <c r="K67" i="39"/>
  <c r="M67" i="39" s="1"/>
  <c r="AC7" i="38" l="1"/>
  <c r="AB7" i="38"/>
  <c r="AA7" i="38"/>
  <c r="Z7" i="38"/>
  <c r="Y7" i="38"/>
  <c r="X7" i="38"/>
  <c r="W7" i="38"/>
  <c r="V7" i="38"/>
  <c r="U7" i="38"/>
  <c r="T7" i="38"/>
  <c r="S7" i="38"/>
  <c r="R7" i="38"/>
  <c r="AC6" i="38"/>
  <c r="AB6" i="38"/>
  <c r="AA6" i="38"/>
  <c r="Z6" i="38"/>
  <c r="Y6" i="38"/>
  <c r="X6" i="38"/>
  <c r="W6" i="38"/>
  <c r="V6" i="38"/>
  <c r="U6" i="38"/>
  <c r="T6" i="38"/>
  <c r="S6" i="38"/>
  <c r="R6" i="38"/>
  <c r="Q3" i="38"/>
  <c r="AA15" i="38"/>
  <c r="Z15" i="38"/>
  <c r="Y15" i="38"/>
  <c r="X15" i="38"/>
  <c r="W15" i="38"/>
  <c r="V15" i="38"/>
  <c r="U15" i="38"/>
  <c r="T15" i="38"/>
  <c r="S15" i="38"/>
  <c r="R15" i="38"/>
  <c r="AA14" i="38"/>
  <c r="Z14" i="38"/>
  <c r="Y14" i="38"/>
  <c r="X14" i="38"/>
  <c r="W14" i="38"/>
  <c r="V14" i="38"/>
  <c r="U14" i="38"/>
  <c r="T14" i="38"/>
  <c r="S14" i="38"/>
  <c r="R14" i="38"/>
  <c r="Q11" i="38"/>
  <c r="D14" i="36" l="1"/>
  <c r="I14" i="36"/>
  <c r="N14" i="36"/>
  <c r="I19" i="36"/>
  <c r="D19" i="36"/>
  <c r="N18" i="36"/>
  <c r="I18" i="36"/>
  <c r="D18" i="36"/>
  <c r="I17" i="36"/>
  <c r="D17" i="36"/>
  <c r="N16" i="36"/>
  <c r="I16" i="36"/>
  <c r="D16" i="36"/>
  <c r="N15" i="36"/>
  <c r="I15" i="36"/>
  <c r="D15" i="36"/>
  <c r="E147" i="28" l="1"/>
  <c r="I145" i="28" s="1"/>
  <c r="J145" i="28" s="1"/>
  <c r="L145" i="28" s="1"/>
  <c r="I146" i="28"/>
  <c r="J146" i="28" s="1"/>
  <c r="L146" i="28" s="1"/>
  <c r="E144" i="28"/>
  <c r="I143" i="28" s="1"/>
  <c r="J143" i="28" s="1"/>
  <c r="L143" i="28" s="1"/>
  <c r="E141" i="28"/>
  <c r="I141" i="28" s="1"/>
  <c r="J141" i="28" s="1"/>
  <c r="L141" i="28" s="1"/>
  <c r="E138" i="28"/>
  <c r="I138" i="28" s="1"/>
  <c r="J138" i="28" s="1"/>
  <c r="L138" i="28" s="1"/>
  <c r="I136" i="28"/>
  <c r="J136" i="28" s="1"/>
  <c r="L136" i="28" s="1"/>
  <c r="E135" i="28"/>
  <c r="I133" i="28" s="1"/>
  <c r="J133" i="28" s="1"/>
  <c r="L133" i="28" s="1"/>
  <c r="I134" i="28"/>
  <c r="J134" i="28" s="1"/>
  <c r="L134" i="28" s="1"/>
  <c r="E132" i="28"/>
  <c r="I131" i="28" s="1"/>
  <c r="J131" i="28" s="1"/>
  <c r="L131" i="28" s="1"/>
  <c r="E129" i="28"/>
  <c r="I129" i="28" s="1"/>
  <c r="J129" i="28" s="1"/>
  <c r="L129" i="28" s="1"/>
  <c r="E126" i="28"/>
  <c r="I126" i="28" s="1"/>
  <c r="J126" i="28" s="1"/>
  <c r="L126" i="28" s="1"/>
  <c r="I124" i="28"/>
  <c r="J124" i="28" s="1"/>
  <c r="L124" i="28" s="1"/>
  <c r="E123" i="28"/>
  <c r="I123" i="28" s="1"/>
  <c r="J123" i="28" s="1"/>
  <c r="L123" i="28" s="1"/>
  <c r="I122" i="28"/>
  <c r="J122" i="28" s="1"/>
  <c r="L122" i="28" s="1"/>
  <c r="I121" i="28"/>
  <c r="J121" i="28" s="1"/>
  <c r="L121" i="28" s="1"/>
  <c r="E120" i="28"/>
  <c r="I119" i="28" s="1"/>
  <c r="J119" i="28" s="1"/>
  <c r="L119" i="28" s="1"/>
  <c r="E117" i="28"/>
  <c r="I116" i="28" s="1"/>
  <c r="J116" i="28" s="1"/>
  <c r="L116" i="28" s="1"/>
  <c r="E114" i="28"/>
  <c r="I114" i="28" s="1"/>
  <c r="J114" i="28" s="1"/>
  <c r="L114" i="28" s="1"/>
  <c r="E111" i="28"/>
  <c r="I111" i="28" s="1"/>
  <c r="J111" i="28" s="1"/>
  <c r="L111" i="28" s="1"/>
  <c r="I109" i="28"/>
  <c r="J109" i="28" s="1"/>
  <c r="L109" i="28" s="1"/>
  <c r="E108" i="28"/>
  <c r="I107" i="28" s="1"/>
  <c r="J107" i="28" s="1"/>
  <c r="L107" i="28" s="1"/>
  <c r="E105" i="28"/>
  <c r="I104" i="28" s="1"/>
  <c r="J104" i="28" s="1"/>
  <c r="L104" i="28" s="1"/>
  <c r="E102" i="28"/>
  <c r="I102" i="28" s="1"/>
  <c r="J102" i="28" s="1"/>
  <c r="L102" i="28" s="1"/>
  <c r="I100" i="28"/>
  <c r="J100" i="28" s="1"/>
  <c r="L100" i="28" s="1"/>
  <c r="E99" i="28"/>
  <c r="I99" i="28" s="1"/>
  <c r="J99" i="28" s="1"/>
  <c r="L99" i="28" s="1"/>
  <c r="I98" i="28"/>
  <c r="J98" i="28" s="1"/>
  <c r="L98" i="28" s="1"/>
  <c r="E96" i="28"/>
  <c r="I95" i="28" s="1"/>
  <c r="J95" i="28" s="1"/>
  <c r="L95" i="28" s="1"/>
  <c r="E93" i="28"/>
  <c r="I92" i="28" s="1"/>
  <c r="J92" i="28" s="1"/>
  <c r="L92" i="28" s="1"/>
  <c r="E90" i="28"/>
  <c r="I90" i="28" s="1"/>
  <c r="J90" i="28" s="1"/>
  <c r="L90" i="28" s="1"/>
  <c r="E87" i="28"/>
  <c r="I87" i="28" s="1"/>
  <c r="J87" i="28" s="1"/>
  <c r="L87" i="28" s="1"/>
  <c r="E84" i="28"/>
  <c r="I83" i="28" s="1"/>
  <c r="J83" i="28" s="1"/>
  <c r="L83" i="28" s="1"/>
  <c r="E81" i="28"/>
  <c r="I79" i="28" s="1"/>
  <c r="J79" i="28" s="1"/>
  <c r="L79" i="28" s="1"/>
  <c r="E78" i="28"/>
  <c r="I76" i="28" s="1"/>
  <c r="J76" i="28" s="1"/>
  <c r="E73" i="28"/>
  <c r="I73" i="28" s="1"/>
  <c r="J73" i="28" s="1"/>
  <c r="L73" i="28" s="1"/>
  <c r="E70" i="28"/>
  <c r="I69" i="28" s="1"/>
  <c r="J69" i="28" s="1"/>
  <c r="L69" i="28" s="1"/>
  <c r="E67" i="28"/>
  <c r="I66" i="28" s="1"/>
  <c r="J66" i="28" s="1"/>
  <c r="L66" i="28" s="1"/>
  <c r="E64" i="28"/>
  <c r="I64" i="28" s="1"/>
  <c r="J64" i="28" s="1"/>
  <c r="L64" i="28" s="1"/>
  <c r="I62" i="28"/>
  <c r="J62" i="28" s="1"/>
  <c r="L62" i="28" s="1"/>
  <c r="E61" i="28"/>
  <c r="I61" i="28" s="1"/>
  <c r="J61" i="28" s="1"/>
  <c r="L61" i="28" s="1"/>
  <c r="I60" i="28"/>
  <c r="J60" i="28" s="1"/>
  <c r="L60" i="28" s="1"/>
  <c r="I59" i="28"/>
  <c r="J59" i="28" s="1"/>
  <c r="L59" i="28" s="1"/>
  <c r="E58" i="28"/>
  <c r="I57" i="28" s="1"/>
  <c r="J57" i="28" s="1"/>
  <c r="L57" i="28" s="1"/>
  <c r="E55" i="28"/>
  <c r="I54" i="28" s="1"/>
  <c r="J54" i="28" s="1"/>
  <c r="L54" i="28" s="1"/>
  <c r="E52" i="28"/>
  <c r="I52" i="28" s="1"/>
  <c r="J52" i="28" s="1"/>
  <c r="L52" i="28" s="1"/>
  <c r="E49" i="28"/>
  <c r="I49" i="28" s="1"/>
  <c r="J49" i="28" s="1"/>
  <c r="L49" i="28" s="1"/>
  <c r="I47" i="28"/>
  <c r="J47" i="28" s="1"/>
  <c r="L47" i="28" s="1"/>
  <c r="E46" i="28"/>
  <c r="I45" i="28" s="1"/>
  <c r="J45" i="28" s="1"/>
  <c r="L45" i="28" s="1"/>
  <c r="E43" i="28"/>
  <c r="I43" i="28" s="1"/>
  <c r="J43" i="28" s="1"/>
  <c r="L43" i="28" s="1"/>
  <c r="E40" i="28"/>
  <c r="I40" i="28" s="1"/>
  <c r="J40" i="28" s="1"/>
  <c r="L40" i="28" s="1"/>
  <c r="I38" i="28"/>
  <c r="J38" i="28" s="1"/>
  <c r="L38" i="28" s="1"/>
  <c r="E37" i="28"/>
  <c r="I37" i="28" s="1"/>
  <c r="J37" i="28" s="1"/>
  <c r="L37" i="28" s="1"/>
  <c r="I36" i="28"/>
  <c r="J36" i="28" s="1"/>
  <c r="L36" i="28" s="1"/>
  <c r="I35" i="28"/>
  <c r="J35" i="28" s="1"/>
  <c r="L35" i="28" s="1"/>
  <c r="E34" i="28"/>
  <c r="I33" i="28" s="1"/>
  <c r="J33" i="28" s="1"/>
  <c r="L33" i="28" s="1"/>
  <c r="E31" i="28"/>
  <c r="I30" i="28" s="1"/>
  <c r="J30" i="28" s="1"/>
  <c r="L30" i="28" s="1"/>
  <c r="E28" i="28"/>
  <c r="I28" i="28" s="1"/>
  <c r="J28" i="28" s="1"/>
  <c r="L28" i="28" s="1"/>
  <c r="I26" i="28"/>
  <c r="J26" i="28" s="1"/>
  <c r="L26" i="28" s="1"/>
  <c r="E25" i="28"/>
  <c r="I25" i="28" s="1"/>
  <c r="J25" i="28" s="1"/>
  <c r="L25" i="28" s="1"/>
  <c r="E22" i="28"/>
  <c r="I21" i="28" s="1"/>
  <c r="J21" i="28" s="1"/>
  <c r="L21" i="28" s="1"/>
  <c r="E19" i="28"/>
  <c r="I18" i="28" s="1"/>
  <c r="J18" i="28" s="1"/>
  <c r="L18" i="28" s="1"/>
  <c r="E16" i="28"/>
  <c r="I16" i="28" s="1"/>
  <c r="J16" i="28" s="1"/>
  <c r="L16" i="28" s="1"/>
  <c r="I14" i="28"/>
  <c r="J14" i="28" s="1"/>
  <c r="L14" i="28" s="1"/>
  <c r="E13" i="28"/>
  <c r="I13" i="28" s="1"/>
  <c r="J13" i="28" s="1"/>
  <c r="L13" i="28" s="1"/>
  <c r="I12" i="28"/>
  <c r="J12" i="28" s="1"/>
  <c r="L12" i="28" s="1"/>
  <c r="E10" i="28"/>
  <c r="I9" i="28" s="1"/>
  <c r="J9" i="28" s="1"/>
  <c r="L9" i="28" s="1"/>
  <c r="E7" i="28"/>
  <c r="I6" i="28" s="1"/>
  <c r="J6" i="28" s="1"/>
  <c r="L6" i="28" s="1"/>
  <c r="I4" i="28"/>
  <c r="J4" i="28" s="1"/>
  <c r="L4" i="28" s="1"/>
  <c r="E4" i="28"/>
  <c r="I2" i="28" s="1"/>
  <c r="J2" i="28" s="1"/>
  <c r="I3" i="28"/>
  <c r="J3" i="28" s="1"/>
  <c r="L3" i="28" s="1"/>
  <c r="I71" i="28" l="1"/>
  <c r="J71" i="28" s="1"/>
  <c r="L71" i="28" s="1"/>
  <c r="I85" i="28"/>
  <c r="J85" i="28" s="1"/>
  <c r="L85" i="28" s="1"/>
  <c r="I23" i="28"/>
  <c r="J23" i="28" s="1"/>
  <c r="L23" i="28" s="1"/>
  <c r="I11" i="28"/>
  <c r="J11" i="28" s="1"/>
  <c r="L11" i="28" s="1"/>
  <c r="I24" i="28"/>
  <c r="J24" i="28" s="1"/>
  <c r="L24" i="28" s="1"/>
  <c r="I50" i="28"/>
  <c r="J50" i="28" s="1"/>
  <c r="L50" i="28" s="1"/>
  <c r="I72" i="28"/>
  <c r="J72" i="28" s="1"/>
  <c r="L72" i="28" s="1"/>
  <c r="I78" i="28"/>
  <c r="J78" i="28" s="1"/>
  <c r="L78" i="28" s="1"/>
  <c r="I86" i="28"/>
  <c r="J86" i="28" s="1"/>
  <c r="L86" i="28" s="1"/>
  <c r="I112" i="28"/>
  <c r="J112" i="28" s="1"/>
  <c r="L112" i="28" s="1"/>
  <c r="I48" i="28"/>
  <c r="J48" i="28" s="1"/>
  <c r="L48" i="28" s="1"/>
  <c r="I77" i="28"/>
  <c r="J77" i="28" s="1"/>
  <c r="L77" i="28" s="1"/>
  <c r="I88" i="28"/>
  <c r="J88" i="28" s="1"/>
  <c r="L88" i="28" s="1"/>
  <c r="I97" i="28"/>
  <c r="J97" i="28" s="1"/>
  <c r="L97" i="28" s="1"/>
  <c r="I110" i="28"/>
  <c r="J110" i="28" s="1"/>
  <c r="L110" i="28" s="1"/>
  <c r="K78" i="28"/>
  <c r="L76" i="28"/>
  <c r="I91" i="28"/>
  <c r="J91" i="28" s="1"/>
  <c r="L91" i="28" s="1"/>
  <c r="I103" i="28"/>
  <c r="J103" i="28" s="1"/>
  <c r="L103" i="28" s="1"/>
  <c r="I115" i="28"/>
  <c r="J115" i="28" s="1"/>
  <c r="L115" i="28" s="1"/>
  <c r="I127" i="28"/>
  <c r="J127" i="28" s="1"/>
  <c r="L127" i="28" s="1"/>
  <c r="I139" i="28"/>
  <c r="J139" i="28" s="1"/>
  <c r="L139" i="28" s="1"/>
  <c r="I84" i="28"/>
  <c r="J84" i="28" s="1"/>
  <c r="L84" i="28" s="1"/>
  <c r="I89" i="28"/>
  <c r="J89" i="28" s="1"/>
  <c r="L89" i="28" s="1"/>
  <c r="I96" i="28"/>
  <c r="J96" i="28" s="1"/>
  <c r="L96" i="28" s="1"/>
  <c r="I101" i="28"/>
  <c r="J101" i="28" s="1"/>
  <c r="L101" i="28" s="1"/>
  <c r="I108" i="28"/>
  <c r="J108" i="28" s="1"/>
  <c r="L108" i="28" s="1"/>
  <c r="I113" i="28"/>
  <c r="J113" i="28" s="1"/>
  <c r="L113" i="28" s="1"/>
  <c r="I120" i="28"/>
  <c r="J120" i="28" s="1"/>
  <c r="L120" i="28" s="1"/>
  <c r="I125" i="28"/>
  <c r="J125" i="28" s="1"/>
  <c r="L125" i="28" s="1"/>
  <c r="I132" i="28"/>
  <c r="J132" i="28" s="1"/>
  <c r="L132" i="28" s="1"/>
  <c r="I137" i="28"/>
  <c r="J137" i="28" s="1"/>
  <c r="L137" i="28" s="1"/>
  <c r="I144" i="28"/>
  <c r="J144" i="28" s="1"/>
  <c r="L144" i="28" s="1"/>
  <c r="I93" i="28"/>
  <c r="J93" i="28" s="1"/>
  <c r="L93" i="28" s="1"/>
  <c r="I105" i="28"/>
  <c r="J105" i="28" s="1"/>
  <c r="L105" i="28" s="1"/>
  <c r="I117" i="28"/>
  <c r="J117" i="28" s="1"/>
  <c r="L117" i="28" s="1"/>
  <c r="I82" i="28"/>
  <c r="J82" i="28" s="1"/>
  <c r="L82" i="28" s="1"/>
  <c r="I106" i="28"/>
  <c r="J106" i="28" s="1"/>
  <c r="L106" i="28" s="1"/>
  <c r="I130" i="28"/>
  <c r="J130" i="28" s="1"/>
  <c r="L130" i="28" s="1"/>
  <c r="I142" i="28"/>
  <c r="J142" i="28" s="1"/>
  <c r="L142" i="28" s="1"/>
  <c r="I81" i="28"/>
  <c r="J81" i="28" s="1"/>
  <c r="L81" i="28" s="1"/>
  <c r="I94" i="28"/>
  <c r="J94" i="28" s="1"/>
  <c r="L94" i="28" s="1"/>
  <c r="I118" i="28"/>
  <c r="J118" i="28" s="1"/>
  <c r="L118" i="28" s="1"/>
  <c r="I80" i="28"/>
  <c r="J80" i="28" s="1"/>
  <c r="L80" i="28" s="1"/>
  <c r="I128" i="28"/>
  <c r="J128" i="28" s="1"/>
  <c r="L128" i="28" s="1"/>
  <c r="I135" i="28"/>
  <c r="J135" i="28" s="1"/>
  <c r="L135" i="28" s="1"/>
  <c r="I140" i="28"/>
  <c r="J140" i="28" s="1"/>
  <c r="L140" i="28" s="1"/>
  <c r="I147" i="28"/>
  <c r="J147" i="28" s="1"/>
  <c r="L147" i="28" s="1"/>
  <c r="L2" i="28"/>
  <c r="K4" i="28"/>
  <c r="I5" i="28"/>
  <c r="J5" i="28" s="1"/>
  <c r="L5" i="28" s="1"/>
  <c r="I10" i="28"/>
  <c r="J10" i="28" s="1"/>
  <c r="L10" i="28" s="1"/>
  <c r="I15" i="28"/>
  <c r="J15" i="28" s="1"/>
  <c r="L15" i="28" s="1"/>
  <c r="I22" i="28"/>
  <c r="J22" i="28" s="1"/>
  <c r="L22" i="28" s="1"/>
  <c r="I27" i="28"/>
  <c r="J27" i="28" s="1"/>
  <c r="L27" i="28" s="1"/>
  <c r="I34" i="28"/>
  <c r="J34" i="28" s="1"/>
  <c r="L34" i="28" s="1"/>
  <c r="I39" i="28"/>
  <c r="J39" i="28" s="1"/>
  <c r="L39" i="28" s="1"/>
  <c r="I46" i="28"/>
  <c r="J46" i="28" s="1"/>
  <c r="L46" i="28" s="1"/>
  <c r="I51" i="28"/>
  <c r="J51" i="28" s="1"/>
  <c r="L51" i="28" s="1"/>
  <c r="I58" i="28"/>
  <c r="J58" i="28" s="1"/>
  <c r="L58" i="28" s="1"/>
  <c r="I63" i="28"/>
  <c r="J63" i="28" s="1"/>
  <c r="L63" i="28" s="1"/>
  <c r="I70" i="28"/>
  <c r="J70" i="28" s="1"/>
  <c r="L70" i="28" s="1"/>
  <c r="I55" i="28"/>
  <c r="J55" i="28" s="1"/>
  <c r="L55" i="28" s="1"/>
  <c r="I29" i="28"/>
  <c r="J29" i="28" s="1"/>
  <c r="L29" i="28" s="1"/>
  <c r="I41" i="28"/>
  <c r="J41" i="28" s="1"/>
  <c r="L41" i="28" s="1"/>
  <c r="I8" i="28"/>
  <c r="J8" i="28" s="1"/>
  <c r="L8" i="28" s="1"/>
  <c r="I20" i="28"/>
  <c r="J20" i="28" s="1"/>
  <c r="L20" i="28" s="1"/>
  <c r="I32" i="28"/>
  <c r="J32" i="28" s="1"/>
  <c r="L32" i="28" s="1"/>
  <c r="I44" i="28"/>
  <c r="J44" i="28" s="1"/>
  <c r="L44" i="28" s="1"/>
  <c r="I56" i="28"/>
  <c r="J56" i="28" s="1"/>
  <c r="L56" i="28" s="1"/>
  <c r="I68" i="28"/>
  <c r="J68" i="28" s="1"/>
  <c r="L68" i="28" s="1"/>
  <c r="I7" i="28"/>
  <c r="J7" i="28" s="1"/>
  <c r="L7" i="28" s="1"/>
  <c r="I19" i="28"/>
  <c r="J19" i="28" s="1"/>
  <c r="L19" i="28" s="1"/>
  <c r="I31" i="28"/>
  <c r="J31" i="28" s="1"/>
  <c r="L31" i="28" s="1"/>
  <c r="I67" i="28"/>
  <c r="J67" i="28" s="1"/>
  <c r="L67" i="28" s="1"/>
  <c r="I17" i="28"/>
  <c r="J17" i="28" s="1"/>
  <c r="L17" i="28" s="1"/>
  <c r="I53" i="28"/>
  <c r="J53" i="28" s="1"/>
  <c r="L53" i="28" s="1"/>
  <c r="I65" i="28"/>
  <c r="J65" i="28" s="1"/>
  <c r="L65" i="28" s="1"/>
  <c r="I42" i="28"/>
  <c r="J42" i="28" s="1"/>
  <c r="L42" i="28" s="1"/>
  <c r="G61" i="11" l="1"/>
  <c r="G68" i="11" s="1"/>
  <c r="G75" i="11" s="1"/>
  <c r="F61" i="11"/>
  <c r="F68" i="11" s="1"/>
  <c r="F75" i="11" s="1"/>
  <c r="E61" i="11"/>
  <c r="E68" i="11" s="1"/>
  <c r="E75" i="11" s="1"/>
  <c r="G60" i="11"/>
  <c r="G67" i="11" s="1"/>
  <c r="G74" i="11" s="1"/>
  <c r="F60" i="11"/>
  <c r="F67" i="11" s="1"/>
  <c r="F74" i="11" s="1"/>
  <c r="E60" i="11"/>
  <c r="E67" i="11" s="1"/>
  <c r="E74" i="11" s="1"/>
  <c r="G59" i="11"/>
  <c r="G66" i="11" s="1"/>
  <c r="G73" i="11" s="1"/>
  <c r="F59" i="11"/>
  <c r="F66" i="11" s="1"/>
  <c r="F73" i="11" s="1"/>
  <c r="E59" i="11"/>
  <c r="E66" i="11" s="1"/>
  <c r="E73" i="11" s="1"/>
  <c r="G58" i="11"/>
  <c r="G65" i="11" s="1"/>
  <c r="G72" i="11" s="1"/>
  <c r="F58" i="11"/>
  <c r="F65" i="11" s="1"/>
  <c r="F72" i="11" s="1"/>
  <c r="E58" i="11"/>
  <c r="E65" i="11" s="1"/>
  <c r="E72" i="11" s="1"/>
  <c r="G57" i="11"/>
  <c r="G64" i="11" s="1"/>
  <c r="G71" i="11" s="1"/>
  <c r="F57" i="11"/>
  <c r="F64" i="11" s="1"/>
  <c r="F71" i="11" s="1"/>
  <c r="E57" i="11"/>
  <c r="E64" i="11" s="1"/>
  <c r="E71" i="11" s="1"/>
  <c r="G56" i="11"/>
  <c r="G63" i="11" s="1"/>
  <c r="G70" i="11" s="1"/>
  <c r="F56" i="11"/>
  <c r="F63" i="11" s="1"/>
  <c r="F70" i="11" s="1"/>
  <c r="E56" i="11"/>
  <c r="E63" i="11" s="1"/>
  <c r="E70" i="11" s="1"/>
  <c r="Q15" i="11" l="1"/>
  <c r="S14" i="11"/>
  <c r="R14" i="11"/>
  <c r="Q14" i="11"/>
  <c r="S13" i="11"/>
  <c r="R13" i="11"/>
  <c r="Q13" i="11"/>
  <c r="S12" i="11"/>
  <c r="R12" i="11"/>
  <c r="Q12" i="11"/>
  <c r="E29" i="11"/>
  <c r="E36" i="11" s="1"/>
  <c r="G23" i="11"/>
  <c r="G30" i="11" s="1"/>
  <c r="G37" i="11" s="1"/>
  <c r="F23" i="11"/>
  <c r="F30" i="11" s="1"/>
  <c r="F37" i="11" s="1"/>
  <c r="E23" i="11"/>
  <c r="E30" i="11" s="1"/>
  <c r="E37" i="11" s="1"/>
  <c r="G22" i="11"/>
  <c r="G29" i="11" s="1"/>
  <c r="G36" i="11" s="1"/>
  <c r="F22" i="11"/>
  <c r="F29" i="11" s="1"/>
  <c r="F36" i="11" s="1"/>
  <c r="E22" i="11"/>
  <c r="G21" i="11"/>
  <c r="G28" i="11" s="1"/>
  <c r="G35" i="11" s="1"/>
  <c r="F21" i="11"/>
  <c r="F28" i="11" s="1"/>
  <c r="F35" i="11" s="1"/>
  <c r="E21" i="11"/>
  <c r="E28" i="11" s="1"/>
  <c r="E35" i="11" s="1"/>
  <c r="G20" i="11"/>
  <c r="G27" i="11" s="1"/>
  <c r="G34" i="11" s="1"/>
  <c r="F20" i="11"/>
  <c r="F27" i="11" s="1"/>
  <c r="F34" i="11" s="1"/>
  <c r="E20" i="11"/>
  <c r="E27" i="11" s="1"/>
  <c r="E34" i="11" s="1"/>
  <c r="G19" i="11"/>
  <c r="G26" i="11" s="1"/>
  <c r="G33" i="11" s="1"/>
  <c r="F19" i="11"/>
  <c r="F26" i="11" s="1"/>
  <c r="F33" i="11" s="1"/>
  <c r="E19" i="11"/>
  <c r="E26" i="11" s="1"/>
  <c r="E33" i="11" s="1"/>
  <c r="G18" i="11"/>
  <c r="G25" i="11" s="1"/>
  <c r="G32" i="11" s="1"/>
  <c r="F18" i="11"/>
  <c r="F25" i="11" s="1"/>
  <c r="F32" i="11" s="1"/>
  <c r="E18" i="11"/>
  <c r="E25" i="11" s="1"/>
  <c r="E32" i="11" s="1"/>
  <c r="M23" i="11"/>
  <c r="M30" i="11" s="1"/>
  <c r="M37" i="11" s="1"/>
  <c r="L23" i="11"/>
  <c r="L30" i="11" s="1"/>
  <c r="L37" i="11" s="1"/>
  <c r="K23" i="11"/>
  <c r="K30" i="11" s="1"/>
  <c r="K37" i="11" s="1"/>
  <c r="M22" i="11"/>
  <c r="M29" i="11" s="1"/>
  <c r="M36" i="11" s="1"/>
  <c r="L22" i="11"/>
  <c r="L29" i="11" s="1"/>
  <c r="L36" i="11" s="1"/>
  <c r="K22" i="11"/>
  <c r="K29" i="11" s="1"/>
  <c r="K36" i="11" s="1"/>
  <c r="M21" i="11"/>
  <c r="M28" i="11" s="1"/>
  <c r="M35" i="11" s="1"/>
  <c r="L21" i="11"/>
  <c r="L28" i="11" s="1"/>
  <c r="L35" i="11" s="1"/>
  <c r="K21" i="11"/>
  <c r="K28" i="11" s="1"/>
  <c r="K35" i="11" s="1"/>
  <c r="M20" i="11"/>
  <c r="M27" i="11" s="1"/>
  <c r="M34" i="11" s="1"/>
  <c r="L20" i="11"/>
  <c r="L27" i="11" s="1"/>
  <c r="L34" i="11" s="1"/>
  <c r="K20" i="11"/>
  <c r="K27" i="11" s="1"/>
  <c r="K34" i="11" s="1"/>
  <c r="M19" i="11"/>
  <c r="M26" i="11" s="1"/>
  <c r="M33" i="11" s="1"/>
  <c r="L19" i="11"/>
  <c r="L26" i="11" s="1"/>
  <c r="L33" i="11" s="1"/>
  <c r="K19" i="11"/>
  <c r="K26" i="11" s="1"/>
  <c r="K33" i="11" s="1"/>
  <c r="M18" i="11"/>
  <c r="M25" i="11" s="1"/>
  <c r="M32" i="11" s="1"/>
  <c r="L18" i="11"/>
  <c r="L25" i="11" s="1"/>
  <c r="L32" i="11" s="1"/>
  <c r="K18" i="11"/>
  <c r="K25" i="11" s="1"/>
  <c r="K32" i="11" s="1"/>
  <c r="AH114" i="10" l="1"/>
  <c r="AL112" i="10" s="1"/>
  <c r="AM112" i="10" s="1"/>
  <c r="AO112" i="10" s="1"/>
  <c r="AH111" i="10"/>
  <c r="AL110" i="10" s="1"/>
  <c r="AM110" i="10" s="1"/>
  <c r="AO110" i="10" s="1"/>
  <c r="AH108" i="10"/>
  <c r="AL106" i="10" s="1"/>
  <c r="AM106" i="10" s="1"/>
  <c r="AO106" i="10" s="1"/>
  <c r="AH105" i="10"/>
  <c r="AL104" i="10" s="1"/>
  <c r="AM104" i="10" s="1"/>
  <c r="AO104" i="10" s="1"/>
  <c r="AH102" i="10"/>
  <c r="AL101" i="10" s="1"/>
  <c r="AM101" i="10" s="1"/>
  <c r="AO101" i="10" s="1"/>
  <c r="AH99" i="10"/>
  <c r="AL97" i="10" s="1"/>
  <c r="AM97" i="10" s="1"/>
  <c r="AO97" i="10" s="1"/>
  <c r="AH96" i="10"/>
  <c r="AL94" i="10" s="1"/>
  <c r="AM94" i="10" s="1"/>
  <c r="AO94" i="10" s="1"/>
  <c r="AH93" i="10"/>
  <c r="AL92" i="10" s="1"/>
  <c r="AM92" i="10" s="1"/>
  <c r="AO92" i="10" s="1"/>
  <c r="AH90" i="10"/>
  <c r="AL88" i="10" s="1"/>
  <c r="AM88" i="10" s="1"/>
  <c r="AO88" i="10" s="1"/>
  <c r="AH87" i="10"/>
  <c r="AL85" i="10" s="1"/>
  <c r="AM85" i="10" s="1"/>
  <c r="AO85" i="10" s="1"/>
  <c r="AH84" i="10"/>
  <c r="AL82" i="10" s="1"/>
  <c r="AM82" i="10" s="1"/>
  <c r="AO82" i="10" s="1"/>
  <c r="AH81" i="10"/>
  <c r="AL80" i="10" s="1"/>
  <c r="AM80" i="10" s="1"/>
  <c r="AO80" i="10" s="1"/>
  <c r="AH76" i="10"/>
  <c r="AL74" i="10" s="1"/>
  <c r="AM74" i="10" s="1"/>
  <c r="AO74" i="10" s="1"/>
  <c r="AH73" i="10"/>
  <c r="AL71" i="10" s="1"/>
  <c r="AM71" i="10" s="1"/>
  <c r="AO71" i="10" s="1"/>
  <c r="AH70" i="10"/>
  <c r="AL70" i="10" s="1"/>
  <c r="AM70" i="10" s="1"/>
  <c r="AO70" i="10" s="1"/>
  <c r="AH67" i="10"/>
  <c r="AL67" i="10" s="1"/>
  <c r="AM67" i="10" s="1"/>
  <c r="AO67" i="10" s="1"/>
  <c r="AH64" i="10"/>
  <c r="AL64" i="10" s="1"/>
  <c r="AM64" i="10" s="1"/>
  <c r="AO64" i="10" s="1"/>
  <c r="AH61" i="10"/>
  <c r="AL59" i="10" s="1"/>
  <c r="AM59" i="10" s="1"/>
  <c r="AO59" i="10" s="1"/>
  <c r="AH58" i="10"/>
  <c r="AL56" i="10" s="1"/>
  <c r="AM56" i="10" s="1"/>
  <c r="AO56" i="10" s="1"/>
  <c r="AH55" i="10"/>
  <c r="AL54" i="10" s="1"/>
  <c r="AM54" i="10" s="1"/>
  <c r="AO54" i="10" s="1"/>
  <c r="AH52" i="10"/>
  <c r="AL51" i="10" s="1"/>
  <c r="AM51" i="10" s="1"/>
  <c r="AO51" i="10" s="1"/>
  <c r="AH49" i="10"/>
  <c r="AL47" i="10" s="1"/>
  <c r="AM47" i="10" s="1"/>
  <c r="AO47" i="10" s="1"/>
  <c r="AH46" i="10"/>
  <c r="AL44" i="10" s="1"/>
  <c r="AM44" i="10" s="1"/>
  <c r="AO44" i="10" s="1"/>
  <c r="AH43" i="10"/>
  <c r="AL41" i="10" s="1"/>
  <c r="AM41" i="10" s="1"/>
  <c r="AH38" i="10"/>
  <c r="AL36" i="10" s="1"/>
  <c r="AM36" i="10" s="1"/>
  <c r="AO36" i="10" s="1"/>
  <c r="AH35" i="10"/>
  <c r="AL34" i="10" s="1"/>
  <c r="AM34" i="10" s="1"/>
  <c r="AO34" i="10" s="1"/>
  <c r="AH32" i="10"/>
  <c r="AL32" i="10" s="1"/>
  <c r="AM32" i="10" s="1"/>
  <c r="AO32" i="10" s="1"/>
  <c r="AH29" i="10"/>
  <c r="AL27" i="10" s="1"/>
  <c r="AM27" i="10" s="1"/>
  <c r="AO27" i="10" s="1"/>
  <c r="AH26" i="10"/>
  <c r="AL24" i="10" s="1"/>
  <c r="AM24" i="10" s="1"/>
  <c r="AO24" i="10" s="1"/>
  <c r="AH23" i="10"/>
  <c r="AL22" i="10" s="1"/>
  <c r="AM22" i="10" s="1"/>
  <c r="AO22" i="10" s="1"/>
  <c r="AH20" i="10"/>
  <c r="AL20" i="10" s="1"/>
  <c r="AM20" i="10" s="1"/>
  <c r="AO20" i="10" s="1"/>
  <c r="AH17" i="10"/>
  <c r="AL15" i="10" s="1"/>
  <c r="AM15" i="10" s="1"/>
  <c r="AO15" i="10" s="1"/>
  <c r="AH14" i="10"/>
  <c r="AL14" i="10" s="1"/>
  <c r="AM14" i="10" s="1"/>
  <c r="AO14" i="10" s="1"/>
  <c r="AH11" i="10"/>
  <c r="AL9" i="10" s="1"/>
  <c r="AM9" i="10" s="1"/>
  <c r="AO9" i="10" s="1"/>
  <c r="AH8" i="10"/>
  <c r="AL7" i="10" s="1"/>
  <c r="AM7" i="10" s="1"/>
  <c r="AO7" i="10" s="1"/>
  <c r="AH5" i="10"/>
  <c r="AL5" i="10" s="1"/>
  <c r="AM5" i="10" s="1"/>
  <c r="AO5" i="10" s="1"/>
  <c r="AL48" i="10" l="1"/>
  <c r="AM48" i="10" s="1"/>
  <c r="AO48" i="10" s="1"/>
  <c r="AL16" i="10"/>
  <c r="AM16" i="10" s="1"/>
  <c r="AO16" i="10" s="1"/>
  <c r="AL37" i="10"/>
  <c r="AM37" i="10" s="1"/>
  <c r="AO37" i="10" s="1"/>
  <c r="AL42" i="10"/>
  <c r="AM42" i="10" s="1"/>
  <c r="AO42" i="10" s="1"/>
  <c r="AL3" i="10"/>
  <c r="AM3" i="10" s="1"/>
  <c r="AO3" i="10" s="1"/>
  <c r="AL98" i="10"/>
  <c r="AM98" i="10" s="1"/>
  <c r="AO98" i="10" s="1"/>
  <c r="AL83" i="10"/>
  <c r="AM83" i="10" s="1"/>
  <c r="AO83" i="10" s="1"/>
  <c r="AL10" i="10"/>
  <c r="AM10" i="10" s="1"/>
  <c r="AO10" i="10" s="1"/>
  <c r="AL28" i="10"/>
  <c r="AM28" i="10" s="1"/>
  <c r="AO28" i="10" s="1"/>
  <c r="AL66" i="10"/>
  <c r="AM66" i="10" s="1"/>
  <c r="AO66" i="10" s="1"/>
  <c r="AL89" i="10"/>
  <c r="AM89" i="10" s="1"/>
  <c r="AO89" i="10" s="1"/>
  <c r="AL93" i="10"/>
  <c r="AM93" i="10" s="1"/>
  <c r="AO93" i="10" s="1"/>
  <c r="AL102" i="10"/>
  <c r="AM102" i="10" s="1"/>
  <c r="AO102" i="10" s="1"/>
  <c r="AL52" i="10"/>
  <c r="AM52" i="10" s="1"/>
  <c r="AO52" i="10" s="1"/>
  <c r="AL4" i="10"/>
  <c r="AM4" i="10" s="1"/>
  <c r="AO4" i="10" s="1"/>
  <c r="AL18" i="10"/>
  <c r="AM18" i="10" s="1"/>
  <c r="AO18" i="10" s="1"/>
  <c r="AL25" i="10"/>
  <c r="AM25" i="10" s="1"/>
  <c r="AO25" i="10" s="1"/>
  <c r="AL30" i="10"/>
  <c r="AM30" i="10" s="1"/>
  <c r="AO30" i="10" s="1"/>
  <c r="AL49" i="10"/>
  <c r="AM49" i="10" s="1"/>
  <c r="AO49" i="10" s="1"/>
  <c r="AL63" i="10"/>
  <c r="AM63" i="10" s="1"/>
  <c r="AO63" i="10" s="1"/>
  <c r="AL68" i="10"/>
  <c r="AM68" i="10" s="1"/>
  <c r="AO68" i="10" s="1"/>
  <c r="AL75" i="10"/>
  <c r="AM75" i="10" s="1"/>
  <c r="AO75" i="10" s="1"/>
  <c r="AL91" i="10"/>
  <c r="AM91" i="10" s="1"/>
  <c r="AO91" i="10" s="1"/>
  <c r="AL100" i="10"/>
  <c r="AM100" i="10" s="1"/>
  <c r="AO100" i="10" s="1"/>
  <c r="AL113" i="10"/>
  <c r="AM113" i="10" s="1"/>
  <c r="AO113" i="10" s="1"/>
  <c r="AL19" i="10"/>
  <c r="AM19" i="10" s="1"/>
  <c r="AO19" i="10" s="1"/>
  <c r="AL31" i="10"/>
  <c r="AM31" i="10" s="1"/>
  <c r="AO31" i="10" s="1"/>
  <c r="AL50" i="10"/>
  <c r="AM50" i="10" s="1"/>
  <c r="AO50" i="10" s="1"/>
  <c r="AL57" i="10"/>
  <c r="AM57" i="10" s="1"/>
  <c r="AO57" i="10" s="1"/>
  <c r="AL69" i="10"/>
  <c r="AM69" i="10" s="1"/>
  <c r="AO69" i="10" s="1"/>
  <c r="AL107" i="10"/>
  <c r="AM107" i="10" s="1"/>
  <c r="AO107" i="10" s="1"/>
  <c r="AL81" i="10"/>
  <c r="AM81" i="10" s="1"/>
  <c r="AO81" i="10" s="1"/>
  <c r="AL114" i="10"/>
  <c r="AM114" i="10" s="1"/>
  <c r="AO114" i="10" s="1"/>
  <c r="AL87" i="10"/>
  <c r="AM87" i="10" s="1"/>
  <c r="AO87" i="10" s="1"/>
  <c r="AL111" i="10"/>
  <c r="AM111" i="10" s="1"/>
  <c r="AO111" i="10" s="1"/>
  <c r="AL96" i="10"/>
  <c r="AM96" i="10" s="1"/>
  <c r="AO96" i="10" s="1"/>
  <c r="AL109" i="10"/>
  <c r="AM109" i="10" s="1"/>
  <c r="AO109" i="10" s="1"/>
  <c r="AL79" i="10"/>
  <c r="AM79" i="10" s="1"/>
  <c r="AL105" i="10"/>
  <c r="AM105" i="10" s="1"/>
  <c r="AO105" i="10" s="1"/>
  <c r="AL103" i="10"/>
  <c r="AM103" i="10" s="1"/>
  <c r="AO103" i="10" s="1"/>
  <c r="AL86" i="10"/>
  <c r="AM86" i="10" s="1"/>
  <c r="AO86" i="10" s="1"/>
  <c r="AL99" i="10"/>
  <c r="AM99" i="10" s="1"/>
  <c r="AO99" i="10" s="1"/>
  <c r="AL84" i="10"/>
  <c r="AM84" i="10" s="1"/>
  <c r="AO84" i="10" s="1"/>
  <c r="AL95" i="10"/>
  <c r="AM95" i="10" s="1"/>
  <c r="AO95" i="10" s="1"/>
  <c r="AL108" i="10"/>
  <c r="AM108" i="10" s="1"/>
  <c r="AO108" i="10" s="1"/>
  <c r="AL90" i="10"/>
  <c r="AM90" i="10" s="1"/>
  <c r="AO90" i="10" s="1"/>
  <c r="AO41" i="10"/>
  <c r="AL46" i="10"/>
  <c r="AM46" i="10" s="1"/>
  <c r="AO46" i="10" s="1"/>
  <c r="AL53" i="10"/>
  <c r="AM53" i="10" s="1"/>
  <c r="AO53" i="10" s="1"/>
  <c r="AL65" i="10"/>
  <c r="AM65" i="10" s="1"/>
  <c r="AO65" i="10" s="1"/>
  <c r="AL76" i="10"/>
  <c r="AM76" i="10" s="1"/>
  <c r="AO76" i="10" s="1"/>
  <c r="AL61" i="10"/>
  <c r="AM61" i="10" s="1"/>
  <c r="AO61" i="10" s="1"/>
  <c r="AL73" i="10"/>
  <c r="AM73" i="10" s="1"/>
  <c r="AO73" i="10" s="1"/>
  <c r="AL55" i="10"/>
  <c r="AM55" i="10" s="1"/>
  <c r="AO55" i="10" s="1"/>
  <c r="AL60" i="10"/>
  <c r="AM60" i="10" s="1"/>
  <c r="AO60" i="10" s="1"/>
  <c r="AL62" i="10"/>
  <c r="AM62" i="10" s="1"/>
  <c r="AO62" i="10" s="1"/>
  <c r="AL72" i="10"/>
  <c r="AM72" i="10" s="1"/>
  <c r="AO72" i="10" s="1"/>
  <c r="AL43" i="10"/>
  <c r="AM43" i="10" s="1"/>
  <c r="AO43" i="10" s="1"/>
  <c r="AL45" i="10"/>
  <c r="AM45" i="10" s="1"/>
  <c r="AO45" i="10" s="1"/>
  <c r="AL58" i="10"/>
  <c r="AM58" i="10" s="1"/>
  <c r="AO58" i="10" s="1"/>
  <c r="AL23" i="10"/>
  <c r="AM23" i="10" s="1"/>
  <c r="AO23" i="10" s="1"/>
  <c r="AL8" i="10"/>
  <c r="AM8" i="10" s="1"/>
  <c r="AO8" i="10" s="1"/>
  <c r="AL21" i="10"/>
  <c r="AM21" i="10" s="1"/>
  <c r="AO21" i="10" s="1"/>
  <c r="AL17" i="10"/>
  <c r="AM17" i="10" s="1"/>
  <c r="AO17" i="10" s="1"/>
  <c r="AL12" i="10"/>
  <c r="AM12" i="10" s="1"/>
  <c r="AO12" i="10" s="1"/>
  <c r="AL29" i="10"/>
  <c r="AM29" i="10" s="1"/>
  <c r="AO29" i="10" s="1"/>
  <c r="AL35" i="10"/>
  <c r="AM35" i="10" s="1"/>
  <c r="AO35" i="10" s="1"/>
  <c r="AL33" i="10"/>
  <c r="AM33" i="10" s="1"/>
  <c r="AO33" i="10" s="1"/>
  <c r="AL13" i="10"/>
  <c r="AM13" i="10" s="1"/>
  <c r="AO13" i="10" s="1"/>
  <c r="AL26" i="10"/>
  <c r="AM26" i="10" s="1"/>
  <c r="AO26" i="10" s="1"/>
  <c r="AL38" i="10"/>
  <c r="AM38" i="10" s="1"/>
  <c r="AO38" i="10" s="1"/>
  <c r="AL6" i="10"/>
  <c r="AM6" i="10" s="1"/>
  <c r="AO6" i="10" s="1"/>
  <c r="AL11" i="10"/>
  <c r="AM11" i="10" s="1"/>
  <c r="AO11" i="10" s="1"/>
  <c r="AN5" i="10" l="1"/>
  <c r="AN43" i="10"/>
  <c r="AN81" i="10"/>
  <c r="AO79" i="10"/>
  <c r="G114" i="10" l="1"/>
  <c r="K112" i="10" s="1"/>
  <c r="L112" i="10" s="1"/>
  <c r="N112" i="10" s="1"/>
  <c r="G111" i="10"/>
  <c r="K110" i="10" s="1"/>
  <c r="L110" i="10" s="1"/>
  <c r="N110" i="10" s="1"/>
  <c r="G108" i="10"/>
  <c r="K107" i="10" s="1"/>
  <c r="L107" i="10" s="1"/>
  <c r="N107" i="10" s="1"/>
  <c r="G105" i="10"/>
  <c r="K105" i="10" s="1"/>
  <c r="L105" i="10" s="1"/>
  <c r="N105" i="10" s="1"/>
  <c r="K104" i="10"/>
  <c r="L104" i="10" s="1"/>
  <c r="N104" i="10" s="1"/>
  <c r="K103" i="10"/>
  <c r="L103" i="10" s="1"/>
  <c r="N103" i="10" s="1"/>
  <c r="G102" i="10"/>
  <c r="K100" i="10" s="1"/>
  <c r="L100" i="10" s="1"/>
  <c r="N100" i="10" s="1"/>
  <c r="G99" i="10"/>
  <c r="K98" i="10" s="1"/>
  <c r="L98" i="10" s="1"/>
  <c r="N98" i="10" s="1"/>
  <c r="G96" i="10"/>
  <c r="K96" i="10" s="1"/>
  <c r="L96" i="10" s="1"/>
  <c r="N96" i="10" s="1"/>
  <c r="G93" i="10"/>
  <c r="K93" i="10" s="1"/>
  <c r="L93" i="10" s="1"/>
  <c r="N93" i="10" s="1"/>
  <c r="G90" i="10"/>
  <c r="K89" i="10" s="1"/>
  <c r="L89" i="10" s="1"/>
  <c r="N89" i="10" s="1"/>
  <c r="G87" i="10"/>
  <c r="K87" i="10" s="1"/>
  <c r="L87" i="10" s="1"/>
  <c r="N87" i="10" s="1"/>
  <c r="K86" i="10"/>
  <c r="L86" i="10" s="1"/>
  <c r="N86" i="10" s="1"/>
  <c r="G84" i="10"/>
  <c r="K83" i="10" s="1"/>
  <c r="L83" i="10" s="1"/>
  <c r="N83" i="10" s="1"/>
  <c r="G81" i="10"/>
  <c r="K80" i="10" s="1"/>
  <c r="L80" i="10" s="1"/>
  <c r="N80" i="10" s="1"/>
  <c r="G76" i="10"/>
  <c r="K74" i="10" s="1"/>
  <c r="L74" i="10" s="1"/>
  <c r="N74" i="10" s="1"/>
  <c r="G73" i="10"/>
  <c r="K72" i="10" s="1"/>
  <c r="L72" i="10" s="1"/>
  <c r="N72" i="10" s="1"/>
  <c r="G70" i="10"/>
  <c r="K69" i="10" s="1"/>
  <c r="L69" i="10" s="1"/>
  <c r="N69" i="10" s="1"/>
  <c r="G67" i="10"/>
  <c r="K67" i="10" s="1"/>
  <c r="L67" i="10" s="1"/>
  <c r="N67" i="10" s="1"/>
  <c r="G64" i="10"/>
  <c r="K62" i="10" s="1"/>
  <c r="L62" i="10" s="1"/>
  <c r="N62" i="10" s="1"/>
  <c r="G61" i="10"/>
  <c r="K60" i="10" s="1"/>
  <c r="L60" i="10" s="1"/>
  <c r="N60" i="10" s="1"/>
  <c r="G58" i="10"/>
  <c r="K57" i="10" s="1"/>
  <c r="L57" i="10" s="1"/>
  <c r="N57" i="10" s="1"/>
  <c r="G55" i="10"/>
  <c r="K54" i="10" s="1"/>
  <c r="L54" i="10" s="1"/>
  <c r="N54" i="10" s="1"/>
  <c r="G52" i="10"/>
  <c r="K51" i="10" s="1"/>
  <c r="L51" i="10" s="1"/>
  <c r="N51" i="10" s="1"/>
  <c r="G49" i="10"/>
  <c r="K49" i="10" s="1"/>
  <c r="L49" i="10" s="1"/>
  <c r="N49" i="10" s="1"/>
  <c r="G46" i="10"/>
  <c r="K44" i="10" s="1"/>
  <c r="L44" i="10" s="1"/>
  <c r="N44" i="10" s="1"/>
  <c r="K45" i="10"/>
  <c r="L45" i="10" s="1"/>
  <c r="N45" i="10" s="1"/>
  <c r="G43" i="10"/>
  <c r="K43" i="10" s="1"/>
  <c r="L43" i="10" s="1"/>
  <c r="N43" i="10" s="1"/>
  <c r="G38" i="10"/>
  <c r="K36" i="10" s="1"/>
  <c r="L36" i="10" s="1"/>
  <c r="N36" i="10" s="1"/>
  <c r="G35" i="10"/>
  <c r="K34" i="10" s="1"/>
  <c r="L34" i="10" s="1"/>
  <c r="N34" i="10" s="1"/>
  <c r="G32" i="10"/>
  <c r="K31" i="10" s="1"/>
  <c r="L31" i="10" s="1"/>
  <c r="N31" i="10" s="1"/>
  <c r="G29" i="10"/>
  <c r="K29" i="10" s="1"/>
  <c r="L29" i="10" s="1"/>
  <c r="N29" i="10" s="1"/>
  <c r="G26" i="10"/>
  <c r="K24" i="10" s="1"/>
  <c r="L24" i="10" s="1"/>
  <c r="N24" i="10" s="1"/>
  <c r="G23" i="10"/>
  <c r="K22" i="10" s="1"/>
  <c r="L22" i="10" s="1"/>
  <c r="N22" i="10" s="1"/>
  <c r="G20" i="10"/>
  <c r="K20" i="10" s="1"/>
  <c r="L20" i="10" s="1"/>
  <c r="N20" i="10" s="1"/>
  <c r="G17" i="10"/>
  <c r="K16" i="10" s="1"/>
  <c r="L16" i="10" s="1"/>
  <c r="N16" i="10" s="1"/>
  <c r="G14" i="10"/>
  <c r="K12" i="10" s="1"/>
  <c r="L12" i="10" s="1"/>
  <c r="N12" i="10" s="1"/>
  <c r="G11" i="10"/>
  <c r="K11" i="10" s="1"/>
  <c r="L11" i="10" s="1"/>
  <c r="N11" i="10" s="1"/>
  <c r="G8" i="10"/>
  <c r="K8" i="10" s="1"/>
  <c r="L8" i="10" s="1"/>
  <c r="N8" i="10" s="1"/>
  <c r="G5" i="10"/>
  <c r="K4" i="10" s="1"/>
  <c r="L4" i="10" s="1"/>
  <c r="N4" i="10" s="1"/>
  <c r="K46" i="10" l="1"/>
  <c r="L46" i="10" s="1"/>
  <c r="N46" i="10" s="1"/>
  <c r="K48" i="10"/>
  <c r="L48" i="10" s="1"/>
  <c r="N48" i="10" s="1"/>
  <c r="K65" i="10"/>
  <c r="L65" i="10" s="1"/>
  <c r="N65" i="10" s="1"/>
  <c r="K56" i="10"/>
  <c r="L56" i="10" s="1"/>
  <c r="N56" i="10" s="1"/>
  <c r="K97" i="10"/>
  <c r="L97" i="10" s="1"/>
  <c r="N97" i="10" s="1"/>
  <c r="K84" i="10"/>
  <c r="L84" i="10" s="1"/>
  <c r="N84" i="10" s="1"/>
  <c r="K94" i="10"/>
  <c r="L94" i="10" s="1"/>
  <c r="N94" i="10" s="1"/>
  <c r="K85" i="10"/>
  <c r="L85" i="10" s="1"/>
  <c r="N85" i="10" s="1"/>
  <c r="K95" i="10"/>
  <c r="L95" i="10" s="1"/>
  <c r="N95" i="10" s="1"/>
  <c r="K82" i="10"/>
  <c r="L82" i="10" s="1"/>
  <c r="N82" i="10" s="1"/>
  <c r="K113" i="10"/>
  <c r="L113" i="10" s="1"/>
  <c r="N113" i="10" s="1"/>
  <c r="K27" i="10"/>
  <c r="L27" i="10" s="1"/>
  <c r="N27" i="10" s="1"/>
  <c r="K92" i="10"/>
  <c r="L92" i="10" s="1"/>
  <c r="N92" i="10" s="1"/>
  <c r="K99" i="10"/>
  <c r="L99" i="10" s="1"/>
  <c r="N99" i="10" s="1"/>
  <c r="K47" i="10"/>
  <c r="L47" i="10" s="1"/>
  <c r="N47" i="10" s="1"/>
  <c r="K58" i="10"/>
  <c r="L58" i="10" s="1"/>
  <c r="N58" i="10" s="1"/>
  <c r="K64" i="10"/>
  <c r="L64" i="10" s="1"/>
  <c r="N64" i="10" s="1"/>
  <c r="K76" i="10"/>
  <c r="L76" i="10" s="1"/>
  <c r="N76" i="10" s="1"/>
  <c r="K91" i="10"/>
  <c r="L91" i="10" s="1"/>
  <c r="N91" i="10" s="1"/>
  <c r="K101" i="10"/>
  <c r="L101" i="10" s="1"/>
  <c r="N101" i="10" s="1"/>
  <c r="K28" i="10"/>
  <c r="L28" i="10" s="1"/>
  <c r="N28" i="10" s="1"/>
  <c r="K37" i="10"/>
  <c r="L37" i="10" s="1"/>
  <c r="N37" i="10" s="1"/>
  <c r="K63" i="10"/>
  <c r="L63" i="10" s="1"/>
  <c r="N63" i="10" s="1"/>
  <c r="K66" i="10"/>
  <c r="L66" i="10" s="1"/>
  <c r="N66" i="10" s="1"/>
  <c r="K75" i="10"/>
  <c r="L75" i="10" s="1"/>
  <c r="N75" i="10" s="1"/>
  <c r="K81" i="10"/>
  <c r="L81" i="10" s="1"/>
  <c r="N81" i="10" s="1"/>
  <c r="K88" i="10"/>
  <c r="L88" i="10" s="1"/>
  <c r="N88" i="10" s="1"/>
  <c r="K106" i="10"/>
  <c r="L106" i="10" s="1"/>
  <c r="N106" i="10" s="1"/>
  <c r="K90" i="10"/>
  <c r="L90" i="10" s="1"/>
  <c r="N90" i="10" s="1"/>
  <c r="K79" i="10"/>
  <c r="L79" i="10" s="1"/>
  <c r="K111" i="10"/>
  <c r="L111" i="10" s="1"/>
  <c r="N111" i="10" s="1"/>
  <c r="K108" i="10"/>
  <c r="L108" i="10" s="1"/>
  <c r="N108" i="10" s="1"/>
  <c r="K109" i="10"/>
  <c r="L109" i="10" s="1"/>
  <c r="N109" i="10" s="1"/>
  <c r="K102" i="10"/>
  <c r="L102" i="10" s="1"/>
  <c r="N102" i="10" s="1"/>
  <c r="K114" i="10"/>
  <c r="L114" i="10" s="1"/>
  <c r="N114" i="10" s="1"/>
  <c r="K55" i="10"/>
  <c r="L55" i="10" s="1"/>
  <c r="N55" i="10" s="1"/>
  <c r="K70" i="10"/>
  <c r="L70" i="10" s="1"/>
  <c r="N70" i="10" s="1"/>
  <c r="K68" i="10"/>
  <c r="L68" i="10" s="1"/>
  <c r="N68" i="10" s="1"/>
  <c r="K53" i="10"/>
  <c r="L53" i="10" s="1"/>
  <c r="N53" i="10" s="1"/>
  <c r="K71" i="10"/>
  <c r="L71" i="10" s="1"/>
  <c r="N71" i="10" s="1"/>
  <c r="K52" i="10"/>
  <c r="L52" i="10" s="1"/>
  <c r="N52" i="10" s="1"/>
  <c r="K41" i="10"/>
  <c r="L41" i="10" s="1"/>
  <c r="K50" i="10"/>
  <c r="L50" i="10" s="1"/>
  <c r="N50" i="10" s="1"/>
  <c r="K61" i="10"/>
  <c r="L61" i="10" s="1"/>
  <c r="N61" i="10" s="1"/>
  <c r="K73" i="10"/>
  <c r="L73" i="10" s="1"/>
  <c r="N73" i="10" s="1"/>
  <c r="K42" i="10"/>
  <c r="L42" i="10" s="1"/>
  <c r="N42" i="10" s="1"/>
  <c r="K59" i="10"/>
  <c r="L59" i="10" s="1"/>
  <c r="N59" i="10" s="1"/>
  <c r="K6" i="10"/>
  <c r="L6" i="10" s="1"/>
  <c r="N6" i="10" s="1"/>
  <c r="K18" i="10"/>
  <c r="L18" i="10" s="1"/>
  <c r="N18" i="10" s="1"/>
  <c r="K7" i="10"/>
  <c r="L7" i="10" s="1"/>
  <c r="N7" i="10" s="1"/>
  <c r="K19" i="10"/>
  <c r="L19" i="10" s="1"/>
  <c r="N19" i="10" s="1"/>
  <c r="K9" i="10"/>
  <c r="L9" i="10" s="1"/>
  <c r="N9" i="10" s="1"/>
  <c r="K10" i="10"/>
  <c r="L10" i="10" s="1"/>
  <c r="N10" i="10" s="1"/>
  <c r="K25" i="10"/>
  <c r="L25" i="10" s="1"/>
  <c r="N25" i="10" s="1"/>
  <c r="K14" i="10"/>
  <c r="L14" i="10" s="1"/>
  <c r="N14" i="10" s="1"/>
  <c r="K32" i="10"/>
  <c r="L32" i="10" s="1"/>
  <c r="N32" i="10" s="1"/>
  <c r="K15" i="10"/>
  <c r="L15" i="10" s="1"/>
  <c r="N15" i="10" s="1"/>
  <c r="K33" i="10"/>
  <c r="L33" i="10" s="1"/>
  <c r="N33" i="10" s="1"/>
  <c r="K30" i="10"/>
  <c r="L30" i="10" s="1"/>
  <c r="N30" i="10" s="1"/>
  <c r="K13" i="10"/>
  <c r="L13" i="10" s="1"/>
  <c r="N13" i="10" s="1"/>
  <c r="K26" i="10"/>
  <c r="L26" i="10" s="1"/>
  <c r="N26" i="10" s="1"/>
  <c r="K38" i="10"/>
  <c r="L38" i="10" s="1"/>
  <c r="N38" i="10" s="1"/>
  <c r="K17" i="10"/>
  <c r="L17" i="10" s="1"/>
  <c r="N17" i="10" s="1"/>
  <c r="K3" i="10"/>
  <c r="L3" i="10" s="1"/>
  <c r="K21" i="10"/>
  <c r="L21" i="10" s="1"/>
  <c r="N21" i="10" s="1"/>
  <c r="K5" i="10"/>
  <c r="L5" i="10" s="1"/>
  <c r="N5" i="10" s="1"/>
  <c r="K23" i="10"/>
  <c r="L23" i="10" s="1"/>
  <c r="N23" i="10" s="1"/>
  <c r="K35" i="10"/>
  <c r="L35" i="10" s="1"/>
  <c r="N35" i="10" s="1"/>
  <c r="N79" i="10" l="1"/>
  <c r="M81" i="10"/>
  <c r="N41" i="10"/>
  <c r="M43" i="10"/>
  <c r="N3" i="10"/>
  <c r="M5" i="10"/>
  <c r="T9" i="8" l="1"/>
  <c r="P9" i="8"/>
  <c r="L9" i="8"/>
  <c r="T8" i="8"/>
  <c r="P8" i="8"/>
  <c r="L8" i="8"/>
  <c r="T7" i="8"/>
  <c r="P7" i="8"/>
  <c r="L7" i="8"/>
  <c r="T6" i="8"/>
  <c r="P6" i="8"/>
  <c r="L6" i="8"/>
  <c r="T5" i="8"/>
  <c r="P5" i="8"/>
  <c r="L5" i="8"/>
  <c r="T20" i="8" l="1"/>
  <c r="P20" i="8"/>
  <c r="L20" i="8"/>
  <c r="T19" i="8"/>
  <c r="P19" i="8"/>
  <c r="L19" i="8"/>
  <c r="T18" i="8"/>
  <c r="P18" i="8"/>
  <c r="L18" i="8"/>
  <c r="T17" i="8"/>
  <c r="P17" i="8"/>
  <c r="L17" i="8"/>
  <c r="T16" i="8"/>
  <c r="P16" i="8"/>
  <c r="L16" i="8"/>
  <c r="T15" i="8"/>
  <c r="P15" i="8"/>
  <c r="L15" i="8"/>
  <c r="F23" i="7" l="1"/>
  <c r="F22" i="7"/>
  <c r="F21" i="7"/>
  <c r="F20" i="7"/>
  <c r="F19" i="7"/>
  <c r="F18" i="7"/>
  <c r="F17" i="7"/>
  <c r="F16" i="7"/>
  <c r="F15" i="7"/>
  <c r="L25" i="7"/>
  <c r="K25" i="7"/>
  <c r="J25" i="7"/>
  <c r="F14" i="7"/>
  <c r="L24" i="7"/>
  <c r="K24" i="7"/>
  <c r="J24" i="7"/>
  <c r="F13" i="7"/>
  <c r="L23" i="7"/>
  <c r="K23" i="7"/>
  <c r="J23" i="7"/>
  <c r="F12" i="7"/>
  <c r="L22" i="7"/>
  <c r="K22" i="7"/>
  <c r="J22" i="7"/>
  <c r="F11" i="7"/>
  <c r="L21" i="7"/>
  <c r="K21" i="7"/>
  <c r="J21" i="7"/>
  <c r="F10" i="7"/>
  <c r="L20" i="7"/>
  <c r="K20" i="7"/>
  <c r="J20" i="7"/>
  <c r="F9" i="7"/>
  <c r="F8" i="7"/>
  <c r="F7" i="7"/>
  <c r="F6" i="7"/>
  <c r="G8" i="7" s="1"/>
  <c r="E17" i="5"/>
  <c r="E16" i="5"/>
  <c r="E15" i="5"/>
  <c r="E14" i="5"/>
  <c r="E13" i="5"/>
  <c r="E12" i="5"/>
  <c r="K22" i="5"/>
  <c r="J22" i="5"/>
  <c r="I22" i="5"/>
  <c r="E11" i="5"/>
  <c r="K21" i="5"/>
  <c r="J21" i="5"/>
  <c r="I21" i="5"/>
  <c r="E10" i="5"/>
  <c r="K20" i="5"/>
  <c r="J20" i="5"/>
  <c r="I20" i="5"/>
  <c r="E9" i="5"/>
  <c r="K19" i="5"/>
  <c r="J19" i="5"/>
  <c r="I19" i="5"/>
  <c r="E8" i="5"/>
  <c r="K18" i="5"/>
  <c r="J18" i="5"/>
  <c r="I18" i="5"/>
  <c r="E7" i="5"/>
  <c r="E6" i="5"/>
  <c r="F5" i="5"/>
  <c r="E5" i="5"/>
  <c r="E4" i="5"/>
  <c r="E3" i="5"/>
</calcChain>
</file>

<file path=xl/sharedStrings.xml><?xml version="1.0" encoding="utf-8"?>
<sst xmlns="http://schemas.openxmlformats.org/spreadsheetml/2006/main" count="9063" uniqueCount="707">
  <si>
    <t>Figure 1e</t>
    <phoneticPr fontId="2" type="noConversion"/>
  </si>
  <si>
    <t>-</t>
  </si>
  <si>
    <t>-</t>
    <phoneticPr fontId="2" type="noConversion"/>
  </si>
  <si>
    <t>TNF-α</t>
  </si>
  <si>
    <t>TNF-α</t>
    <phoneticPr fontId="2" type="noConversion"/>
  </si>
  <si>
    <t>Figure 1f</t>
    <phoneticPr fontId="2" type="noConversion"/>
  </si>
  <si>
    <t>Figure 1g</t>
    <phoneticPr fontId="2" type="noConversion"/>
  </si>
  <si>
    <t>Normalization</t>
    <phoneticPr fontId="2" type="noConversion"/>
  </si>
  <si>
    <t>IL-1β</t>
  </si>
  <si>
    <t>IL-1β</t>
    <phoneticPr fontId="2" type="noConversion"/>
  </si>
  <si>
    <t>Flag-CLK2 (ng)</t>
    <phoneticPr fontId="2" type="noConversion"/>
  </si>
  <si>
    <t>Figure 1h</t>
    <phoneticPr fontId="2" type="noConversion"/>
  </si>
  <si>
    <t>relative expression</t>
    <phoneticPr fontId="2" type="noConversion"/>
  </si>
  <si>
    <t>#1</t>
    <phoneticPr fontId="2" type="noConversion"/>
  </si>
  <si>
    <t>#2</t>
    <phoneticPr fontId="2" type="noConversion"/>
  </si>
  <si>
    <t>#3</t>
    <phoneticPr fontId="2" type="noConversion"/>
  </si>
  <si>
    <t>GAPDH</t>
    <phoneticPr fontId="2" type="noConversion"/>
  </si>
  <si>
    <t>CLK2</t>
    <phoneticPr fontId="2" type="noConversion"/>
  </si>
  <si>
    <t>15'</t>
    <phoneticPr fontId="2" type="noConversion"/>
  </si>
  <si>
    <t>30'</t>
    <phoneticPr fontId="2" type="noConversion"/>
  </si>
  <si>
    <t>SeV</t>
    <phoneticPr fontId="2" type="noConversion"/>
  </si>
  <si>
    <t>gapdh</t>
    <phoneticPr fontId="2" type="noConversion"/>
  </si>
  <si>
    <t>Figure 2b</t>
    <phoneticPr fontId="2" type="noConversion"/>
  </si>
  <si>
    <t>GAPDH</t>
  </si>
  <si>
    <t>WT</t>
  </si>
  <si>
    <t>CLK2</t>
  </si>
  <si>
    <t>-/-</t>
  </si>
  <si>
    <t>wt x</t>
  </si>
  <si>
    <t>ACTIN</t>
  </si>
  <si>
    <t>clk2</t>
  </si>
  <si>
    <t>ko x</t>
  </si>
  <si>
    <t>MLFs</t>
    <phoneticPr fontId="2" type="noConversion"/>
  </si>
  <si>
    <t>Figure 2c</t>
    <phoneticPr fontId="2" type="noConversion"/>
  </si>
  <si>
    <t>+0</t>
  </si>
  <si>
    <t>actin</t>
  </si>
  <si>
    <t>Il1b</t>
  </si>
  <si>
    <t>+</t>
    <phoneticPr fontId="2" type="noConversion"/>
  </si>
  <si>
    <t>-0</t>
  </si>
  <si>
    <t>10'</t>
    <phoneticPr fontId="2" type="noConversion"/>
  </si>
  <si>
    <t>+10'</t>
  </si>
  <si>
    <t>-10'</t>
  </si>
  <si>
    <t>+30'</t>
  </si>
  <si>
    <t>-30'</t>
  </si>
  <si>
    <t>+1</t>
  </si>
  <si>
    <t>-1</t>
  </si>
  <si>
    <t>+3</t>
  </si>
  <si>
    <t>-3</t>
  </si>
  <si>
    <t>+6</t>
  </si>
  <si>
    <t>-6</t>
  </si>
  <si>
    <t>Tnfa</t>
  </si>
  <si>
    <t>Tnfa</t>
    <phoneticPr fontId="2" type="noConversion"/>
  </si>
  <si>
    <t>Il-1β</t>
    <phoneticPr fontId="2" type="noConversion"/>
  </si>
  <si>
    <t>Nfkbia</t>
  </si>
  <si>
    <t>BMDCs</t>
  </si>
  <si>
    <t>BMDCs</t>
    <phoneticPr fontId="2" type="noConversion"/>
  </si>
  <si>
    <t xml:space="preserve"> Figure 2d </t>
    <phoneticPr fontId="2" type="noConversion"/>
  </si>
  <si>
    <t>OD450</t>
    <phoneticPr fontId="2" type="noConversion"/>
  </si>
  <si>
    <t>LPS</t>
    <phoneticPr fontId="2" type="noConversion"/>
  </si>
  <si>
    <t>0+</t>
    <phoneticPr fontId="2" type="noConversion"/>
  </si>
  <si>
    <t>0-</t>
    <phoneticPr fontId="2" type="noConversion"/>
  </si>
  <si>
    <t>3+</t>
    <phoneticPr fontId="2" type="noConversion"/>
  </si>
  <si>
    <t>3-</t>
    <phoneticPr fontId="2" type="noConversion"/>
  </si>
  <si>
    <t>6+</t>
    <phoneticPr fontId="2" type="noConversion"/>
  </si>
  <si>
    <t>6-</t>
    <phoneticPr fontId="2" type="noConversion"/>
  </si>
  <si>
    <t>OD630</t>
    <phoneticPr fontId="2" type="noConversion"/>
  </si>
  <si>
    <t>OD450-OD630</t>
    <phoneticPr fontId="2" type="noConversion"/>
  </si>
  <si>
    <t>LPS</t>
  </si>
  <si>
    <t>0+</t>
  </si>
  <si>
    <t>0-</t>
  </si>
  <si>
    <t>3+</t>
  </si>
  <si>
    <t>3-</t>
  </si>
  <si>
    <t>6+</t>
  </si>
  <si>
    <t>6-</t>
  </si>
  <si>
    <t>y=0.0014x</t>
  </si>
  <si>
    <t>standard curve</t>
    <phoneticPr fontId="2" type="noConversion"/>
  </si>
  <si>
    <t>dilute * 2</t>
    <phoneticPr fontId="2" type="noConversion"/>
  </si>
  <si>
    <t>od</t>
    <phoneticPr fontId="2" type="noConversion"/>
  </si>
  <si>
    <t>Il-1b</t>
    <phoneticPr fontId="2" type="noConversion"/>
  </si>
  <si>
    <t>y=0.0032x-0.1545</t>
    <phoneticPr fontId="2" type="noConversion"/>
  </si>
  <si>
    <t>pg/ml</t>
    <phoneticPr fontId="2" type="noConversion"/>
  </si>
  <si>
    <t>Figure 2e</t>
    <phoneticPr fontId="2" type="noConversion"/>
  </si>
  <si>
    <t>Figure 3a</t>
    <phoneticPr fontId="2" type="noConversion"/>
  </si>
  <si>
    <t>Figure 3b</t>
    <phoneticPr fontId="2" type="noConversion"/>
  </si>
  <si>
    <t>Figure 3d</t>
    <phoneticPr fontId="2" type="noConversion"/>
  </si>
  <si>
    <t>Figure 3f</t>
    <phoneticPr fontId="2" type="noConversion"/>
  </si>
  <si>
    <t>Figure 3g</t>
    <phoneticPr fontId="2" type="noConversion"/>
  </si>
  <si>
    <t>Figure 4a</t>
    <phoneticPr fontId="2" type="noConversion"/>
  </si>
  <si>
    <t>Figure 4b</t>
    <phoneticPr fontId="2" type="noConversion"/>
  </si>
  <si>
    <t>Figure 4c</t>
    <phoneticPr fontId="2" type="noConversion"/>
  </si>
  <si>
    <t>Figure 4d</t>
    <phoneticPr fontId="2" type="noConversion"/>
  </si>
  <si>
    <t>Figure 4e</t>
    <phoneticPr fontId="2" type="noConversion"/>
  </si>
  <si>
    <t>Figure 4f</t>
    <phoneticPr fontId="2" type="noConversion"/>
  </si>
  <si>
    <t>blank</t>
  </si>
  <si>
    <t>clk2</t>
    <phoneticPr fontId="2" type="noConversion"/>
  </si>
  <si>
    <t>tubulin</t>
    <phoneticPr fontId="2" type="noConversion"/>
  </si>
  <si>
    <t>p65</t>
    <phoneticPr fontId="2" type="noConversion"/>
  </si>
  <si>
    <t>relative p65</t>
    <phoneticPr fontId="2" type="noConversion"/>
  </si>
  <si>
    <t>wt</t>
    <phoneticPr fontId="2" type="noConversion"/>
  </si>
  <si>
    <t>cytoplasm</t>
    <phoneticPr fontId="2" type="noConversion"/>
  </si>
  <si>
    <t>ko</t>
    <phoneticPr fontId="2" type="noConversion"/>
  </si>
  <si>
    <t>laminAC</t>
    <phoneticPr fontId="2" type="noConversion"/>
  </si>
  <si>
    <t>nucleus</t>
    <phoneticPr fontId="2" type="noConversion"/>
  </si>
  <si>
    <t>Figure 5a</t>
    <phoneticPr fontId="2" type="noConversion"/>
  </si>
  <si>
    <t>Figure 5d</t>
    <phoneticPr fontId="2" type="noConversion"/>
  </si>
  <si>
    <t>ko sev</t>
  </si>
  <si>
    <t>ctrl</t>
  </si>
  <si>
    <t>sev</t>
  </si>
  <si>
    <t>wt</t>
  </si>
  <si>
    <t>ko</t>
  </si>
  <si>
    <t>sa</t>
    <phoneticPr fontId="2" type="noConversion"/>
  </si>
  <si>
    <t>sd</t>
    <phoneticPr fontId="2" type="noConversion"/>
  </si>
  <si>
    <t>Figure 5e</t>
    <phoneticPr fontId="2" type="noConversion"/>
  </si>
  <si>
    <t>gapdh</t>
  </si>
  <si>
    <t>ifnb</t>
  </si>
  <si>
    <t>wt sev</t>
  </si>
  <si>
    <t>Undetermined</t>
  </si>
  <si>
    <t>Ctrl</t>
    <phoneticPr fontId="3" type="noConversion"/>
  </si>
  <si>
    <t>SeV</t>
    <phoneticPr fontId="3" type="noConversion"/>
  </si>
  <si>
    <t>WT</t>
    <phoneticPr fontId="3" type="noConversion"/>
  </si>
  <si>
    <t>ko</t>
    <phoneticPr fontId="3" type="noConversion"/>
  </si>
  <si>
    <t>180A</t>
    <phoneticPr fontId="3" type="noConversion"/>
  </si>
  <si>
    <t>180D</t>
    <phoneticPr fontId="3" type="noConversion"/>
  </si>
  <si>
    <t>ikba</t>
  </si>
  <si>
    <t>Ikba</t>
    <phoneticPr fontId="2" type="noConversion"/>
  </si>
  <si>
    <t>Figure 5g</t>
    <phoneticPr fontId="2" type="noConversion"/>
  </si>
  <si>
    <t>wt0</t>
  </si>
  <si>
    <t>TNFa</t>
  </si>
  <si>
    <t>wt0.5</t>
  </si>
  <si>
    <t>wt1</t>
  </si>
  <si>
    <t>wt4</t>
  </si>
  <si>
    <t>wt6</t>
  </si>
  <si>
    <t>wt12</t>
  </si>
  <si>
    <t>ko0</t>
  </si>
  <si>
    <t>ko0.5</t>
  </si>
  <si>
    <t>ko1</t>
  </si>
  <si>
    <t>ko4</t>
  </si>
  <si>
    <t>ko6</t>
  </si>
  <si>
    <t>ko12</t>
  </si>
  <si>
    <t>a0</t>
  </si>
  <si>
    <t>a0.5</t>
  </si>
  <si>
    <t>a1</t>
  </si>
  <si>
    <t>a4</t>
  </si>
  <si>
    <t>a6</t>
  </si>
  <si>
    <t>a12</t>
  </si>
  <si>
    <t>d0</t>
  </si>
  <si>
    <t>d0.5</t>
  </si>
  <si>
    <t>d1</t>
  </si>
  <si>
    <t>d4</t>
  </si>
  <si>
    <t>d6</t>
  </si>
  <si>
    <t>d12</t>
  </si>
  <si>
    <t>a</t>
    <phoneticPr fontId="2" type="noConversion"/>
  </si>
  <si>
    <t>d</t>
    <phoneticPr fontId="2" type="noConversion"/>
  </si>
  <si>
    <t>IFNB1</t>
    <phoneticPr fontId="2" type="noConversion"/>
  </si>
  <si>
    <t>IKba</t>
  </si>
  <si>
    <t>IkBa</t>
  </si>
  <si>
    <t>IkBa</t>
    <phoneticPr fontId="2" type="noConversion"/>
  </si>
  <si>
    <t>p65 input</t>
  </si>
  <si>
    <t>IFN-B1</t>
  </si>
  <si>
    <t>igG</t>
    <phoneticPr fontId="2" type="noConversion"/>
  </si>
  <si>
    <t>p65 IgG</t>
  </si>
  <si>
    <t>HA</t>
    <phoneticPr fontId="2" type="noConversion"/>
  </si>
  <si>
    <t>p65 HA</t>
  </si>
  <si>
    <t>s180A input</t>
  </si>
  <si>
    <t>s180A IgG</t>
  </si>
  <si>
    <t>s180A HA</t>
  </si>
  <si>
    <t>s180D input</t>
  </si>
  <si>
    <t>IFN-B2</t>
  </si>
  <si>
    <t>s180D IgG</t>
  </si>
  <si>
    <t>s180D HA</t>
  </si>
  <si>
    <t>IFNB1-2</t>
  </si>
  <si>
    <t>Figure 6c</t>
    <phoneticPr fontId="2" type="noConversion"/>
  </si>
  <si>
    <t>wt&amp;SD</t>
    <phoneticPr fontId="2" type="noConversion"/>
  </si>
  <si>
    <t>CRM1</t>
    <phoneticPr fontId="2" type="noConversion"/>
  </si>
  <si>
    <t>relative CRM1</t>
    <phoneticPr fontId="2" type="noConversion"/>
  </si>
  <si>
    <t>relative IkBa</t>
    <phoneticPr fontId="2" type="noConversion"/>
  </si>
  <si>
    <t>TNFa</t>
    <phoneticPr fontId="2" type="noConversion"/>
  </si>
  <si>
    <t>Figure 6d</t>
    <phoneticPr fontId="2" type="noConversion"/>
  </si>
  <si>
    <t>WT&amp;SA</t>
    <phoneticPr fontId="2" type="noConversion"/>
  </si>
  <si>
    <t>Figure 6e</t>
    <phoneticPr fontId="2" type="noConversion"/>
  </si>
  <si>
    <t>Figure 6f</t>
    <phoneticPr fontId="2" type="noConversion"/>
  </si>
  <si>
    <t>Figure 1a</t>
    <phoneticPr fontId="2" type="noConversion"/>
  </si>
  <si>
    <t>Figure 1b</t>
    <phoneticPr fontId="2" type="noConversion"/>
  </si>
  <si>
    <t>Figure 1c</t>
    <phoneticPr fontId="2" type="noConversion"/>
  </si>
  <si>
    <t>Figure 1d</t>
    <phoneticPr fontId="2" type="noConversion"/>
  </si>
  <si>
    <t>Figure 7b</t>
    <phoneticPr fontId="2" type="noConversion"/>
  </si>
  <si>
    <t>Figure 7c</t>
    <phoneticPr fontId="2" type="noConversion"/>
  </si>
  <si>
    <t>DMSO</t>
    <phoneticPr fontId="2" type="noConversion"/>
  </si>
  <si>
    <t>10mg</t>
    <phoneticPr fontId="2" type="noConversion"/>
  </si>
  <si>
    <t>20mg</t>
    <phoneticPr fontId="2" type="noConversion"/>
  </si>
  <si>
    <t>1ul</t>
    <phoneticPr fontId="2" type="noConversion"/>
  </si>
  <si>
    <t>0.1ul</t>
    <phoneticPr fontId="2" type="noConversion"/>
  </si>
  <si>
    <t>0.01ul</t>
    <phoneticPr fontId="2" type="noConversion"/>
  </si>
  <si>
    <t>0.001ul</t>
    <phoneticPr fontId="2" type="noConversion"/>
  </si>
  <si>
    <t>Figure 7f</t>
    <phoneticPr fontId="2" type="noConversion"/>
  </si>
  <si>
    <t>pfu/mL</t>
    <phoneticPr fontId="2" type="noConversion"/>
  </si>
  <si>
    <t>TG003</t>
    <phoneticPr fontId="2" type="noConversion"/>
  </si>
  <si>
    <t>Figure 7g</t>
    <phoneticPr fontId="2" type="noConversion"/>
  </si>
  <si>
    <t>wt-average</t>
    <phoneticPr fontId="6" type="noConversion"/>
  </si>
  <si>
    <t>Normalize</t>
    <phoneticPr fontId="6" type="noConversion"/>
  </si>
  <si>
    <t>CTRL</t>
    <phoneticPr fontId="6" type="noConversion"/>
  </si>
  <si>
    <t>Ctrl</t>
    <phoneticPr fontId="6" type="noConversion"/>
  </si>
  <si>
    <t>IMQ</t>
    <phoneticPr fontId="6" type="noConversion"/>
  </si>
  <si>
    <t>TG003</t>
    <phoneticPr fontId="6" type="noConversion"/>
  </si>
  <si>
    <t>Figure 7h</t>
    <phoneticPr fontId="2" type="noConversion"/>
  </si>
  <si>
    <t>μm</t>
    <phoneticPr fontId="6" type="noConversion"/>
  </si>
  <si>
    <t>wt</t>
    <phoneticPr fontId="6" type="noConversion"/>
  </si>
  <si>
    <t>ko</t>
    <phoneticPr fontId="6" type="noConversion"/>
  </si>
  <si>
    <t>Figure 7i</t>
    <phoneticPr fontId="2" type="noConversion"/>
  </si>
  <si>
    <t>wt-x1</t>
  </si>
  <si>
    <t>il17a</t>
  </si>
  <si>
    <t>wt-x2</t>
  </si>
  <si>
    <t>wt-x3</t>
  </si>
  <si>
    <t>wt-x4</t>
  </si>
  <si>
    <t>wt-x5</t>
  </si>
  <si>
    <t>wt-x6</t>
  </si>
  <si>
    <t>wt-x7</t>
  </si>
  <si>
    <t>wt-i1</t>
  </si>
  <si>
    <t>wt-i2</t>
  </si>
  <si>
    <t>wt-i3</t>
  </si>
  <si>
    <t>wt-i4</t>
  </si>
  <si>
    <t>wt-i5</t>
  </si>
  <si>
    <t>wt-i6</t>
  </si>
  <si>
    <t>wt-i7</t>
  </si>
  <si>
    <t>ko-x1</t>
    <phoneticPr fontId="2" type="noConversion"/>
  </si>
  <si>
    <t>ko-x2</t>
  </si>
  <si>
    <t>ko-x3</t>
  </si>
  <si>
    <t>ko-x4</t>
  </si>
  <si>
    <t>ko-x5</t>
  </si>
  <si>
    <t>ko-x6</t>
  </si>
  <si>
    <t>ko-i1</t>
  </si>
  <si>
    <t>ko-i2</t>
  </si>
  <si>
    <t>ko-i3</t>
  </si>
  <si>
    <t>ko-i4</t>
  </si>
  <si>
    <t>ko-i5</t>
  </si>
  <si>
    <t>ko-i6</t>
  </si>
  <si>
    <t>WT</t>
    <phoneticPr fontId="2" type="noConversion"/>
  </si>
  <si>
    <t>KO</t>
    <phoneticPr fontId="2" type="noConversion"/>
  </si>
  <si>
    <t>Ctrl</t>
    <phoneticPr fontId="2" type="noConversion"/>
  </si>
  <si>
    <t>IMQ</t>
    <phoneticPr fontId="2" type="noConversion"/>
  </si>
  <si>
    <t>d-x1</t>
  </si>
  <si>
    <t>d-x2</t>
  </si>
  <si>
    <t>d-x3</t>
  </si>
  <si>
    <t>d-x4</t>
  </si>
  <si>
    <t>d-x5</t>
  </si>
  <si>
    <t>d-x6</t>
  </si>
  <si>
    <t>d-i1</t>
  </si>
  <si>
    <t>d-i2</t>
  </si>
  <si>
    <t>d-i3</t>
  </si>
  <si>
    <t>d-i4</t>
  </si>
  <si>
    <t>d-i5</t>
  </si>
  <si>
    <t>d-i6</t>
  </si>
  <si>
    <t>tg-x1</t>
  </si>
  <si>
    <t>tg-x2</t>
  </si>
  <si>
    <t>tg-x3</t>
  </si>
  <si>
    <t>tg-x4</t>
  </si>
  <si>
    <t>tg-x5</t>
  </si>
  <si>
    <t>tg-x6</t>
  </si>
  <si>
    <t>tg-i1</t>
  </si>
  <si>
    <t>tg-i2</t>
  </si>
  <si>
    <t>tg-i3</t>
  </si>
  <si>
    <t>tg-i4</t>
  </si>
  <si>
    <t>tg-i5</t>
  </si>
  <si>
    <t>tg-i6</t>
  </si>
  <si>
    <t>Figure 7j</t>
    <phoneticPr fontId="2" type="noConversion"/>
  </si>
  <si>
    <t>il17f</t>
  </si>
  <si>
    <t>d-i7</t>
  </si>
  <si>
    <t>dmso</t>
    <phoneticPr fontId="2" type="noConversion"/>
  </si>
  <si>
    <t>tg003</t>
    <phoneticPr fontId="2" type="noConversion"/>
  </si>
  <si>
    <t>ctrl</t>
    <phoneticPr fontId="2" type="noConversion"/>
  </si>
  <si>
    <t>Supplementary Figure 1a</t>
    <phoneticPr fontId="2" type="noConversion"/>
  </si>
  <si>
    <t>0+IFNr</t>
    <phoneticPr fontId="3" type="noConversion"/>
  </si>
  <si>
    <t>CLK2+IFNr</t>
    <phoneticPr fontId="3" type="noConversion"/>
  </si>
  <si>
    <t>clk2+ifnr</t>
    <phoneticPr fontId="3" type="noConversion"/>
  </si>
  <si>
    <t>0+IFNr</t>
    <phoneticPr fontId="2" type="noConversion"/>
  </si>
  <si>
    <t>Supplementary Figure 1c</t>
    <phoneticPr fontId="2" type="noConversion"/>
  </si>
  <si>
    <t>293 s0</t>
  </si>
  <si>
    <t>s6</t>
  </si>
  <si>
    <t>s12</t>
  </si>
  <si>
    <t>s24</t>
  </si>
  <si>
    <t>s48</t>
  </si>
  <si>
    <t>Supplementary Figure 1d</t>
    <phoneticPr fontId="2" type="noConversion"/>
  </si>
  <si>
    <t>IFNB1</t>
    <phoneticPr fontId="3" type="noConversion"/>
  </si>
  <si>
    <t>actin</t>
    <phoneticPr fontId="3" type="noConversion"/>
  </si>
  <si>
    <t>293t-0</t>
  </si>
  <si>
    <t>293t-3</t>
  </si>
  <si>
    <t>293t-6</t>
  </si>
  <si>
    <t>293t-9</t>
  </si>
  <si>
    <t>293t-12</t>
  </si>
  <si>
    <t>293t-24</t>
    <phoneticPr fontId="3" type="noConversion"/>
  </si>
  <si>
    <t>p65-0</t>
  </si>
  <si>
    <t>p65-3</t>
  </si>
  <si>
    <t>p65-6</t>
  </si>
  <si>
    <t>p65-9</t>
  </si>
  <si>
    <t>p65-12</t>
  </si>
  <si>
    <t>p65-24</t>
  </si>
  <si>
    <t>CLK2</t>
    <phoneticPr fontId="3" type="noConversion"/>
  </si>
  <si>
    <t>ACTIN</t>
    <phoneticPr fontId="3" type="noConversion"/>
  </si>
  <si>
    <t>293-0</t>
  </si>
  <si>
    <t>293-0.5</t>
  </si>
  <si>
    <t>p65-0.5</t>
  </si>
  <si>
    <t>293-1</t>
  </si>
  <si>
    <t>p65-1</t>
  </si>
  <si>
    <t>293-3</t>
  </si>
  <si>
    <t>293-4</t>
  </si>
  <si>
    <t>p65-4</t>
  </si>
  <si>
    <t>293-6</t>
  </si>
  <si>
    <t>293T-0.5</t>
  </si>
  <si>
    <t>239T-1</t>
  </si>
  <si>
    <t>293T-3</t>
  </si>
  <si>
    <t>293T-4</t>
  </si>
  <si>
    <t>293T-6</t>
  </si>
  <si>
    <t>P65-0</t>
  </si>
  <si>
    <t>P65-0.5</t>
  </si>
  <si>
    <t>P65-1</t>
  </si>
  <si>
    <t>P65-3</t>
  </si>
  <si>
    <t>P65-4</t>
  </si>
  <si>
    <t>P65-6</t>
  </si>
  <si>
    <t>Supplementary Figure 2a</t>
    <phoneticPr fontId="2" type="noConversion"/>
  </si>
  <si>
    <t>(g)</t>
    <phoneticPr fontId="2" type="noConversion"/>
  </si>
  <si>
    <r>
      <rPr>
        <i/>
        <sz val="12"/>
        <color theme="1"/>
        <rFont val="等线"/>
        <family val="4"/>
        <charset val="134"/>
        <scheme val="minor"/>
      </rPr>
      <t>Clk2</t>
    </r>
    <r>
      <rPr>
        <vertAlign val="superscript"/>
        <sz val="12"/>
        <color theme="1"/>
        <rFont val="等线 (正文)"/>
        <family val="3"/>
        <charset val="134"/>
      </rPr>
      <t>+/+</t>
    </r>
    <phoneticPr fontId="2" type="noConversion"/>
  </si>
  <si>
    <r>
      <rPr>
        <i/>
        <sz val="12"/>
        <color theme="1"/>
        <rFont val="等线"/>
        <family val="4"/>
        <charset val="134"/>
        <scheme val="minor"/>
      </rPr>
      <t>Clk2</t>
    </r>
    <r>
      <rPr>
        <vertAlign val="superscript"/>
        <sz val="12"/>
        <color theme="1"/>
        <rFont val="等线 (正文)"/>
      </rPr>
      <t>-/-</t>
    </r>
    <phoneticPr fontId="2" type="noConversion"/>
  </si>
  <si>
    <t>Supplementary Figure 2b</t>
    <phoneticPr fontId="2" type="noConversion"/>
  </si>
  <si>
    <t>Thymus</t>
    <phoneticPr fontId="2" type="noConversion"/>
  </si>
  <si>
    <t>Supplementary Figure 2c</t>
    <phoneticPr fontId="2" type="noConversion"/>
  </si>
  <si>
    <t>spleen</t>
    <phoneticPr fontId="2" type="noConversion"/>
  </si>
  <si>
    <t>Supplementary Figure 2d</t>
    <phoneticPr fontId="2" type="noConversion"/>
  </si>
  <si>
    <t>10’</t>
    <phoneticPr fontId="2" type="noConversion"/>
  </si>
  <si>
    <t>IL-1beta</t>
  </si>
  <si>
    <t>IL-1beta</t>
    <phoneticPr fontId="2" type="noConversion"/>
  </si>
  <si>
    <t>tnfa</t>
  </si>
  <si>
    <t>10</t>
  </si>
  <si>
    <t>-10</t>
  </si>
  <si>
    <t>1</t>
  </si>
  <si>
    <t>3</t>
  </si>
  <si>
    <t>6</t>
  </si>
  <si>
    <t>Supplementary Figure 2e</t>
    <phoneticPr fontId="2" type="noConversion"/>
  </si>
  <si>
    <t>elution*2</t>
    <phoneticPr fontId="2" type="noConversion"/>
  </si>
  <si>
    <t>+</t>
  </si>
  <si>
    <t>Il1b</t>
    <phoneticPr fontId="2" type="noConversion"/>
  </si>
  <si>
    <t>Supplementary Figure 2f</t>
    <phoneticPr fontId="2" type="noConversion"/>
  </si>
  <si>
    <t>Supplementary Figure 3a</t>
    <phoneticPr fontId="2" type="noConversion"/>
  </si>
  <si>
    <t>CLK2+/+</t>
    <phoneticPr fontId="2" type="noConversion"/>
  </si>
  <si>
    <t>CLK2-/-</t>
    <phoneticPr fontId="2" type="noConversion"/>
  </si>
  <si>
    <t>Supplementary Figure 3b</t>
    <phoneticPr fontId="2" type="noConversion"/>
  </si>
  <si>
    <t>Supplementary Figure 3c</t>
    <phoneticPr fontId="2" type="noConversion"/>
  </si>
  <si>
    <t>Supplementary Figure 3d</t>
    <phoneticPr fontId="2" type="noConversion"/>
  </si>
  <si>
    <t>Supplementary Figure 3g</t>
    <phoneticPr fontId="2" type="noConversion"/>
  </si>
  <si>
    <t>Supplementary Figure 3h</t>
    <phoneticPr fontId="2" type="noConversion"/>
  </si>
  <si>
    <t>Supplementary Figure 3i</t>
    <phoneticPr fontId="2" type="noConversion"/>
  </si>
  <si>
    <t>Supplementary Figure 3j</t>
    <phoneticPr fontId="2" type="noConversion"/>
  </si>
  <si>
    <t>Supplementary Figure 3l</t>
    <phoneticPr fontId="2" type="noConversion"/>
  </si>
  <si>
    <t>Supplementary Figure 4b</t>
    <phoneticPr fontId="2" type="noConversion"/>
  </si>
  <si>
    <t>BV</t>
    <phoneticPr fontId="2" type="noConversion"/>
  </si>
  <si>
    <t>Km</t>
    <phoneticPr fontId="2" type="noConversion"/>
  </si>
  <si>
    <t>X</t>
    <phoneticPr fontId="2" type="noConversion"/>
  </si>
  <si>
    <t>NF-κB</t>
    <phoneticPr fontId="3" type="noConversion"/>
  </si>
  <si>
    <t>control</t>
    <phoneticPr fontId="3" type="noConversion"/>
  </si>
  <si>
    <t>clk2</t>
    <phoneticPr fontId="3" type="noConversion"/>
  </si>
  <si>
    <t>clk2m</t>
    <phoneticPr fontId="3" type="noConversion"/>
  </si>
  <si>
    <t>-</t>
    <phoneticPr fontId="3" type="noConversion"/>
  </si>
  <si>
    <t>Supplementary Figure 4c</t>
    <phoneticPr fontId="2" type="noConversion"/>
  </si>
  <si>
    <t>BV</t>
    <phoneticPr fontId="3" type="noConversion"/>
  </si>
  <si>
    <t>Vec</t>
    <phoneticPr fontId="3" type="noConversion"/>
  </si>
  <si>
    <t>CLK2m</t>
    <phoneticPr fontId="3" type="noConversion"/>
  </si>
  <si>
    <t>BV+TNFa</t>
    <phoneticPr fontId="3" type="noConversion"/>
  </si>
  <si>
    <t>TNF</t>
    <phoneticPr fontId="3" type="noConversion"/>
  </si>
  <si>
    <t>CLK2+TNFa</t>
    <phoneticPr fontId="3" type="noConversion"/>
  </si>
  <si>
    <t>Km</t>
    <phoneticPr fontId="3" type="noConversion"/>
  </si>
  <si>
    <t>Km+TNFa</t>
    <phoneticPr fontId="3" type="noConversion"/>
  </si>
  <si>
    <t>Supplementary Figure 4d</t>
    <phoneticPr fontId="2" type="noConversion"/>
  </si>
  <si>
    <t>Supplementary Figure 5a</t>
    <phoneticPr fontId="2" type="noConversion"/>
  </si>
  <si>
    <t>Supplementary Figure 5b</t>
    <phoneticPr fontId="2" type="noConversion"/>
  </si>
  <si>
    <t>Supplementary Figure 5c</t>
    <phoneticPr fontId="2" type="noConversion"/>
  </si>
  <si>
    <t>Supplementary Figure 5i</t>
    <phoneticPr fontId="2" type="noConversion"/>
  </si>
  <si>
    <t>WT 0</t>
  </si>
  <si>
    <t>WT0.5</t>
  </si>
  <si>
    <t>WT1</t>
  </si>
  <si>
    <t>WT4</t>
  </si>
  <si>
    <t>WT6</t>
  </si>
  <si>
    <t>WT12</t>
  </si>
  <si>
    <t>D0</t>
  </si>
  <si>
    <t>D0.5</t>
  </si>
  <si>
    <t>D1</t>
  </si>
  <si>
    <t>D4</t>
  </si>
  <si>
    <t>D6</t>
  </si>
  <si>
    <t>D12</t>
  </si>
  <si>
    <t>IKBA</t>
  </si>
  <si>
    <t>Supplementary Figure 6a</t>
    <phoneticPr fontId="2" type="noConversion"/>
  </si>
  <si>
    <t>Supplementary Figure 6b</t>
    <phoneticPr fontId="2" type="noConversion"/>
  </si>
  <si>
    <t>Supplementary Figure 6c</t>
    <phoneticPr fontId="2" type="noConversion"/>
  </si>
  <si>
    <t>Supplementary Figure 6d</t>
    <phoneticPr fontId="2" type="noConversion"/>
  </si>
  <si>
    <t>Supplementary Figure 6e</t>
    <phoneticPr fontId="2" type="noConversion"/>
  </si>
  <si>
    <t>Supplementary Figure 6f</t>
    <phoneticPr fontId="2" type="noConversion"/>
  </si>
  <si>
    <t>Supplementary Figure 6g</t>
    <phoneticPr fontId="2" type="noConversion"/>
  </si>
  <si>
    <t>SA</t>
    <phoneticPr fontId="2" type="noConversion"/>
  </si>
  <si>
    <t>averrage</t>
    <phoneticPr fontId="2" type="noConversion"/>
  </si>
  <si>
    <t>SD</t>
    <phoneticPr fontId="2" type="noConversion"/>
  </si>
  <si>
    <t>Supplementary Figure 6h</t>
    <phoneticPr fontId="2" type="noConversion"/>
  </si>
  <si>
    <t>Supplementary Figure 6i</t>
    <phoneticPr fontId="2" type="noConversion"/>
  </si>
  <si>
    <t>Supplementary Figure 7b</t>
    <phoneticPr fontId="2" type="noConversion"/>
  </si>
  <si>
    <t>Supplementary Figure 7c</t>
    <phoneticPr fontId="2" type="noConversion"/>
  </si>
  <si>
    <t>Supplementary Figure 7d</t>
    <phoneticPr fontId="2" type="noConversion"/>
  </si>
  <si>
    <t>log10</t>
    <phoneticPr fontId="2" type="noConversion"/>
  </si>
  <si>
    <t>CTRL</t>
    <phoneticPr fontId="3" type="noConversion"/>
  </si>
  <si>
    <t>ctrl+CLK2</t>
    <phoneticPr fontId="3" type="noConversion"/>
  </si>
  <si>
    <t>RIG-I</t>
    <phoneticPr fontId="3" type="noConversion"/>
  </si>
  <si>
    <t>RIG-I+CLK2</t>
    <phoneticPr fontId="3" type="noConversion"/>
  </si>
  <si>
    <t>MAVS</t>
    <phoneticPr fontId="3" type="noConversion"/>
  </si>
  <si>
    <t>MAVS+CLK2</t>
    <phoneticPr fontId="3" type="noConversion"/>
  </si>
  <si>
    <t>bv</t>
    <phoneticPr fontId="2" type="noConversion"/>
  </si>
  <si>
    <t>rigi</t>
    <phoneticPr fontId="2" type="noConversion"/>
  </si>
  <si>
    <t>TAK1/TAB1</t>
    <phoneticPr fontId="3" type="noConversion"/>
  </si>
  <si>
    <t>mavs</t>
    <phoneticPr fontId="2" type="noConversion"/>
  </si>
  <si>
    <t>tab1/tak1</t>
    <phoneticPr fontId="2" type="noConversion"/>
  </si>
  <si>
    <t>ikkb</t>
    <phoneticPr fontId="2" type="noConversion"/>
  </si>
  <si>
    <t>TAK1/TAB1+CLK2</t>
    <phoneticPr fontId="3" type="noConversion"/>
  </si>
  <si>
    <t>IKKb</t>
    <phoneticPr fontId="3" type="noConversion"/>
  </si>
  <si>
    <t>IKKb+CLK2</t>
    <phoneticPr fontId="3" type="noConversion"/>
  </si>
  <si>
    <t>p65</t>
    <phoneticPr fontId="3" type="noConversion"/>
  </si>
  <si>
    <t>p65+CLK2</t>
    <phoneticPr fontId="2" type="noConversion"/>
  </si>
  <si>
    <t>LOG10</t>
    <phoneticPr fontId="2" type="noConversion"/>
  </si>
  <si>
    <t>vector</t>
    <phoneticPr fontId="2" type="noConversion"/>
  </si>
  <si>
    <t>vector+SeV</t>
    <phoneticPr fontId="2" type="noConversion"/>
  </si>
  <si>
    <t>taok3 100ng</t>
    <phoneticPr fontId="2" type="noConversion"/>
  </si>
  <si>
    <t>clk2 100ng</t>
    <phoneticPr fontId="2" type="noConversion"/>
  </si>
  <si>
    <t>blk 100ng</t>
    <phoneticPr fontId="2" type="noConversion"/>
  </si>
  <si>
    <t>map2k7 100ng</t>
    <phoneticPr fontId="2" type="noConversion"/>
  </si>
  <si>
    <t>hipk1 100ng</t>
    <phoneticPr fontId="2" type="noConversion"/>
  </si>
  <si>
    <t>ZV32</t>
    <phoneticPr fontId="2" type="noConversion"/>
  </si>
  <si>
    <t>ZV32+SEV</t>
    <phoneticPr fontId="2" type="noConversion"/>
  </si>
  <si>
    <t>D10 100</t>
    <phoneticPr fontId="2" type="noConversion"/>
  </si>
  <si>
    <t>D10 200</t>
    <phoneticPr fontId="2" type="noConversion"/>
  </si>
  <si>
    <t>D10 400</t>
    <phoneticPr fontId="2" type="noConversion"/>
  </si>
  <si>
    <t>D10  100</t>
    <phoneticPr fontId="2" type="noConversion"/>
  </si>
  <si>
    <t>D10  400</t>
    <phoneticPr fontId="2" type="noConversion"/>
  </si>
  <si>
    <r>
      <t>C</t>
    </r>
    <r>
      <rPr>
        <sz val="11"/>
        <color rgb="FF000000"/>
        <rFont val="Calibri"/>
        <family val="2"/>
      </rPr>
      <t>T</t>
    </r>
  </si>
  <si>
    <r>
      <rPr>
        <sz val="11"/>
        <color rgb="FF000000"/>
        <rFont val="宋体"/>
        <family val="3"/>
        <charset val="134"/>
      </rPr>
      <t>△</t>
    </r>
    <r>
      <rPr>
        <sz val="11"/>
        <color rgb="FF000000"/>
        <rFont val="Calibri"/>
        <family val="2"/>
      </rPr>
      <t>CT</t>
    </r>
  </si>
  <si>
    <r>
      <t>2^-</t>
    </r>
    <r>
      <rPr>
        <sz val="11"/>
        <color rgb="FF000000"/>
        <rFont val="宋体"/>
        <family val="3"/>
        <charset val="134"/>
      </rPr>
      <t>△</t>
    </r>
    <r>
      <rPr>
        <sz val="11"/>
        <color rgb="FF000000"/>
        <rFont val="Calibri"/>
        <family val="2"/>
      </rPr>
      <t>CT</t>
    </r>
  </si>
  <si>
    <r>
      <t>S</t>
    </r>
    <r>
      <rPr>
        <sz val="11"/>
        <color rgb="FF000000"/>
        <rFont val="Calibri"/>
        <family val="2"/>
      </rPr>
      <t>TDEVA</t>
    </r>
  </si>
  <si>
    <t>SQRT</t>
    <phoneticPr fontId="3" type="noConversion"/>
  </si>
  <si>
    <t>STDEVA/SQRT</t>
    <phoneticPr fontId="3" type="noConversion"/>
  </si>
  <si>
    <t>ZV32</t>
  </si>
  <si>
    <t>IFNB</t>
  </si>
  <si>
    <t>ZV32+SEV</t>
  </si>
  <si>
    <t>CLK2+SEV</t>
  </si>
  <si>
    <t>RANTES</t>
  </si>
  <si>
    <t>STDEVA/SQRT</t>
  </si>
  <si>
    <t>BMDMs</t>
  </si>
  <si>
    <t>ifnb</t>
    <phoneticPr fontId="1" type="noConversion"/>
  </si>
  <si>
    <t>wt</t>
    <phoneticPr fontId="1" type="noConversion"/>
  </si>
  <si>
    <t>ko</t>
    <phoneticPr fontId="1" type="noConversion"/>
  </si>
  <si>
    <t>Ctrl</t>
    <phoneticPr fontId="1" type="noConversion"/>
  </si>
  <si>
    <t>SeV</t>
    <phoneticPr fontId="1" type="noConversion"/>
  </si>
  <si>
    <t>ISD45</t>
    <phoneticPr fontId="1" type="noConversion"/>
  </si>
  <si>
    <t>HSV</t>
    <phoneticPr fontId="1" type="noConversion"/>
  </si>
  <si>
    <t>HSV60</t>
    <phoneticPr fontId="1" type="noConversion"/>
  </si>
  <si>
    <t>DNA90</t>
    <phoneticPr fontId="1" type="noConversion"/>
  </si>
  <si>
    <t>HSV120</t>
    <phoneticPr fontId="1" type="noConversion"/>
  </si>
  <si>
    <t>rantes</t>
  </si>
  <si>
    <t>Ctrl</t>
  </si>
  <si>
    <t>SeV</t>
  </si>
  <si>
    <t>ISD45</t>
  </si>
  <si>
    <t>HSV</t>
  </si>
  <si>
    <t>HSV60</t>
  </si>
  <si>
    <t>DNA90</t>
  </si>
  <si>
    <t>HSV120</t>
  </si>
  <si>
    <t>ko hsv</t>
  </si>
  <si>
    <t>wt hsv</t>
  </si>
  <si>
    <t>ko 45</t>
  </si>
  <si>
    <t>wt 45</t>
  </si>
  <si>
    <t>ko 60</t>
  </si>
  <si>
    <t>wt 60</t>
  </si>
  <si>
    <t>ko 90</t>
  </si>
  <si>
    <t>wt 90</t>
  </si>
  <si>
    <t>ko 120</t>
  </si>
  <si>
    <t>wt 120</t>
  </si>
  <si>
    <t>MLF</t>
  </si>
  <si>
    <t>MLFs</t>
  </si>
  <si>
    <t>IFNB</t>
    <phoneticPr fontId="1" type="noConversion"/>
  </si>
  <si>
    <t>KO</t>
  </si>
  <si>
    <t>dilution x5</t>
  </si>
  <si>
    <t>222.98x-16.155</t>
  </si>
  <si>
    <t>BMDMs</t>
    <phoneticPr fontId="1" type="noConversion"/>
  </si>
  <si>
    <t>WT</t>
    <phoneticPr fontId="1" type="noConversion"/>
  </si>
  <si>
    <t>KO</t>
    <phoneticPr fontId="1" type="noConversion"/>
  </si>
  <si>
    <t>bmdms</t>
    <phoneticPr fontId="1" type="noConversion"/>
  </si>
  <si>
    <t>wt x</t>
    <phoneticPr fontId="1" type="noConversion"/>
  </si>
  <si>
    <t>wt 45</t>
    <phoneticPr fontId="1" type="noConversion"/>
  </si>
  <si>
    <t>wt 60</t>
    <phoneticPr fontId="1" type="noConversion"/>
  </si>
  <si>
    <t>wt 90</t>
    <phoneticPr fontId="1" type="noConversion"/>
  </si>
  <si>
    <t>wt 120</t>
    <phoneticPr fontId="1" type="noConversion"/>
  </si>
  <si>
    <t>dilutionX5</t>
  </si>
  <si>
    <t>bmdm</t>
    <phoneticPr fontId="1" type="noConversion"/>
  </si>
  <si>
    <t>57.409xx+57.732x+9.3818</t>
  </si>
  <si>
    <t>5ul</t>
    <phoneticPr fontId="1" type="noConversion"/>
  </si>
  <si>
    <t>0.5ul</t>
    <phoneticPr fontId="1" type="noConversion"/>
  </si>
  <si>
    <t>0.05ul</t>
    <phoneticPr fontId="1" type="noConversion"/>
  </si>
  <si>
    <t>0.005ul</t>
    <phoneticPr fontId="1" type="noConversion"/>
  </si>
  <si>
    <t>a</t>
  </si>
  <si>
    <t>d</t>
  </si>
  <si>
    <t>DMSO O</t>
  </si>
  <si>
    <t>DMS0 0.1</t>
  </si>
  <si>
    <t>003 0</t>
  </si>
  <si>
    <t>003 0.1</t>
  </si>
  <si>
    <t>199.16x-6.6134</t>
  </si>
  <si>
    <t xml:space="preserve"> dilution 40X</t>
  </si>
  <si>
    <t>dmso 24-1</t>
    <phoneticPr fontId="1" type="noConversion"/>
  </si>
  <si>
    <t>dmso 24-2</t>
    <phoneticPr fontId="1" type="noConversion"/>
  </si>
  <si>
    <t>dmso 24-3</t>
    <phoneticPr fontId="1" type="noConversion"/>
  </si>
  <si>
    <t>dmso 24-4</t>
    <phoneticPr fontId="1" type="noConversion"/>
  </si>
  <si>
    <t>dmso 24-5</t>
    <phoneticPr fontId="1" type="noConversion"/>
  </si>
  <si>
    <t>tg 24-1</t>
    <phoneticPr fontId="1" type="noConversion"/>
  </si>
  <si>
    <t>tg 24-2</t>
    <phoneticPr fontId="1" type="noConversion"/>
  </si>
  <si>
    <t>tg 24-3</t>
    <phoneticPr fontId="1" type="noConversion"/>
  </si>
  <si>
    <t>tg 24-4</t>
    <phoneticPr fontId="1" type="noConversion"/>
  </si>
  <si>
    <t>dmso 48-1</t>
    <phoneticPr fontId="1" type="noConversion"/>
  </si>
  <si>
    <t>dmso 48-2</t>
    <phoneticPr fontId="1" type="noConversion"/>
  </si>
  <si>
    <t>dmso 48-3</t>
    <phoneticPr fontId="1" type="noConversion"/>
  </si>
  <si>
    <t>dmso 48-4</t>
    <phoneticPr fontId="1" type="noConversion"/>
  </si>
  <si>
    <t>dmso 48-5</t>
    <phoneticPr fontId="1" type="noConversion"/>
  </si>
  <si>
    <t>tg 48-1</t>
    <phoneticPr fontId="1" type="noConversion"/>
  </si>
  <si>
    <t>tg 48-2</t>
    <phoneticPr fontId="1" type="noConversion"/>
  </si>
  <si>
    <t>tg 48-3</t>
    <phoneticPr fontId="1" type="noConversion"/>
  </si>
  <si>
    <r>
      <t>p</t>
    </r>
    <r>
      <rPr>
        <sz val="11"/>
        <color rgb="FF000000"/>
        <rFont val="宋体"/>
        <family val="3"/>
        <charset val="134"/>
      </rPr>
      <t>值平均数</t>
    </r>
  </si>
  <si>
    <t>误差</t>
    <phoneticPr fontId="3" type="noConversion"/>
  </si>
  <si>
    <t>INFB1</t>
  </si>
  <si>
    <t>10^-3</t>
  </si>
  <si>
    <t>10^-4</t>
  </si>
  <si>
    <t>10^-5</t>
  </si>
  <si>
    <t>pfu</t>
    <phoneticPr fontId="1" type="noConversion"/>
  </si>
  <si>
    <t>WT X</t>
  </si>
  <si>
    <t>WT S</t>
  </si>
  <si>
    <t>p65</t>
  </si>
  <si>
    <t>D10 800</t>
    <phoneticPr fontId="2" type="noConversion"/>
  </si>
  <si>
    <t>RANTES</t>
    <phoneticPr fontId="2" type="noConversion"/>
  </si>
  <si>
    <t>BMDMs</t>
    <phoneticPr fontId="2" type="noConversion"/>
  </si>
  <si>
    <t>DMSO0.1</t>
    <phoneticPr fontId="2" type="noConversion"/>
  </si>
  <si>
    <t>TG003-0.1</t>
    <phoneticPr fontId="2" type="noConversion"/>
  </si>
  <si>
    <t>DMSO-0.5</t>
    <phoneticPr fontId="2" type="noConversion"/>
  </si>
  <si>
    <t>TG003-0.5</t>
    <phoneticPr fontId="2" type="noConversion"/>
  </si>
  <si>
    <t>tg 24-5</t>
  </si>
  <si>
    <t>tg 48-4</t>
  </si>
  <si>
    <t>tg 48-5</t>
  </si>
  <si>
    <t>X</t>
    <phoneticPr fontId="3" type="noConversion"/>
  </si>
  <si>
    <t>p</t>
    <phoneticPr fontId="3" type="noConversion"/>
  </si>
  <si>
    <t>s180d</t>
    <phoneticPr fontId="3" type="noConversion"/>
  </si>
  <si>
    <t>s316d</t>
    <phoneticPr fontId="3" type="noConversion"/>
  </si>
  <si>
    <t>本底值0.072</t>
    <phoneticPr fontId="2" type="noConversion"/>
  </si>
  <si>
    <t>减去本底值-0.072</t>
    <phoneticPr fontId="2" type="noConversion"/>
  </si>
  <si>
    <t>返回函数=（y+0.0277)/0.0031</t>
    <phoneticPr fontId="2" type="noConversion"/>
  </si>
  <si>
    <t>稀释倍数*6</t>
    <phoneticPr fontId="2" type="noConversion"/>
  </si>
  <si>
    <t>每只平均</t>
    <phoneticPr fontId="2" type="noConversion"/>
  </si>
  <si>
    <t>TG</t>
    <phoneticPr fontId="2" type="noConversion"/>
  </si>
  <si>
    <t>wt+IMQ</t>
    <phoneticPr fontId="2" type="noConversion"/>
  </si>
  <si>
    <t>ko+IMQ</t>
    <phoneticPr fontId="2" type="noConversion"/>
  </si>
  <si>
    <t>dmso+IMQ</t>
    <phoneticPr fontId="2" type="noConversion"/>
  </si>
  <si>
    <t>TG+IMQ</t>
    <phoneticPr fontId="2" type="noConversion"/>
  </si>
  <si>
    <t>76.4*x*x-1.429x+13.366</t>
  </si>
  <si>
    <t>dmso 24-1</t>
    <phoneticPr fontId="20" type="noConversion"/>
  </si>
  <si>
    <t>dmso 24-2</t>
    <phoneticPr fontId="20" type="noConversion"/>
  </si>
  <si>
    <t>dmso 24-3</t>
    <phoneticPr fontId="20" type="noConversion"/>
  </si>
  <si>
    <t>dmso 24-4</t>
    <phoneticPr fontId="20" type="noConversion"/>
  </si>
  <si>
    <t>dmso 24-5</t>
    <phoneticPr fontId="20" type="noConversion"/>
  </si>
  <si>
    <t>dmso 48-1</t>
    <phoneticPr fontId="20" type="noConversion"/>
  </si>
  <si>
    <t>dmso 48-2</t>
    <phoneticPr fontId="20" type="noConversion"/>
  </si>
  <si>
    <t>dmso 48-3</t>
    <phoneticPr fontId="20" type="noConversion"/>
  </si>
  <si>
    <t>dmso 48-4</t>
    <phoneticPr fontId="20" type="noConversion"/>
  </si>
  <si>
    <t>dmso 48-5</t>
    <phoneticPr fontId="20" type="noConversion"/>
  </si>
  <si>
    <t>dilution x10</t>
  </si>
  <si>
    <r>
      <t>WT</t>
    </r>
    <r>
      <rPr>
        <b/>
        <sz val="11"/>
        <color rgb="FF000000"/>
        <rFont val="宋体"/>
        <family val="2"/>
        <charset val="134"/>
      </rPr>
      <t>小鼠</t>
    </r>
  </si>
  <si>
    <r>
      <t>ko</t>
    </r>
    <r>
      <rPr>
        <b/>
        <sz val="11"/>
        <color rgb="FF000000"/>
        <rFont val="宋体"/>
        <family val="2"/>
        <charset val="134"/>
      </rPr>
      <t>小鼠</t>
    </r>
  </si>
  <si>
    <t>Ifnb1</t>
    <phoneticPr fontId="2" type="noConversion"/>
  </si>
  <si>
    <t>Rantes</t>
    <phoneticPr fontId="2" type="noConversion"/>
  </si>
  <si>
    <r>
      <t>WT</t>
    </r>
    <r>
      <rPr>
        <b/>
        <sz val="11"/>
        <color rgb="FF000000"/>
        <rFont val="宋体"/>
        <family val="3"/>
        <charset val="134"/>
      </rPr>
      <t>小鼠</t>
    </r>
  </si>
  <si>
    <r>
      <t>ko</t>
    </r>
    <r>
      <rPr>
        <b/>
        <sz val="11"/>
        <color rgb="FF000000"/>
        <rFont val="宋体"/>
        <family val="3"/>
        <charset val="134"/>
      </rPr>
      <t>小鼠</t>
    </r>
  </si>
  <si>
    <t>IFNB</t>
    <phoneticPr fontId="3" type="noConversion"/>
  </si>
  <si>
    <t>WT SEV</t>
  </si>
  <si>
    <t>-/- SEV</t>
  </si>
  <si>
    <t>WT HSV</t>
  </si>
  <si>
    <t>-/- HSV</t>
  </si>
  <si>
    <t>WT 45</t>
  </si>
  <si>
    <t>-/- 45</t>
  </si>
  <si>
    <t>WT 60</t>
  </si>
  <si>
    <t>-/- 60</t>
  </si>
  <si>
    <t>WT 90</t>
  </si>
  <si>
    <t>-/- 90</t>
  </si>
  <si>
    <t>WT 120</t>
  </si>
  <si>
    <t>-/- 120</t>
  </si>
  <si>
    <t>ISD45</t>
    <phoneticPr fontId="2" type="noConversion"/>
  </si>
  <si>
    <t>HSV</t>
    <phoneticPr fontId="2" type="noConversion"/>
  </si>
  <si>
    <t>HSV60</t>
    <phoneticPr fontId="2" type="noConversion"/>
  </si>
  <si>
    <t>DNA90</t>
    <phoneticPr fontId="2" type="noConversion"/>
  </si>
  <si>
    <t>HSV120</t>
    <phoneticPr fontId="2" type="noConversion"/>
  </si>
  <si>
    <t>infb1</t>
  </si>
  <si>
    <t>CON</t>
  </si>
  <si>
    <t>IFN-B</t>
  </si>
  <si>
    <t>TG003</t>
  </si>
  <si>
    <t>Sev</t>
    <phoneticPr fontId="2" type="noConversion"/>
  </si>
  <si>
    <t>TG003 SeV</t>
    <phoneticPr fontId="2" type="noConversion"/>
  </si>
  <si>
    <t>TG004 SeV</t>
  </si>
  <si>
    <t>TG005 SeV</t>
  </si>
  <si>
    <t>Vec</t>
    <phoneticPr fontId="2" type="noConversion"/>
  </si>
  <si>
    <t>wt sev</t>
    <phoneticPr fontId="1" type="noConversion"/>
  </si>
  <si>
    <t>wt hsv</t>
    <phoneticPr fontId="1" type="noConversion"/>
  </si>
  <si>
    <t>293 x</t>
    <phoneticPr fontId="2" type="noConversion"/>
  </si>
  <si>
    <t>293 sev</t>
    <phoneticPr fontId="2" type="noConversion"/>
  </si>
  <si>
    <t>ko x</t>
    <phoneticPr fontId="2" type="noConversion"/>
  </si>
  <si>
    <t>ko sev</t>
    <phoneticPr fontId="2" type="noConversion"/>
  </si>
  <si>
    <t>a sev</t>
    <phoneticPr fontId="2" type="noConversion"/>
  </si>
  <si>
    <t>d sev</t>
    <phoneticPr fontId="2" type="noConversion"/>
  </si>
  <si>
    <t>2% input</t>
    <phoneticPr fontId="2" type="noConversion"/>
  </si>
  <si>
    <t>Supplementary Figure 5g</t>
    <phoneticPr fontId="2" type="noConversion"/>
  </si>
  <si>
    <t>Supplementary Figure 6k</t>
    <phoneticPr fontId="2" type="noConversion"/>
  </si>
  <si>
    <t>Supplementary Figure 6l</t>
    <phoneticPr fontId="2" type="noConversion"/>
  </si>
  <si>
    <t>Supplementary Figure 6j</t>
    <phoneticPr fontId="2" type="noConversion"/>
  </si>
  <si>
    <t>1% input</t>
    <phoneticPr fontId="2" type="noConversion"/>
  </si>
  <si>
    <t>log(100,2)</t>
    <phoneticPr fontId="2" type="noConversion"/>
  </si>
  <si>
    <t>δ 1% input</t>
    <phoneticPr fontId="2" type="noConversion"/>
  </si>
  <si>
    <t>δt</t>
    <phoneticPr fontId="2" type="noConversion"/>
  </si>
  <si>
    <t>100*2^δt</t>
    <phoneticPr fontId="2" type="noConversion"/>
  </si>
  <si>
    <t>relative</t>
    <phoneticPr fontId="2" type="noConversion"/>
  </si>
  <si>
    <t>input WT p65 X</t>
  </si>
  <si>
    <t>IFNB1</t>
  </si>
  <si>
    <t>WT IgG X</t>
  </si>
  <si>
    <t>IgG</t>
    <phoneticPr fontId="2" type="noConversion"/>
  </si>
  <si>
    <t>x</t>
    <phoneticPr fontId="2" type="noConversion"/>
  </si>
  <si>
    <t>WT p65 X</t>
  </si>
  <si>
    <t>sev</t>
    <phoneticPr fontId="2" type="noConversion"/>
  </si>
  <si>
    <t>input WT p65 T</t>
  </si>
  <si>
    <t>WT IgG T</t>
  </si>
  <si>
    <t>WT p65 T</t>
  </si>
  <si>
    <t>input KO p65 X</t>
  </si>
  <si>
    <t>KO IgG X</t>
  </si>
  <si>
    <t>KO p65 X</t>
  </si>
  <si>
    <t>input KO p65 T</t>
  </si>
  <si>
    <t>KO IgG T</t>
  </si>
  <si>
    <t>KO p65 T</t>
  </si>
  <si>
    <t>Supplementary Figure 7a</t>
    <phoneticPr fontId="2" type="noConversion"/>
  </si>
  <si>
    <t>CLK2 ko</t>
    <phoneticPr fontId="2" type="noConversion"/>
  </si>
  <si>
    <t>Supplementary Figure 6m</t>
    <phoneticPr fontId="2" type="noConversion"/>
  </si>
  <si>
    <t>Figure 4i</t>
    <phoneticPr fontId="2" type="noConversion"/>
  </si>
  <si>
    <t>blank</t>
    <phoneticPr fontId="2" type="noConversion"/>
  </si>
  <si>
    <t>xx</t>
    <phoneticPr fontId="2" type="noConversion"/>
  </si>
  <si>
    <t>p100ng x</t>
    <phoneticPr fontId="2" type="noConversion"/>
  </si>
  <si>
    <t>p0</t>
    <phoneticPr fontId="2" type="noConversion"/>
  </si>
  <si>
    <t>p500ng x</t>
    <phoneticPr fontId="2" type="noConversion"/>
  </si>
  <si>
    <t>p100ng</t>
    <phoneticPr fontId="2" type="noConversion"/>
  </si>
  <si>
    <t>p500ng</t>
    <phoneticPr fontId="2" type="noConversion"/>
  </si>
  <si>
    <t>p1000ng</t>
    <phoneticPr fontId="2" type="noConversion"/>
  </si>
  <si>
    <t>p1000ng x</t>
    <phoneticPr fontId="2" type="noConversion"/>
  </si>
  <si>
    <t>p2000ng</t>
    <phoneticPr fontId="2" type="noConversion"/>
  </si>
  <si>
    <t>p2000ng x</t>
    <phoneticPr fontId="2" type="noConversion"/>
  </si>
  <si>
    <t>xc</t>
    <phoneticPr fontId="2" type="noConversion"/>
  </si>
  <si>
    <t>p100ng c</t>
    <phoneticPr fontId="2" type="noConversion"/>
  </si>
  <si>
    <t>p500ng c</t>
    <phoneticPr fontId="2" type="noConversion"/>
  </si>
  <si>
    <t>p1000ng c</t>
    <phoneticPr fontId="2" type="noConversion"/>
  </si>
  <si>
    <t>p2000ng c</t>
    <phoneticPr fontId="2" type="noConversion"/>
  </si>
  <si>
    <t>Figure 4g</t>
    <phoneticPr fontId="2" type="noConversion"/>
  </si>
  <si>
    <t>taok3+SeV</t>
    <phoneticPr fontId="2" type="noConversion"/>
  </si>
  <si>
    <t>clk2+SeV</t>
    <phoneticPr fontId="2" type="noConversion"/>
  </si>
  <si>
    <t>blk+SeV</t>
    <phoneticPr fontId="2" type="noConversion"/>
  </si>
  <si>
    <t>map2k7+SeV</t>
    <phoneticPr fontId="2" type="noConversion"/>
  </si>
  <si>
    <t>hipk1+SeV</t>
    <phoneticPr fontId="2" type="noConversion"/>
  </si>
  <si>
    <t>Average</t>
    <phoneticPr fontId="2" type="noConversion"/>
  </si>
  <si>
    <t>SEM</t>
    <phoneticPr fontId="2" type="noConversion"/>
  </si>
  <si>
    <t>P-value</t>
    <phoneticPr fontId="2" type="noConversion"/>
  </si>
  <si>
    <t>&lt;0.0001</t>
  </si>
  <si>
    <t>&lt;0.0001</t>
    <phoneticPr fontId="2" type="noConversion"/>
  </si>
  <si>
    <t>CLK2 100+SeV</t>
    <phoneticPr fontId="2" type="noConversion"/>
  </si>
  <si>
    <t>CLK2 200+SeV</t>
    <phoneticPr fontId="2" type="noConversion"/>
  </si>
  <si>
    <t>CLK2 400+SeV</t>
    <phoneticPr fontId="2" type="noConversion"/>
  </si>
  <si>
    <t>CLK2 800+SeV</t>
    <phoneticPr fontId="2" type="noConversion"/>
  </si>
  <si>
    <t>ZV32+TNF-α</t>
    <phoneticPr fontId="2" type="noConversion"/>
  </si>
  <si>
    <t>CLK2 100+TNF-α</t>
    <phoneticPr fontId="2" type="noConversion"/>
  </si>
  <si>
    <t>CLK2 200+TNF-α</t>
    <phoneticPr fontId="2" type="noConversion"/>
  </si>
  <si>
    <t>CLK2 400+TNF-α</t>
    <phoneticPr fontId="2" type="noConversion"/>
  </si>
  <si>
    <t>ZV32+IL-1β</t>
    <phoneticPr fontId="2" type="noConversion"/>
  </si>
  <si>
    <t>CLK2 100+IL-1β</t>
    <phoneticPr fontId="2" type="noConversion"/>
  </si>
  <si>
    <t>CLK2 200+IL-1β</t>
    <phoneticPr fontId="2" type="noConversion"/>
  </si>
  <si>
    <t>CLK2 400+IL-1β</t>
    <phoneticPr fontId="2" type="noConversion"/>
  </si>
  <si>
    <t>CLK2 800+IL-1β</t>
    <phoneticPr fontId="2" type="noConversion"/>
  </si>
  <si>
    <t>&gt;0.9999</t>
  </si>
  <si>
    <t>x</t>
    <phoneticPr fontId="1" type="noConversion"/>
  </si>
  <si>
    <t>sev</t>
    <phoneticPr fontId="1" type="noConversion"/>
  </si>
  <si>
    <t>hsv</t>
    <phoneticPr fontId="1" type="noConversion"/>
  </si>
  <si>
    <t>Ifnb1</t>
    <phoneticPr fontId="1" type="noConversion"/>
  </si>
  <si>
    <t>Figure 6g</t>
    <phoneticPr fontId="2" type="noConversion"/>
  </si>
  <si>
    <t>DMSO</t>
  </si>
  <si>
    <t>10mg</t>
  </si>
  <si>
    <t>20mg</t>
  </si>
  <si>
    <t>p-value</t>
    <phoneticPr fontId="2" type="noConversion"/>
  </si>
  <si>
    <t>body weight</t>
    <phoneticPr fontId="2" type="noConversion"/>
  </si>
  <si>
    <t>Vec</t>
  </si>
  <si>
    <t>CLK2m</t>
  </si>
  <si>
    <t>TNF</t>
  </si>
  <si>
    <t>Supplementary Figure 5d</t>
    <phoneticPr fontId="2" type="noConversion"/>
  </si>
  <si>
    <t>s180d</t>
    <phoneticPr fontId="2" type="noConversion"/>
  </si>
  <si>
    <t>s316d</t>
    <phoneticPr fontId="2" type="noConversion"/>
  </si>
  <si>
    <t>clk2ko</t>
    <phoneticPr fontId="2" type="noConversion"/>
  </si>
  <si>
    <t>KO D</t>
  </si>
  <si>
    <t>KO DS</t>
  </si>
  <si>
    <t>10^-1</t>
    <phoneticPr fontId="2" type="noConversion"/>
  </si>
  <si>
    <t>pg/mL</t>
    <phoneticPr fontId="2" type="noConversion"/>
  </si>
  <si>
    <t>a x</t>
  </si>
  <si>
    <t>d x</t>
  </si>
  <si>
    <t>a sev</t>
  </si>
  <si>
    <t>d sev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</si>
</sst>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0_);[Red]\(0.00\)"/>
  </numFmts>
  <fonts count="31">
    <font>
      <sz val="12"/>
      <color theme="1"/>
      <name val="等线"/>
      <family val="2"/>
      <charset val="134"/>
      <scheme val="minor"/>
    </font>
    <font>
      <sz val="12"/>
      <color rgb="FFFF0000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sz val="9"/>
      <name val="宋体"/>
      <family val="3"/>
      <charset val="134"/>
    </font>
    <font>
      <sz val="11"/>
      <color rgb="FF000000"/>
      <name val="Calibri"/>
      <family val="2"/>
    </font>
    <font>
      <sz val="22"/>
      <color rgb="FFFF0000"/>
      <name val="等线"/>
      <family val="2"/>
      <charset val="134"/>
      <scheme val="minor"/>
    </font>
    <font>
      <sz val="9"/>
      <name val="等线"/>
      <family val="3"/>
      <charset val="134"/>
      <scheme val="minor"/>
    </font>
    <font>
      <sz val="12"/>
      <color theme="1"/>
      <name val="等线"/>
      <family val="4"/>
      <charset val="134"/>
      <scheme val="minor"/>
    </font>
    <font>
      <sz val="12"/>
      <color theme="1"/>
      <name val="Times New Roman"/>
      <family val="1"/>
    </font>
    <font>
      <sz val="11"/>
      <color rgb="FF000000"/>
      <name val="Times New Roman"/>
      <family val="1"/>
    </font>
    <font>
      <i/>
      <sz val="12"/>
      <color theme="1"/>
      <name val="等线"/>
      <family val="4"/>
      <charset val="134"/>
      <scheme val="minor"/>
    </font>
    <font>
      <vertAlign val="superscript"/>
      <sz val="12"/>
      <color theme="1"/>
      <name val="等线 (正文)"/>
      <family val="3"/>
      <charset val="134"/>
    </font>
    <font>
      <vertAlign val="superscript"/>
      <sz val="12"/>
      <color theme="1"/>
      <name val="等线 (正文)"/>
    </font>
    <font>
      <sz val="12"/>
      <color rgb="FF000000"/>
      <name val="等线"/>
      <family val="4"/>
      <charset val="134"/>
      <scheme val="minor"/>
    </font>
    <font>
      <sz val="28"/>
      <color rgb="FFFF0000"/>
      <name val="等线"/>
      <family val="2"/>
      <charset val="134"/>
      <scheme val="minor"/>
    </font>
    <font>
      <sz val="12"/>
      <name val="Arial"/>
      <family val="2"/>
    </font>
    <font>
      <sz val="10"/>
      <color rgb="FFFF0000"/>
      <name val="Arial"/>
      <family val="2"/>
    </font>
    <font>
      <sz val="10"/>
      <name val="Arial"/>
      <family val="2"/>
    </font>
    <font>
      <sz val="11"/>
      <color rgb="FF000000"/>
      <name val="宋体"/>
      <family val="3"/>
      <charset val="134"/>
    </font>
    <font>
      <sz val="12"/>
      <name val="等线"/>
      <family val="2"/>
      <charset val="134"/>
      <scheme val="minor"/>
    </font>
    <font>
      <b/>
      <sz val="11"/>
      <color rgb="FF000000"/>
      <name val="Arial"/>
      <family val="2"/>
    </font>
    <font>
      <sz val="10"/>
      <color rgb="FF000000"/>
      <name val="Arial"/>
      <family val="2"/>
    </font>
    <font>
      <sz val="11"/>
      <color rgb="FFFF0000"/>
      <name val="Calibri"/>
      <family val="2"/>
    </font>
    <font>
      <sz val="12"/>
      <color rgb="FF00B0F0"/>
      <name val="等线"/>
      <family val="2"/>
      <charset val="134"/>
      <scheme val="minor"/>
    </font>
    <font>
      <sz val="12"/>
      <color theme="9" tint="-0.249977111117893"/>
      <name val="等线"/>
      <family val="2"/>
      <charset val="134"/>
      <scheme val="minor"/>
    </font>
    <font>
      <sz val="12"/>
      <color theme="5"/>
      <name val="等线"/>
      <family val="2"/>
      <charset val="134"/>
      <scheme val="minor"/>
    </font>
    <font>
      <sz val="12"/>
      <color theme="1"/>
      <name val="等线"/>
      <family val="2"/>
      <charset val="134"/>
      <scheme val="minor"/>
    </font>
    <font>
      <b/>
      <sz val="12"/>
      <color theme="1"/>
      <name val="等线"/>
      <family val="4"/>
      <charset val="134"/>
      <scheme val="minor"/>
    </font>
    <font>
      <sz val="11"/>
      <color rgb="FF000000"/>
      <name val="等线"/>
      <family val="3"/>
      <charset val="134"/>
      <scheme val="minor"/>
    </font>
    <font>
      <b/>
      <sz val="11"/>
      <color rgb="FF000000"/>
      <name val="宋体"/>
      <family val="2"/>
      <charset val="134"/>
    </font>
    <font>
      <b/>
      <sz val="11"/>
      <color rgb="FF000000"/>
      <name val="宋体"/>
      <family val="3"/>
      <charset val="134"/>
    </font>
  </fonts>
  <fills count="16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99CCFF"/>
        <bgColor rgb="FF000000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/>
      <diagonal/>
    </border>
    <border>
      <left/>
      <right style="thin">
        <color rgb="FF000000"/>
      </right>
      <top/>
      <bottom/>
      <diagonal/>
    </border>
  </borders>
  <cellStyleXfs count="3">
    <xf numFmtId="0" fontId="0" fillId="0" borderId="0">
      <alignment vertical="center"/>
    </xf>
    <xf numFmtId="0" fontId="4" fillId="0" borderId="0">
      <alignment vertical="center"/>
    </xf>
    <xf numFmtId="9" fontId="26" fillId="0" borderId="0" applyFont="0" applyFill="0" applyBorder="0" applyAlignment="0" applyProtection="0">
      <alignment vertical="center"/>
    </xf>
  </cellStyleXfs>
  <cellXfs count="118">
    <xf numFmtId="0" fontId="0" fillId="0" borderId="0" xfId="0">
      <alignment vertical="center"/>
    </xf>
    <xf numFmtId="0" fontId="0" fillId="0" borderId="0" xfId="0" applyAlignment="1"/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0" fontId="0" fillId="0" borderId="0" xfId="0" applyAlignment="1">
      <alignment horizontal="right"/>
    </xf>
    <xf numFmtId="0" fontId="4" fillId="0" borderId="0" xfId="1">
      <alignment vertical="center"/>
    </xf>
    <xf numFmtId="0" fontId="4" fillId="0" borderId="0" xfId="0" applyFont="1">
      <alignment vertical="center"/>
    </xf>
    <xf numFmtId="11" fontId="0" fillId="0" borderId="0" xfId="0" applyNumberFormat="1">
      <alignment vertical="center"/>
    </xf>
    <xf numFmtId="0" fontId="5" fillId="0" borderId="0" xfId="0" applyFont="1">
      <alignment vertical="center"/>
    </xf>
    <xf numFmtId="0" fontId="7" fillId="0" borderId="0" xfId="0" applyFont="1">
      <alignment vertical="center"/>
    </xf>
    <xf numFmtId="0" fontId="1" fillId="0" borderId="0" xfId="0" applyFont="1">
      <alignment vertical="center"/>
    </xf>
    <xf numFmtId="0" fontId="8" fillId="0" borderId="0" xfId="0" applyFont="1">
      <alignment vertical="center"/>
    </xf>
    <xf numFmtId="0" fontId="9" fillId="0" borderId="0" xfId="0" applyFont="1">
      <alignment vertical="center"/>
    </xf>
    <xf numFmtId="0" fontId="13" fillId="0" borderId="0" xfId="1" applyFont="1">
      <alignment vertical="center"/>
    </xf>
    <xf numFmtId="0" fontId="14" fillId="0" borderId="0" xfId="0" applyFont="1">
      <alignment vertical="center"/>
    </xf>
    <xf numFmtId="0" fontId="15" fillId="0" borderId="0" xfId="0" applyFont="1" applyAlignment="1"/>
    <xf numFmtId="0" fontId="16" fillId="0" borderId="0" xfId="0" applyFont="1" applyAlignment="1"/>
    <xf numFmtId="0" fontId="17" fillId="0" borderId="0" xfId="0" applyFont="1" applyAlignment="1"/>
    <xf numFmtId="0" fontId="0" fillId="2" borderId="0" xfId="0" applyFill="1">
      <alignment vertical="center"/>
    </xf>
    <xf numFmtId="0" fontId="0" fillId="3" borderId="0" xfId="0" applyFill="1">
      <alignment vertical="center"/>
    </xf>
    <xf numFmtId="0" fontId="4" fillId="3" borderId="0" xfId="0" applyFont="1" applyFill="1">
      <alignment vertical="center"/>
    </xf>
    <xf numFmtId="0" fontId="13" fillId="3" borderId="0" xfId="0" applyFont="1" applyFill="1">
      <alignment vertical="center"/>
    </xf>
    <xf numFmtId="0" fontId="0" fillId="4" borderId="0" xfId="0" applyFill="1">
      <alignment vertical="center"/>
    </xf>
    <xf numFmtId="0" fontId="4" fillId="4" borderId="0" xfId="0" applyFont="1" applyFill="1">
      <alignment vertical="center"/>
    </xf>
    <xf numFmtId="0" fontId="19" fillId="4" borderId="0" xfId="0" applyFont="1" applyFill="1">
      <alignment vertical="center"/>
    </xf>
    <xf numFmtId="0" fontId="20" fillId="5" borderId="0" xfId="0" applyFont="1" applyFill="1" applyAlignment="1">
      <alignment horizontal="center" vertical="center" wrapText="1"/>
    </xf>
    <xf numFmtId="0" fontId="0" fillId="6" borderId="0" xfId="0" applyFill="1">
      <alignment vertical="center"/>
    </xf>
    <xf numFmtId="0" fontId="21" fillId="6" borderId="1" xfId="0" applyFont="1" applyFill="1" applyBorder="1" applyAlignment="1">
      <alignment horizontal="center" vertical="center" wrapText="1"/>
    </xf>
    <xf numFmtId="0" fontId="21" fillId="6" borderId="2" xfId="0" applyFont="1" applyFill="1" applyBorder="1" applyAlignment="1">
      <alignment horizontal="center" vertical="center" wrapText="1"/>
    </xf>
    <xf numFmtId="0" fontId="21" fillId="6" borderId="0" xfId="0" applyFont="1" applyFill="1" applyAlignment="1">
      <alignment horizontal="center" vertical="center" wrapText="1"/>
    </xf>
    <xf numFmtId="0" fontId="21" fillId="6" borderId="3" xfId="0" applyFont="1" applyFill="1" applyBorder="1" applyAlignment="1">
      <alignment horizontal="center" vertical="center" wrapText="1"/>
    </xf>
    <xf numFmtId="0" fontId="21" fillId="6" borderId="4" xfId="0" applyFont="1" applyFill="1" applyBorder="1" applyAlignment="1">
      <alignment horizontal="center" vertical="center" wrapText="1"/>
    </xf>
    <xf numFmtId="0" fontId="21" fillId="6" borderId="5" xfId="0" applyFont="1" applyFill="1" applyBorder="1" applyAlignment="1">
      <alignment horizontal="center" vertical="center" wrapText="1"/>
    </xf>
    <xf numFmtId="0" fontId="13" fillId="0" borderId="0" xfId="0" applyFont="1">
      <alignment vertical="center"/>
    </xf>
    <xf numFmtId="14" fontId="0" fillId="0" borderId="0" xfId="0" applyNumberFormat="1" applyAlignment="1"/>
    <xf numFmtId="0" fontId="0" fillId="0" borderId="6" xfId="0" applyBorder="1">
      <alignment vertical="center"/>
    </xf>
    <xf numFmtId="0" fontId="21" fillId="7" borderId="4" xfId="0" applyFont="1" applyFill="1" applyBorder="1" applyAlignment="1">
      <alignment horizontal="center" vertical="center" wrapText="1"/>
    </xf>
    <xf numFmtId="0" fontId="21" fillId="7" borderId="5" xfId="0" applyFont="1" applyFill="1" applyBorder="1" applyAlignment="1">
      <alignment horizontal="center" vertical="center" wrapText="1"/>
    </xf>
    <xf numFmtId="0" fontId="0" fillId="8" borderId="0" xfId="0" applyFill="1">
      <alignment vertical="center"/>
    </xf>
    <xf numFmtId="0" fontId="0" fillId="0" borderId="7" xfId="0" applyBorder="1">
      <alignment vertical="center"/>
    </xf>
    <xf numFmtId="0" fontId="21" fillId="7" borderId="1" xfId="0" applyFont="1" applyFill="1" applyBorder="1" applyAlignment="1">
      <alignment horizontal="center" vertical="center" wrapText="1"/>
    </xf>
    <xf numFmtId="0" fontId="21" fillId="7" borderId="3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4" fillId="9" borderId="0" xfId="0" applyFont="1" applyFill="1">
      <alignment vertical="center"/>
    </xf>
    <xf numFmtId="0" fontId="18" fillId="9" borderId="0" xfId="0" applyFont="1" applyFill="1">
      <alignment vertical="center"/>
    </xf>
    <xf numFmtId="0" fontId="22" fillId="0" borderId="0" xfId="0" applyFont="1">
      <alignment vertical="center"/>
    </xf>
    <xf numFmtId="176" fontId="0" fillId="0" borderId="0" xfId="0" applyNumberFormat="1">
      <alignment vertical="center"/>
    </xf>
    <xf numFmtId="0" fontId="23" fillId="0" borderId="0" xfId="0" applyFont="1">
      <alignment vertical="center"/>
    </xf>
    <xf numFmtId="0" fontId="24" fillId="0" borderId="0" xfId="0" applyFont="1">
      <alignment vertical="center"/>
    </xf>
    <xf numFmtId="0" fontId="25" fillId="0" borderId="0" xfId="0" applyFont="1">
      <alignment vertical="center"/>
    </xf>
    <xf numFmtId="0" fontId="0" fillId="0" borderId="0" xfId="0" applyFill="1">
      <alignment vertical="center"/>
    </xf>
    <xf numFmtId="0" fontId="7" fillId="0" borderId="0" xfId="0" applyFont="1" applyFill="1">
      <alignment vertical="center"/>
    </xf>
    <xf numFmtId="0" fontId="7" fillId="0" borderId="0" xfId="0" applyFont="1" applyFill="1" applyAlignment="1"/>
    <xf numFmtId="0" fontId="0" fillId="0" borderId="0" xfId="0" applyFont="1" applyFill="1">
      <alignment vertical="center"/>
    </xf>
    <xf numFmtId="0" fontId="0" fillId="0" borderId="0" xfId="0" applyFont="1" applyFill="1" applyAlignment="1"/>
    <xf numFmtId="0" fontId="4" fillId="0" borderId="0" xfId="0" applyFont="1" applyFill="1">
      <alignment vertical="center"/>
    </xf>
    <xf numFmtId="0" fontId="0" fillId="10" borderId="0" xfId="0" applyFill="1">
      <alignment vertical="center"/>
    </xf>
    <xf numFmtId="0" fontId="0" fillId="10" borderId="0" xfId="0" applyFill="1" applyAlignment="1">
      <alignment horizontal="right" vertical="center"/>
    </xf>
    <xf numFmtId="0" fontId="0" fillId="11" borderId="0" xfId="0" applyFill="1">
      <alignment vertical="center"/>
    </xf>
    <xf numFmtId="0" fontId="0" fillId="11" borderId="0" xfId="0" applyFill="1" applyAlignment="1">
      <alignment horizontal="right" vertical="center"/>
    </xf>
    <xf numFmtId="0" fontId="4" fillId="11" borderId="0" xfId="1" applyFill="1">
      <alignment vertical="center"/>
    </xf>
    <xf numFmtId="0" fontId="13" fillId="0" borderId="0" xfId="0" applyFont="1" applyFill="1">
      <alignment vertical="center"/>
    </xf>
    <xf numFmtId="0" fontId="21" fillId="0" borderId="4" xfId="0" applyFont="1" applyFill="1" applyBorder="1" applyAlignment="1">
      <alignment horizontal="center" vertical="center" wrapText="1"/>
    </xf>
    <xf numFmtId="0" fontId="21" fillId="0" borderId="5" xfId="0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0" fontId="0" fillId="0" borderId="0" xfId="0" applyFill="1" applyBorder="1">
      <alignment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0" fillId="0" borderId="0" xfId="0" applyBorder="1">
      <alignment vertical="center"/>
    </xf>
    <xf numFmtId="0" fontId="17" fillId="0" borderId="0" xfId="0" applyFont="1" applyBorder="1" applyAlignment="1"/>
    <xf numFmtId="0" fontId="0" fillId="0" borderId="0" xfId="0" applyBorder="1" applyAlignment="1"/>
    <xf numFmtId="9" fontId="0" fillId="0" borderId="0" xfId="2" applyFont="1">
      <alignment vertical="center"/>
    </xf>
    <xf numFmtId="0" fontId="0" fillId="0" borderId="6" xfId="0" applyFill="1" applyBorder="1">
      <alignment vertical="center"/>
    </xf>
    <xf numFmtId="0" fontId="0" fillId="0" borderId="7" xfId="0" applyFill="1" applyBorder="1">
      <alignment vertical="center"/>
    </xf>
    <xf numFmtId="0" fontId="21" fillId="12" borderId="1" xfId="0" applyFont="1" applyFill="1" applyBorder="1" applyAlignment="1">
      <alignment horizontal="center" vertical="center" wrapText="1"/>
    </xf>
    <xf numFmtId="0" fontId="20" fillId="5" borderId="2" xfId="0" applyFont="1" applyFill="1" applyBorder="1" applyAlignment="1">
      <alignment horizontal="center" vertical="center" wrapText="1"/>
    </xf>
    <xf numFmtId="0" fontId="0" fillId="9" borderId="0" xfId="0" applyFont="1" applyFill="1">
      <alignment vertical="center"/>
    </xf>
    <xf numFmtId="0" fontId="27" fillId="0" borderId="0" xfId="0" applyFont="1">
      <alignment vertical="center"/>
    </xf>
    <xf numFmtId="0" fontId="27" fillId="13" borderId="0" xfId="0" applyFont="1" applyFill="1">
      <alignment vertical="center"/>
    </xf>
    <xf numFmtId="0" fontId="20" fillId="0" borderId="0" xfId="0" applyFont="1" applyFill="1" applyBorder="1" applyAlignment="1">
      <alignment horizontal="center" vertical="center" wrapText="1"/>
    </xf>
    <xf numFmtId="0" fontId="21" fillId="12" borderId="4" xfId="0" applyFont="1" applyFill="1" applyBorder="1" applyAlignment="1">
      <alignment horizontal="center" vertical="center" wrapText="1"/>
    </xf>
    <xf numFmtId="0" fontId="27" fillId="14" borderId="0" xfId="0" applyFont="1" applyFill="1">
      <alignment vertical="center"/>
    </xf>
    <xf numFmtId="0" fontId="28" fillId="0" borderId="0" xfId="0" applyFont="1">
      <alignment vertical="center"/>
    </xf>
    <xf numFmtId="0" fontId="20" fillId="15" borderId="0" xfId="0" applyFont="1" applyFill="1" applyAlignment="1">
      <alignment horizontal="center" vertical="center" wrapText="1"/>
    </xf>
    <xf numFmtId="0" fontId="0" fillId="6" borderId="0" xfId="0" applyFill="1" applyAlignment="1"/>
    <xf numFmtId="0" fontId="4" fillId="6" borderId="0" xfId="0" applyFont="1" applyFill="1" applyAlignment="1"/>
    <xf numFmtId="0" fontId="20" fillId="0" borderId="0" xfId="0" applyFont="1" applyFill="1" applyAlignment="1">
      <alignment horizontal="center" vertical="center" wrapText="1"/>
    </xf>
    <xf numFmtId="0" fontId="0" fillId="0" borderId="0" xfId="0" applyAlignment="1">
      <alignment vertical="center"/>
    </xf>
    <xf numFmtId="0" fontId="0" fillId="9" borderId="0" xfId="0" applyFill="1">
      <alignment vertical="center"/>
    </xf>
    <xf numFmtId="0" fontId="0" fillId="9" borderId="0" xfId="0" applyFill="1" applyAlignment="1"/>
    <xf numFmtId="0" fontId="17" fillId="9" borderId="0" xfId="0" applyFont="1" applyFill="1" applyAlignment="1"/>
    <xf numFmtId="9" fontId="0" fillId="0" borderId="0" xfId="0" applyNumberFormat="1">
      <alignment vertical="center"/>
    </xf>
    <xf numFmtId="0" fontId="15" fillId="9" borderId="0" xfId="0" applyFont="1" applyFill="1" applyAlignment="1"/>
    <xf numFmtId="0" fontId="7" fillId="9" borderId="0" xfId="0" applyFont="1" applyFill="1">
      <alignment vertical="center"/>
    </xf>
    <xf numFmtId="0" fontId="15" fillId="0" borderId="0" xfId="0" applyFont="1" applyFill="1" applyAlignment="1"/>
    <xf numFmtId="0" fontId="0" fillId="9" borderId="0" xfId="0" applyFill="1" applyAlignment="1">
      <alignment horizontal="right"/>
    </xf>
    <xf numFmtId="0" fontId="0" fillId="9" borderId="0" xfId="0" applyFill="1" applyAlignment="1">
      <alignment horizontal="right" vertical="center"/>
    </xf>
    <xf numFmtId="0" fontId="15" fillId="9" borderId="0" xfId="0" applyFont="1" applyFill="1" applyAlignment="1">
      <alignment horizontal="left"/>
    </xf>
    <xf numFmtId="0" fontId="0" fillId="0" borderId="0" xfId="0" applyAlignment="1">
      <alignment horizontal="left" vertical="center"/>
    </xf>
    <xf numFmtId="0" fontId="0" fillId="9" borderId="0" xfId="0" applyFill="1" applyAlignment="1">
      <alignment horizontal="left" vertical="center"/>
    </xf>
    <xf numFmtId="0" fontId="13" fillId="9" borderId="0" xfId="0" applyFont="1" applyFill="1">
      <alignment vertical="center"/>
    </xf>
    <xf numFmtId="0" fontId="21" fillId="9" borderId="0" xfId="0" applyFont="1" applyFill="1" applyAlignment="1">
      <alignment horizontal="center" vertical="center" wrapText="1"/>
    </xf>
    <xf numFmtId="0" fontId="0" fillId="0" borderId="0" xfId="0" applyFill="1" applyAlignment="1">
      <alignment horizontal="left" vertical="center"/>
    </xf>
    <xf numFmtId="0" fontId="9" fillId="9" borderId="0" xfId="0" applyFont="1" applyFill="1">
      <alignment vertical="center"/>
    </xf>
    <xf numFmtId="0" fontId="8" fillId="9" borderId="0" xfId="0" applyFont="1" applyFill="1" applyAlignment="1">
      <alignment horizontal="right" vertical="center"/>
    </xf>
    <xf numFmtId="0" fontId="8" fillId="9" borderId="0" xfId="0" applyFont="1" applyFill="1">
      <alignment vertical="center"/>
    </xf>
    <xf numFmtId="0" fontId="4" fillId="9" borderId="0" xfId="1" applyFill="1" applyAlignment="1">
      <alignment horizontal="left" vertical="center"/>
    </xf>
    <xf numFmtId="0" fontId="7" fillId="9" borderId="0" xfId="0" applyFont="1" applyFill="1" applyAlignment="1">
      <alignment horizontal="left" vertical="center"/>
    </xf>
    <xf numFmtId="0" fontId="15" fillId="9" borderId="0" xfId="0" applyFont="1" applyFill="1" applyAlignment="1">
      <alignment horizontal="right"/>
    </xf>
    <xf numFmtId="0" fontId="20" fillId="9" borderId="0" xfId="0" applyFont="1" applyFill="1" applyAlignment="1">
      <alignment horizontal="center" vertical="center" wrapText="1"/>
    </xf>
    <xf numFmtId="0" fontId="27" fillId="9" borderId="0" xfId="0" applyFont="1" applyFill="1">
      <alignment vertical="center"/>
    </xf>
    <xf numFmtId="176" fontId="0" fillId="9" borderId="0" xfId="0" applyNumberFormat="1" applyFill="1">
      <alignment vertical="center"/>
    </xf>
    <xf numFmtId="0" fontId="0" fillId="9" borderId="0" xfId="0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0" fontId="15" fillId="9" borderId="0" xfId="0" applyFont="1" applyFill="1" applyAlignment="1">
      <alignment horizontal="center"/>
    </xf>
  </cellXfs>
  <cellStyles count="3">
    <cellStyle name="百分比" xfId="2" builtinId="5"/>
    <cellStyle name="常规" xfId="0" builtinId="0"/>
    <cellStyle name="常规 2" xfId="1" xr:uid="{C2D4BD02-AA46-AB4A-A63B-F493284D1F1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externalLink" Target="externalLinks/externalLink4.xml"/><Relationship Id="rId16" Type="http://schemas.openxmlformats.org/officeDocument/2006/relationships/worksheet" Target="worksheets/sheet16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5" Type="http://schemas.openxmlformats.org/officeDocument/2006/relationships/worksheet" Target="worksheets/sheet5.xml"/><Relationship Id="rId90" Type="http://schemas.openxmlformats.org/officeDocument/2006/relationships/externalLink" Target="externalLinks/externalLink5.xml"/><Relationship Id="rId95" Type="http://schemas.openxmlformats.org/officeDocument/2006/relationships/calcChain" Target="calcChain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93" Type="http://schemas.openxmlformats.org/officeDocument/2006/relationships/styles" Target="style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externalLink" Target="externalLinks/externalLink3.xml"/><Relationship Id="rId91" Type="http://schemas.openxmlformats.org/officeDocument/2006/relationships/externalLink" Target="externalLinks/externalLink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externalLink" Target="externalLinks/externalLink1.xml"/><Relationship Id="rId94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theme" Target="theme/theme1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externalLink" Target="externalLinks/externalLink2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[1]汇总!$AC$23</c:f>
              <c:strCache>
                <c:ptCount val="1"/>
                <c:pt idx="0">
                  <c:v>od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intercept val="0"/>
            <c:dispRSqr val="1"/>
            <c:dispEq val="1"/>
            <c:trendlineLbl>
              <c:layout>
                <c:manualLayout>
                  <c:x val="-9.3213254593175851E-2"/>
                  <c:y val="-9.6759259259259264E-3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[1]汇总!$AD$22:$AJ$22</c:f>
              <c:numCache>
                <c:formatCode>General</c:formatCode>
                <c:ptCount val="7"/>
                <c:pt idx="0">
                  <c:v>31.25</c:v>
                </c:pt>
                <c:pt idx="1">
                  <c:v>62.5</c:v>
                </c:pt>
                <c:pt idx="2">
                  <c:v>125</c:v>
                </c:pt>
                <c:pt idx="3">
                  <c:v>250</c:v>
                </c:pt>
                <c:pt idx="4">
                  <c:v>500</c:v>
                </c:pt>
                <c:pt idx="5">
                  <c:v>1000</c:v>
                </c:pt>
                <c:pt idx="6">
                  <c:v>2000</c:v>
                </c:pt>
              </c:numCache>
            </c:numRef>
          </c:xVal>
          <c:yVal>
            <c:numRef>
              <c:f>[1]汇总!$AD$23:$AJ$23</c:f>
              <c:numCache>
                <c:formatCode>General</c:formatCode>
                <c:ptCount val="7"/>
                <c:pt idx="0">
                  <c:v>6.5000000000000002E-2</c:v>
                </c:pt>
                <c:pt idx="1">
                  <c:v>0.108</c:v>
                </c:pt>
                <c:pt idx="2">
                  <c:v>0.19900000000000001</c:v>
                </c:pt>
                <c:pt idx="3">
                  <c:v>0.36599999999999999</c:v>
                </c:pt>
                <c:pt idx="4">
                  <c:v>0.72899999999999998</c:v>
                </c:pt>
                <c:pt idx="5">
                  <c:v>1.4550000000000001</c:v>
                </c:pt>
                <c:pt idx="6">
                  <c:v>2.7829999999999999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6F66-B94F-8A8C-F0AD051E413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2922752"/>
        <c:axId val="572924432"/>
      </c:scatterChart>
      <c:valAx>
        <c:axId val="5729227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72924432"/>
        <c:crosses val="autoZero"/>
        <c:crossBetween val="midCat"/>
      </c:valAx>
      <c:valAx>
        <c:axId val="572924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7292275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[2]汇总!$AC$24</c:f>
              <c:strCache>
                <c:ptCount val="1"/>
                <c:pt idx="0">
                  <c:v>od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[2]汇总!$AD$23:$AI$23</c:f>
              <c:numCache>
                <c:formatCode>General</c:formatCode>
                <c:ptCount val="6"/>
                <c:pt idx="0">
                  <c:v>31.25</c:v>
                </c:pt>
                <c:pt idx="1">
                  <c:v>62.5</c:v>
                </c:pt>
                <c:pt idx="2">
                  <c:v>125</c:v>
                </c:pt>
                <c:pt idx="3">
                  <c:v>250</c:v>
                </c:pt>
                <c:pt idx="4">
                  <c:v>500</c:v>
                </c:pt>
                <c:pt idx="5">
                  <c:v>1000</c:v>
                </c:pt>
              </c:numCache>
            </c:numRef>
          </c:xVal>
          <c:yVal>
            <c:numRef>
              <c:f>[2]汇总!$AD$24:$AI$24</c:f>
              <c:numCache>
                <c:formatCode>General</c:formatCode>
                <c:ptCount val="6"/>
                <c:pt idx="0">
                  <c:v>8.4000000000000005E-2</c:v>
                </c:pt>
                <c:pt idx="1">
                  <c:v>0.12</c:v>
                </c:pt>
                <c:pt idx="2">
                  <c:v>0.245</c:v>
                </c:pt>
                <c:pt idx="3">
                  <c:v>0.501</c:v>
                </c:pt>
                <c:pt idx="4">
                  <c:v>1.2929999999999999</c:v>
                </c:pt>
                <c:pt idx="5">
                  <c:v>3.1890000000000001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D98C-DD42-8127-FD49CC349C9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25128176"/>
        <c:axId val="524380912"/>
      </c:scatterChart>
      <c:valAx>
        <c:axId val="5251281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24380912"/>
        <c:crosses val="autoZero"/>
        <c:crossBetween val="midCat"/>
      </c:valAx>
      <c:valAx>
        <c:axId val="52438091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25128176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altLang="zh-CN"/>
              <a:t>Rantes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poly"/>
            <c:order val="2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[3]normalized!$S$3:$Z$3</c:f>
              <c:numCache>
                <c:formatCode>General</c:formatCode>
                <c:ptCount val="8"/>
                <c:pt idx="0">
                  <c:v>0</c:v>
                </c:pt>
                <c:pt idx="1">
                  <c:v>0.211666666666667</c:v>
                </c:pt>
                <c:pt idx="2">
                  <c:v>0.35166666666666668</c:v>
                </c:pt>
                <c:pt idx="3">
                  <c:v>0.65466666666666662</c:v>
                </c:pt>
                <c:pt idx="4">
                  <c:v>1.2303333333333335</c:v>
                </c:pt>
                <c:pt idx="5">
                  <c:v>1.8393333333333335</c:v>
                </c:pt>
                <c:pt idx="6">
                  <c:v>2.5076666666666667</c:v>
                </c:pt>
              </c:numCache>
            </c:numRef>
          </c:xVal>
          <c:yVal>
            <c:numRef>
              <c:f>[3]normalized!$S$4:$Z$4</c:f>
              <c:numCache>
                <c:formatCode>General</c:formatCode>
                <c:ptCount val="8"/>
                <c:pt idx="0">
                  <c:v>0</c:v>
                </c:pt>
                <c:pt idx="1">
                  <c:v>15.625</c:v>
                </c:pt>
                <c:pt idx="2">
                  <c:v>31.25</c:v>
                </c:pt>
                <c:pt idx="3">
                  <c:v>62.5</c:v>
                </c:pt>
                <c:pt idx="4">
                  <c:v>125</c:v>
                </c:pt>
                <c:pt idx="5">
                  <c:v>250</c:v>
                </c:pt>
                <c:pt idx="6">
                  <c:v>500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383-D343-9C95-C2C4F5778C3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85121344"/>
        <c:axId val="59108144"/>
      </c:scatterChart>
      <c:valAx>
        <c:axId val="4851213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9108144"/>
        <c:crosses val="autoZero"/>
        <c:crossBetween val="midCat"/>
      </c:valAx>
      <c:valAx>
        <c:axId val="591081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48512134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altLang="zh-CN"/>
              <a:t>Ifnb1</a:t>
            </a:r>
            <a:endParaRPr lang="zh-CN" altLang="en-US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[4]normalized!$Z$4:$AE$4</c:f>
              <c:numCache>
                <c:formatCode>General</c:formatCode>
                <c:ptCount val="6"/>
                <c:pt idx="0">
                  <c:v>0</c:v>
                </c:pt>
                <c:pt idx="1">
                  <c:v>0.14000000000000001</c:v>
                </c:pt>
                <c:pt idx="2">
                  <c:v>0.29700000000000004</c:v>
                </c:pt>
                <c:pt idx="3">
                  <c:v>0.54699999999999993</c:v>
                </c:pt>
                <c:pt idx="4">
                  <c:v>1.1076666666666666</c:v>
                </c:pt>
                <c:pt idx="5">
                  <c:v>1.9990000000000003</c:v>
                </c:pt>
              </c:numCache>
            </c:numRef>
          </c:xVal>
          <c:yVal>
            <c:numRef>
              <c:f>[4]normalized!$Z$5:$AE$5</c:f>
              <c:numCache>
                <c:formatCode>General</c:formatCode>
                <c:ptCount val="6"/>
                <c:pt idx="0">
                  <c:v>0</c:v>
                </c:pt>
                <c:pt idx="1">
                  <c:v>25</c:v>
                </c:pt>
                <c:pt idx="2">
                  <c:v>50</c:v>
                </c:pt>
                <c:pt idx="3">
                  <c:v>100</c:v>
                </c:pt>
                <c:pt idx="4">
                  <c:v>200</c:v>
                </c:pt>
                <c:pt idx="5">
                  <c:v>400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337-3E48-A0C1-F5F68CE7B2A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6113407"/>
        <c:axId val="847508239"/>
      </c:scatterChart>
      <c:valAx>
        <c:axId val="78611340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847508239"/>
        <c:crosses val="autoZero"/>
        <c:crossBetween val="midCat"/>
      </c:valAx>
      <c:valAx>
        <c:axId val="84750823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786113407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og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[5]Ifnb1!$M$3:$S$3</c:f>
              <c:numCache>
                <c:formatCode>General</c:formatCode>
                <c:ptCount val="7"/>
                <c:pt idx="0">
                  <c:v>0</c:v>
                </c:pt>
                <c:pt idx="1">
                  <c:v>0.18033333333333332</c:v>
                </c:pt>
                <c:pt idx="2">
                  <c:v>0.33133333333333337</c:v>
                </c:pt>
                <c:pt idx="3">
                  <c:v>0.54999999999999993</c:v>
                </c:pt>
                <c:pt idx="4">
                  <c:v>1.0336666666666667</c:v>
                </c:pt>
                <c:pt idx="5">
                  <c:v>1.8149999999999999</c:v>
                </c:pt>
              </c:numCache>
            </c:numRef>
          </c:xVal>
          <c:yVal>
            <c:numRef>
              <c:f>[5]Ifnb1!$M$4:$S$4</c:f>
              <c:numCache>
                <c:formatCode>General</c:formatCode>
                <c:ptCount val="7"/>
                <c:pt idx="0">
                  <c:v>0</c:v>
                </c:pt>
                <c:pt idx="1">
                  <c:v>25</c:v>
                </c:pt>
                <c:pt idx="2">
                  <c:v>50</c:v>
                </c:pt>
                <c:pt idx="3">
                  <c:v>100</c:v>
                </c:pt>
                <c:pt idx="4">
                  <c:v>200</c:v>
                </c:pt>
                <c:pt idx="5">
                  <c:v>400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D4C5-E44E-B071-678F7D64FE5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743768079"/>
        <c:axId val="1743734271"/>
      </c:scatterChart>
      <c:valAx>
        <c:axId val="174376807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1743734271"/>
        <c:crosses val="autoZero"/>
        <c:crossBetween val="midCat"/>
      </c:valAx>
      <c:valAx>
        <c:axId val="174373427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1743768079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og"/>
            <c:dispRSqr val="1"/>
            <c:dispEq val="1"/>
            <c:trendlineLbl>
              <c:layout>
                <c:manualLayout>
                  <c:x val="3.3158355205599297E-4"/>
                  <c:y val="0.15621099445902595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og"/>
            <c:dispRSqr val="0"/>
            <c:dispEq val="0"/>
          </c:trendline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poly"/>
            <c:order val="2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[5]Rantes!$E$3:$K$3</c:f>
              <c:numCache>
                <c:formatCode>General</c:formatCode>
                <c:ptCount val="7"/>
                <c:pt idx="0">
                  <c:v>0</c:v>
                </c:pt>
                <c:pt idx="1">
                  <c:v>7.833333333333331E-2</c:v>
                </c:pt>
                <c:pt idx="2">
                  <c:v>0.23866666666666667</c:v>
                </c:pt>
                <c:pt idx="3">
                  <c:v>0.53566666666666651</c:v>
                </c:pt>
                <c:pt idx="4">
                  <c:v>0.97066666666666668</c:v>
                </c:pt>
                <c:pt idx="5">
                  <c:v>1.6566666666666667</c:v>
                </c:pt>
                <c:pt idx="6">
                  <c:v>2.4499999999999997</c:v>
                </c:pt>
              </c:numCache>
            </c:numRef>
          </c:xVal>
          <c:yVal>
            <c:numRef>
              <c:f>[5]Rantes!$E$4:$K$4</c:f>
              <c:numCache>
                <c:formatCode>General</c:formatCode>
                <c:ptCount val="7"/>
                <c:pt idx="0">
                  <c:v>0</c:v>
                </c:pt>
                <c:pt idx="1">
                  <c:v>15.625</c:v>
                </c:pt>
                <c:pt idx="2">
                  <c:v>31.25</c:v>
                </c:pt>
                <c:pt idx="3">
                  <c:v>62.5</c:v>
                </c:pt>
                <c:pt idx="4">
                  <c:v>125</c:v>
                </c:pt>
                <c:pt idx="5">
                  <c:v>250</c:v>
                </c:pt>
                <c:pt idx="6">
                  <c:v>500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976D-174C-9313-95EFDDC050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736480895"/>
        <c:axId val="1330310959"/>
      </c:scatterChart>
      <c:valAx>
        <c:axId val="1736480895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1330310959"/>
        <c:crosses val="autoZero"/>
        <c:crossBetween val="midCat"/>
      </c:valAx>
      <c:valAx>
        <c:axId val="13303109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17364808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[6]Sheet1!$A$12</c:f>
              <c:strCache>
                <c:ptCount val="1"/>
                <c:pt idx="0">
                  <c:v>od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zh-CN"/>
                </a:p>
              </c:txPr>
            </c:trendlineLbl>
          </c:trendline>
          <c:xVal>
            <c:numRef>
              <c:f>[6]Sheet1!$B$11:$G$11</c:f>
              <c:numCache>
                <c:formatCode>General</c:formatCode>
                <c:ptCount val="6"/>
                <c:pt idx="0">
                  <c:v>0</c:v>
                </c:pt>
                <c:pt idx="1">
                  <c:v>23.44</c:v>
                </c:pt>
                <c:pt idx="2">
                  <c:v>46.88</c:v>
                </c:pt>
                <c:pt idx="3">
                  <c:v>93.75</c:v>
                </c:pt>
                <c:pt idx="4">
                  <c:v>187.5</c:v>
                </c:pt>
                <c:pt idx="5">
                  <c:v>375</c:v>
                </c:pt>
              </c:numCache>
            </c:numRef>
          </c:xVal>
          <c:yVal>
            <c:numRef>
              <c:f>[6]Sheet1!$B$12:$G$12</c:f>
              <c:numCache>
                <c:formatCode>General</c:formatCode>
                <c:ptCount val="6"/>
                <c:pt idx="0">
                  <c:v>0</c:v>
                </c:pt>
                <c:pt idx="1">
                  <c:v>6.0000000000000012E-2</c:v>
                </c:pt>
                <c:pt idx="2">
                  <c:v>0.12100000000000001</c:v>
                </c:pt>
                <c:pt idx="3">
                  <c:v>0.23149999999999998</c:v>
                </c:pt>
                <c:pt idx="4">
                  <c:v>0.51500000000000001</c:v>
                </c:pt>
                <c:pt idx="5">
                  <c:v>1.165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ACB-2A49-A797-ED57A2D264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91596479"/>
        <c:axId val="591590239"/>
      </c:scatterChart>
      <c:valAx>
        <c:axId val="59159647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91590239"/>
        <c:crosses val="autoZero"/>
        <c:crossBetween val="midCat"/>
      </c:valAx>
      <c:valAx>
        <c:axId val="59159023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591596479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4.xml"/><Relationship Id="rId1" Type="http://schemas.openxmlformats.org/officeDocument/2006/relationships/chart" Target="../charts/chart3.xml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chart" Target="../charts/chart6.xml"/><Relationship Id="rId1" Type="http://schemas.openxmlformats.org/officeDocument/2006/relationships/chart" Target="../charts/chart5.xml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467895</xdr:colOff>
      <xdr:row>4</xdr:row>
      <xdr:rowOff>33422</xdr:rowOff>
    </xdr:from>
    <xdr:to>
      <xdr:col>7</xdr:col>
      <xdr:colOff>401053</xdr:colOff>
      <xdr:row>28</xdr:row>
      <xdr:rowOff>122990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19DEAC4F-5347-2545-B8BB-038C02A21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895" y="835527"/>
          <a:ext cx="5781842" cy="49022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203200</xdr:colOff>
      <xdr:row>2</xdr:row>
      <xdr:rowOff>67733</xdr:rowOff>
    </xdr:from>
    <xdr:to>
      <xdr:col>6</xdr:col>
      <xdr:colOff>761778</xdr:colOff>
      <xdr:row>15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C3FB0C0-3E89-A14B-AD7F-B073056E2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200" y="474133"/>
          <a:ext cx="5536978" cy="281093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179596</xdr:colOff>
      <xdr:row>15</xdr:row>
      <xdr:rowOff>64142</xdr:rowOff>
    </xdr:from>
    <xdr:to>
      <xdr:col>19</xdr:col>
      <xdr:colOff>319296</xdr:colOff>
      <xdr:row>28</xdr:row>
      <xdr:rowOff>165742</xdr:rowOff>
    </xdr:to>
    <xdr:graphicFrame macro="">
      <xdr:nvGraphicFramePr>
        <xdr:cNvPr id="2" name="图表 1">
          <a:extLst>
            <a:ext uri="{FF2B5EF4-FFF2-40B4-BE49-F238E27FC236}">
              <a16:creationId xmlns:a16="http://schemas.microsoft.com/office/drawing/2014/main" id="{99CEBE3E-C92B-DE43-8E26-640BB20D777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128282</xdr:colOff>
      <xdr:row>51</xdr:row>
      <xdr:rowOff>128283</xdr:rowOff>
    </xdr:from>
    <xdr:to>
      <xdr:col>19</xdr:col>
      <xdr:colOff>287352</xdr:colOff>
      <xdr:row>64</xdr:row>
      <xdr:rowOff>203200</xdr:rowOff>
    </xdr:to>
    <xdr:graphicFrame macro="">
      <xdr:nvGraphicFramePr>
        <xdr:cNvPr id="3" name="图表 2">
          <a:extLst>
            <a:ext uri="{FF2B5EF4-FFF2-40B4-BE49-F238E27FC236}">
              <a16:creationId xmlns:a16="http://schemas.microsoft.com/office/drawing/2014/main" id="{C03C8C10-33EB-F14C-AB57-084D27B2A4D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805699</xdr:colOff>
      <xdr:row>3</xdr:row>
      <xdr:rowOff>54624</xdr:rowOff>
    </xdr:from>
    <xdr:to>
      <xdr:col>10</xdr:col>
      <xdr:colOff>808919</xdr:colOff>
      <xdr:row>28</xdr:row>
      <xdr:rowOff>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8E27717-EFBA-2345-B853-7996087AA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5699" y="669140"/>
          <a:ext cx="8196768" cy="506634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43</xdr:col>
      <xdr:colOff>0</xdr:colOff>
      <xdr:row>44</xdr:row>
      <xdr:rowOff>0</xdr:rowOff>
    </xdr:from>
    <xdr:to>
      <xdr:col>49</xdr:col>
      <xdr:colOff>610671</xdr:colOff>
      <xdr:row>57</xdr:row>
      <xdr:rowOff>158808</xdr:rowOff>
    </xdr:to>
    <xdr:graphicFrame macro="">
      <xdr:nvGraphicFramePr>
        <xdr:cNvPr id="2" name="Chart 3">
          <a:extLst>
            <a:ext uri="{FF2B5EF4-FFF2-40B4-BE49-F238E27FC236}">
              <a16:creationId xmlns:a16="http://schemas.microsoft.com/office/drawing/2014/main" id="{160BBED4-F8DF-5341-940C-B8A2DF8970F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41</xdr:col>
      <xdr:colOff>635000</xdr:colOff>
      <xdr:row>10</xdr:row>
      <xdr:rowOff>152400</xdr:rowOff>
    </xdr:from>
    <xdr:to>
      <xdr:col>47</xdr:col>
      <xdr:colOff>177801</xdr:colOff>
      <xdr:row>23</xdr:row>
      <xdr:rowOff>165782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2F166ED1-B582-3E46-ADC7-DFFA4218483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165100</xdr:colOff>
      <xdr:row>5</xdr:row>
      <xdr:rowOff>165100</xdr:rowOff>
    </xdr:from>
    <xdr:to>
      <xdr:col>8</xdr:col>
      <xdr:colOff>626752</xdr:colOff>
      <xdr:row>20</xdr:row>
      <xdr:rowOff>58355</xdr:rowOff>
    </xdr:to>
    <xdr:graphicFrame macro="">
      <xdr:nvGraphicFramePr>
        <xdr:cNvPr id="2" name="图表 1">
          <a:extLst>
            <a:ext uri="{FF2B5EF4-FFF2-40B4-BE49-F238E27FC236}">
              <a16:creationId xmlns:a16="http://schemas.microsoft.com/office/drawing/2014/main" id="{12172906-772C-D841-855E-A26BB978200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247257</xdr:colOff>
      <xdr:row>30</xdr:row>
      <xdr:rowOff>112390</xdr:rowOff>
    </xdr:from>
    <xdr:to>
      <xdr:col>9</xdr:col>
      <xdr:colOff>511417</xdr:colOff>
      <xdr:row>39</xdr:row>
      <xdr:rowOff>163190</xdr:rowOff>
    </xdr:to>
    <xdr:graphicFrame macro="">
      <xdr:nvGraphicFramePr>
        <xdr:cNvPr id="3" name="图表 2">
          <a:extLst>
            <a:ext uri="{FF2B5EF4-FFF2-40B4-BE49-F238E27FC236}">
              <a16:creationId xmlns:a16="http://schemas.microsoft.com/office/drawing/2014/main" id="{10D51FE1-2493-134D-8624-0FA697F7F5E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203199</xdr:rowOff>
    </xdr:from>
    <xdr:to>
      <xdr:col>7</xdr:col>
      <xdr:colOff>406400</xdr:colOff>
      <xdr:row>39</xdr:row>
      <xdr:rowOff>12788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608B729-E389-B649-900A-2905B12FC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3" y="406399"/>
          <a:ext cx="5384800" cy="753118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6</xdr:col>
      <xdr:colOff>778933</xdr:colOff>
      <xdr:row>38</xdr:row>
      <xdr:rowOff>69882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F2F0D788-745F-374A-954A-1F1E85312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733" y="812800"/>
          <a:ext cx="4927600" cy="697868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419100</xdr:colOff>
      <xdr:row>2</xdr:row>
      <xdr:rowOff>63500</xdr:rowOff>
    </xdr:from>
    <xdr:to>
      <xdr:col>5</xdr:col>
      <xdr:colOff>406400</xdr:colOff>
      <xdr:row>29</xdr:row>
      <xdr:rowOff>17340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1B6F2A97-AED4-594F-83A7-8E84C9B2E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469900"/>
          <a:ext cx="4114800" cy="544024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629573</xdr:colOff>
      <xdr:row>2</xdr:row>
      <xdr:rowOff>108547</xdr:rowOff>
    </xdr:from>
    <xdr:to>
      <xdr:col>6</xdr:col>
      <xdr:colOff>358205</xdr:colOff>
      <xdr:row>49</xdr:row>
      <xdr:rowOff>192944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E7EA81E-BCED-EE47-AAAF-2D45BD227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573" y="521026"/>
          <a:ext cx="4678376" cy="977764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469900</xdr:colOff>
      <xdr:row>3</xdr:row>
      <xdr:rowOff>50800</xdr:rowOff>
    </xdr:from>
    <xdr:to>
      <xdr:col>7</xdr:col>
      <xdr:colOff>355600</xdr:colOff>
      <xdr:row>27</xdr:row>
      <xdr:rowOff>105760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31FFF24-147C-3147-B23B-4B81A3D13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900" y="660400"/>
          <a:ext cx="5664200" cy="493176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457200</xdr:colOff>
      <xdr:row>2</xdr:row>
      <xdr:rowOff>114300</xdr:rowOff>
    </xdr:from>
    <xdr:to>
      <xdr:col>7</xdr:col>
      <xdr:colOff>623353</xdr:colOff>
      <xdr:row>26</xdr:row>
      <xdr:rowOff>101600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394A5CC-6829-CD42-8D79-D2D6CA0DD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520700"/>
          <a:ext cx="5974286" cy="48641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190500</xdr:colOff>
      <xdr:row>0</xdr:row>
      <xdr:rowOff>12699</xdr:rowOff>
    </xdr:from>
    <xdr:to>
      <xdr:col>6</xdr:col>
      <xdr:colOff>508000</xdr:colOff>
      <xdr:row>36</xdr:row>
      <xdr:rowOff>72158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423ADDF3-C261-F94B-9AF1-742EAA491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6000" y="12699"/>
          <a:ext cx="4445000" cy="737465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673252</xdr:colOff>
      <xdr:row>1</xdr:row>
      <xdr:rowOff>183614</xdr:rowOff>
    </xdr:from>
    <xdr:to>
      <xdr:col>6</xdr:col>
      <xdr:colOff>153011</xdr:colOff>
      <xdr:row>51</xdr:row>
      <xdr:rowOff>92457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710D931-D73D-7E49-A30C-34C0D883C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3252" y="382530"/>
          <a:ext cx="4437349" cy="1000763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67733</xdr:rowOff>
    </xdr:from>
    <xdr:to>
      <xdr:col>6</xdr:col>
      <xdr:colOff>406400</xdr:colOff>
      <xdr:row>56</xdr:row>
      <xdr:rowOff>116946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32F3898-4C12-E94F-92F4-0395CB899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4133"/>
          <a:ext cx="5384800" cy="1102201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495300</xdr:colOff>
      <xdr:row>1</xdr:row>
      <xdr:rowOff>139700</xdr:rowOff>
    </xdr:from>
    <xdr:to>
      <xdr:col>10</xdr:col>
      <xdr:colOff>632460</xdr:colOff>
      <xdr:row>30</xdr:row>
      <xdr:rowOff>139700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E8A986B-207F-6846-80F7-D810F56E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" y="342900"/>
          <a:ext cx="8392160" cy="58928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406399</xdr:colOff>
      <xdr:row>3</xdr:row>
      <xdr:rowOff>190500</xdr:rowOff>
    </xdr:from>
    <xdr:to>
      <xdr:col>11</xdr:col>
      <xdr:colOff>689340</xdr:colOff>
      <xdr:row>26</xdr:row>
      <xdr:rowOff>165100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F98A4BB-F028-7147-83EB-8EC2D3072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399" y="800100"/>
          <a:ext cx="9363441" cy="46482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198967</xdr:colOff>
      <xdr:row>2</xdr:row>
      <xdr:rowOff>57856</xdr:rowOff>
    </xdr:from>
    <xdr:to>
      <xdr:col>9</xdr:col>
      <xdr:colOff>558800</xdr:colOff>
      <xdr:row>47</xdr:row>
      <xdr:rowOff>41863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F0AD931C-D772-7B49-A30B-92E4FF793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0" y="464256"/>
          <a:ext cx="6997700" cy="912800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558800</xdr:colOff>
      <xdr:row>3</xdr:row>
      <xdr:rowOff>114300</xdr:rowOff>
    </xdr:from>
    <xdr:to>
      <xdr:col>8</xdr:col>
      <xdr:colOff>736600</xdr:colOff>
      <xdr:row>25</xdr:row>
      <xdr:rowOff>20998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3D9FEECD-9706-E64E-9405-37C615CA2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800" y="723900"/>
          <a:ext cx="6781800" cy="437709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165100</xdr:colOff>
      <xdr:row>2</xdr:row>
      <xdr:rowOff>101600</xdr:rowOff>
    </xdr:from>
    <xdr:to>
      <xdr:col>7</xdr:col>
      <xdr:colOff>495300</xdr:colOff>
      <xdr:row>38</xdr:row>
      <xdr:rowOff>50800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41FD5242-BAB7-6B40-884A-B2A7224377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00" y="508000"/>
          <a:ext cx="6108700" cy="72644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495300</xdr:colOff>
      <xdr:row>3</xdr:row>
      <xdr:rowOff>177799</xdr:rowOff>
    </xdr:from>
    <xdr:to>
      <xdr:col>6</xdr:col>
      <xdr:colOff>800100</xdr:colOff>
      <xdr:row>47</xdr:row>
      <xdr:rowOff>16362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10D31F7-EA68-F34E-AFD1-8A3E147BA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0800" y="787399"/>
          <a:ext cx="4432300" cy="8779363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342900</xdr:colOff>
      <xdr:row>3</xdr:row>
      <xdr:rowOff>152400</xdr:rowOff>
    </xdr:from>
    <xdr:to>
      <xdr:col>7</xdr:col>
      <xdr:colOff>177800</xdr:colOff>
      <xdr:row>39</xdr:row>
      <xdr:rowOff>19050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439FAEE-A700-5C46-9FDE-979312A0D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762000"/>
          <a:ext cx="5613400" cy="71818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317500</xdr:colOff>
      <xdr:row>2</xdr:row>
      <xdr:rowOff>0</xdr:rowOff>
    </xdr:from>
    <xdr:to>
      <xdr:col>8</xdr:col>
      <xdr:colOff>215900</xdr:colOff>
      <xdr:row>32</xdr:row>
      <xdr:rowOff>116976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7862A6DE-E758-A042-84AE-78C7F3F24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406400"/>
          <a:ext cx="6502400" cy="6212976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15301</xdr:colOff>
      <xdr:row>4</xdr:row>
      <xdr:rowOff>107107</xdr:rowOff>
    </xdr:from>
    <xdr:to>
      <xdr:col>13</xdr:col>
      <xdr:colOff>804534</xdr:colOff>
      <xdr:row>33</xdr:row>
      <xdr:rowOff>91806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792E1C51-F80D-AA4A-AF28-FAAAE0714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1" y="902770"/>
          <a:ext cx="11530679" cy="5753253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548410</xdr:colOff>
      <xdr:row>3</xdr:row>
      <xdr:rowOff>173182</xdr:rowOff>
    </xdr:from>
    <xdr:to>
      <xdr:col>9</xdr:col>
      <xdr:colOff>375227</xdr:colOff>
      <xdr:row>32</xdr:row>
      <xdr:rowOff>44935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11C753B-8C3B-364C-BFCF-5939A2DC1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410" y="779318"/>
          <a:ext cx="7230340" cy="5731072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609600</xdr:colOff>
      <xdr:row>2</xdr:row>
      <xdr:rowOff>101600</xdr:rowOff>
    </xdr:from>
    <xdr:to>
      <xdr:col>9</xdr:col>
      <xdr:colOff>25400</xdr:colOff>
      <xdr:row>33</xdr:row>
      <xdr:rowOff>150392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1F375001-A51C-1F46-BF10-883C96EB8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508000"/>
          <a:ext cx="6845300" cy="6347992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321734</xdr:colOff>
      <xdr:row>3</xdr:row>
      <xdr:rowOff>186266</xdr:rowOff>
    </xdr:from>
    <xdr:to>
      <xdr:col>7</xdr:col>
      <xdr:colOff>50800</xdr:colOff>
      <xdr:row>42</xdr:row>
      <xdr:rowOff>198473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206D81E-9146-7B48-A85C-0D2D8B2EB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1467" y="795866"/>
          <a:ext cx="4707466" cy="7937007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4</xdr:row>
      <xdr:rowOff>114299</xdr:rowOff>
    </xdr:from>
    <xdr:to>
      <xdr:col>7</xdr:col>
      <xdr:colOff>114300</xdr:colOff>
      <xdr:row>27</xdr:row>
      <xdr:rowOff>20982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755C4AFD-C661-2547-806B-4A8702124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" y="927099"/>
          <a:ext cx="5016500" cy="4580283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619513</xdr:colOff>
      <xdr:row>4</xdr:row>
      <xdr:rowOff>154876</xdr:rowOff>
    </xdr:from>
    <xdr:to>
      <xdr:col>9</xdr:col>
      <xdr:colOff>619512</xdr:colOff>
      <xdr:row>45</xdr:row>
      <xdr:rowOff>108413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C69D497-37A7-0D42-85F2-9EBAB4E9F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513" y="960242"/>
          <a:ext cx="7387682" cy="8208537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1</xdr:row>
      <xdr:rowOff>203199</xdr:rowOff>
    </xdr:from>
    <xdr:to>
      <xdr:col>5</xdr:col>
      <xdr:colOff>177800</xdr:colOff>
      <xdr:row>60</xdr:row>
      <xdr:rowOff>43872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A1276D3-8040-1D42-BB46-46B74102E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406399"/>
          <a:ext cx="4152900" cy="11829473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73624</xdr:colOff>
      <xdr:row>1</xdr:row>
      <xdr:rowOff>128841</xdr:rowOff>
    </xdr:from>
    <xdr:to>
      <xdr:col>4</xdr:col>
      <xdr:colOff>699421</xdr:colOff>
      <xdr:row>50</xdr:row>
      <xdr:rowOff>55217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A6E2CF3D-49B6-1F40-A698-4E9E6EDB6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24" y="331305"/>
          <a:ext cx="3938840" cy="98471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65417</xdr:colOff>
      <xdr:row>2</xdr:row>
      <xdr:rowOff>61205</xdr:rowOff>
    </xdr:from>
    <xdr:to>
      <xdr:col>6</xdr:col>
      <xdr:colOff>122409</xdr:colOff>
      <xdr:row>42</xdr:row>
      <xdr:rowOff>175185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D693E46C-649C-E745-BCEC-73AB47FBC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1682" y="459036"/>
          <a:ext cx="4188317" cy="8070607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380999</xdr:colOff>
      <xdr:row>2</xdr:row>
      <xdr:rowOff>152400</xdr:rowOff>
    </xdr:from>
    <xdr:to>
      <xdr:col>4</xdr:col>
      <xdr:colOff>687402</xdr:colOff>
      <xdr:row>34</xdr:row>
      <xdr:rowOff>76200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7E8B185C-411B-EC4F-A671-CF0CC9BE2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558800"/>
          <a:ext cx="3608403" cy="64262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500304</xdr:colOff>
      <xdr:row>2</xdr:row>
      <xdr:rowOff>1</xdr:rowOff>
    </xdr:from>
    <xdr:to>
      <xdr:col>16</xdr:col>
      <xdr:colOff>517714</xdr:colOff>
      <xdr:row>37</xdr:row>
      <xdr:rowOff>115455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F6AFA47C-AB9C-6B4D-A60C-FC1A7C46C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304" y="654243"/>
          <a:ext cx="13256198" cy="752378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3</xdr:row>
      <xdr:rowOff>177800</xdr:rowOff>
    </xdr:from>
    <xdr:to>
      <xdr:col>10</xdr:col>
      <xdr:colOff>485506</xdr:colOff>
      <xdr:row>34</xdr:row>
      <xdr:rowOff>101600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11569294-CF32-0C4C-B391-91C31522F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787400"/>
          <a:ext cx="8359506" cy="62230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533399</xdr:colOff>
      <xdr:row>1</xdr:row>
      <xdr:rowOff>190500</xdr:rowOff>
    </xdr:from>
    <xdr:to>
      <xdr:col>10</xdr:col>
      <xdr:colOff>297834</xdr:colOff>
      <xdr:row>27</xdr:row>
      <xdr:rowOff>101600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F62566D0-3F70-7648-ACE9-A009A6F6E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399" y="393700"/>
          <a:ext cx="9048135" cy="51943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508000</xdr:colOff>
      <xdr:row>3</xdr:row>
      <xdr:rowOff>165099</xdr:rowOff>
    </xdr:from>
    <xdr:to>
      <xdr:col>5</xdr:col>
      <xdr:colOff>215900</xdr:colOff>
      <xdr:row>40</xdr:row>
      <xdr:rowOff>54800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B6E0A792-B916-E649-A192-40B3FEEBA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774699"/>
          <a:ext cx="3835400" cy="7408101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361950</xdr:colOff>
      <xdr:row>15</xdr:row>
      <xdr:rowOff>114300</xdr:rowOff>
    </xdr:from>
    <xdr:to>
      <xdr:col>7</xdr:col>
      <xdr:colOff>133350</xdr:colOff>
      <xdr:row>31</xdr:row>
      <xdr:rowOff>114300</xdr:rowOff>
    </xdr:to>
    <xdr:graphicFrame macro="">
      <xdr:nvGraphicFramePr>
        <xdr:cNvPr id="2" name="图表 1">
          <a:extLst>
            <a:ext uri="{FF2B5EF4-FFF2-40B4-BE49-F238E27FC236}">
              <a16:creationId xmlns:a16="http://schemas.microsoft.com/office/drawing/2014/main" id="{B8D1CA41-6C8A-6C4A-BC30-08BD2C56579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qipengshu/Documents/&#24037;&#20316;/&#35838;&#39064;/CLK2/&#23567;&#40736;/Clk2-mice%20in%20inflammation/ELISA/ELISA&#27719;&#24635;/Il1b/Il1b&#27719;&#24635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qipengshu/Documents/&#24037;&#20316;/&#35838;&#39064;/CLK2/&#23567;&#40736;/Clk2-mice%20in%20inflammation/ELISA/ELISA&#27719;&#24635;/Tnf/Tnf&#27719;&#24635;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qipengshu/Documents/&#24037;&#20316;/&#35838;&#39064;/CLK2/nature2020/reviewer%20response/Figure/source-data/3b/MLF-rantes-2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qipengshu/Documents/&#24037;&#20316;/&#35838;&#39064;/CLK2/nature2020/reviewer%20response/Figure/source-data/3b/MLF-ifnb1-1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qipengshu/Documents/&#24037;&#20316;/&#35838;&#39064;/CLK2/nature2020/reviewer%20response/Figure/source-data/3f/&#27719;&#24635;-KO&#23567;&#40736;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qipengshu/Documents/&#24037;&#20316;/&#35838;&#39064;/CLK2/nature2020/reviewer%20response/Figure/source-data/S7d-IL-17F-20211106new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汇总"/>
      <sheetName val="MLFs"/>
      <sheetName val="BMDCs"/>
    </sheetNames>
    <sheetDataSet>
      <sheetData sheetId="0">
        <row r="22">
          <cell r="AD22">
            <v>31.25</v>
          </cell>
          <cell r="AE22">
            <v>62.5</v>
          </cell>
          <cell r="AF22">
            <v>125</v>
          </cell>
          <cell r="AG22">
            <v>250</v>
          </cell>
          <cell r="AH22">
            <v>500</v>
          </cell>
          <cell r="AI22">
            <v>1000</v>
          </cell>
          <cell r="AJ22">
            <v>2000</v>
          </cell>
        </row>
        <row r="23">
          <cell r="AC23" t="str">
            <v>od</v>
          </cell>
          <cell r="AD23">
            <v>6.5000000000000002E-2</v>
          </cell>
          <cell r="AE23">
            <v>0.108</v>
          </cell>
          <cell r="AF23">
            <v>0.19900000000000001</v>
          </cell>
          <cell r="AG23">
            <v>0.36599999999999999</v>
          </cell>
          <cell r="AH23">
            <v>0.72899999999999998</v>
          </cell>
          <cell r="AI23">
            <v>1.4550000000000001</v>
          </cell>
          <cell r="AJ23">
            <v>2.7829999999999999</v>
          </cell>
        </row>
      </sheetData>
      <sheetData sheetId="1" refreshError="1"/>
      <sheetData sheetId="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汇总"/>
      <sheetName val="MLFs"/>
      <sheetName val="BMDCs"/>
    </sheetNames>
    <sheetDataSet>
      <sheetData sheetId="0">
        <row r="23">
          <cell r="AD23">
            <v>31.25</v>
          </cell>
          <cell r="AE23">
            <v>62.5</v>
          </cell>
          <cell r="AF23">
            <v>125</v>
          </cell>
          <cell r="AG23">
            <v>250</v>
          </cell>
          <cell r="AH23">
            <v>500</v>
          </cell>
          <cell r="AI23">
            <v>1000</v>
          </cell>
        </row>
        <row r="24">
          <cell r="AC24" t="str">
            <v>od</v>
          </cell>
          <cell r="AD24">
            <v>8.4000000000000005E-2</v>
          </cell>
          <cell r="AE24">
            <v>0.12</v>
          </cell>
          <cell r="AF24">
            <v>0.245</v>
          </cell>
          <cell r="AG24">
            <v>0.501</v>
          </cell>
          <cell r="AH24">
            <v>1.2929999999999999</v>
          </cell>
          <cell r="AI24">
            <v>3.1890000000000001</v>
          </cell>
        </row>
      </sheetData>
      <sheetData sheetId="1" refreshError="1"/>
      <sheetData sheetId="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normalized"/>
    </sheetNames>
    <sheetDataSet>
      <sheetData sheetId="0">
        <row r="3">
          <cell r="S3">
            <v>0</v>
          </cell>
          <cell r="T3">
            <v>0.211666666666667</v>
          </cell>
          <cell r="U3">
            <v>0.35166666666666668</v>
          </cell>
          <cell r="V3">
            <v>0.65466666666666662</v>
          </cell>
          <cell r="W3">
            <v>1.2303333333333335</v>
          </cell>
          <cell r="X3">
            <v>1.8393333333333335</v>
          </cell>
          <cell r="Y3">
            <v>2.5076666666666667</v>
          </cell>
        </row>
        <row r="4">
          <cell r="S4">
            <v>0</v>
          </cell>
          <cell r="T4">
            <v>15.625</v>
          </cell>
          <cell r="U4">
            <v>31.25</v>
          </cell>
          <cell r="V4">
            <v>62.5</v>
          </cell>
          <cell r="W4">
            <v>125</v>
          </cell>
          <cell r="X4">
            <v>250</v>
          </cell>
          <cell r="Y4">
            <v>500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normalized"/>
    </sheetNames>
    <sheetDataSet>
      <sheetData sheetId="0">
        <row r="4">
          <cell r="Z4">
            <v>0</v>
          </cell>
          <cell r="AA4">
            <v>0.14000000000000001</v>
          </cell>
          <cell r="AB4">
            <v>0.29700000000000004</v>
          </cell>
          <cell r="AC4">
            <v>0.54699999999999993</v>
          </cell>
          <cell r="AD4">
            <v>1.1076666666666666</v>
          </cell>
          <cell r="AE4">
            <v>1.9990000000000003</v>
          </cell>
        </row>
        <row r="5">
          <cell r="Z5">
            <v>0</v>
          </cell>
          <cell r="AA5">
            <v>25</v>
          </cell>
          <cell r="AB5">
            <v>50</v>
          </cell>
          <cell r="AC5">
            <v>100</v>
          </cell>
          <cell r="AD5">
            <v>200</v>
          </cell>
          <cell r="AE5">
            <v>400</v>
          </cell>
        </row>
      </sheetData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fnb1"/>
      <sheetName val="Rantes"/>
    </sheetNames>
    <sheetDataSet>
      <sheetData sheetId="0">
        <row r="3">
          <cell r="M3">
            <v>0</v>
          </cell>
          <cell r="N3">
            <v>0.18033333333333332</v>
          </cell>
          <cell r="O3">
            <v>0.33133333333333337</v>
          </cell>
          <cell r="P3">
            <v>0.54999999999999993</v>
          </cell>
          <cell r="Q3">
            <v>1.0336666666666667</v>
          </cell>
          <cell r="R3">
            <v>1.8149999999999999</v>
          </cell>
        </row>
        <row r="4">
          <cell r="M4">
            <v>0</v>
          </cell>
          <cell r="N4">
            <v>25</v>
          </cell>
          <cell r="O4">
            <v>50</v>
          </cell>
          <cell r="P4">
            <v>100</v>
          </cell>
          <cell r="Q4">
            <v>200</v>
          </cell>
          <cell r="R4">
            <v>400</v>
          </cell>
        </row>
      </sheetData>
      <sheetData sheetId="1">
        <row r="3">
          <cell r="E3">
            <v>0</v>
          </cell>
          <cell r="F3">
            <v>7.833333333333331E-2</v>
          </cell>
          <cell r="G3">
            <v>0.23866666666666667</v>
          </cell>
          <cell r="H3">
            <v>0.53566666666666651</v>
          </cell>
          <cell r="I3">
            <v>0.97066666666666668</v>
          </cell>
          <cell r="J3">
            <v>1.6566666666666667</v>
          </cell>
          <cell r="K3">
            <v>2.4499999999999997</v>
          </cell>
        </row>
        <row r="4">
          <cell r="E4">
            <v>0</v>
          </cell>
          <cell r="F4">
            <v>15.625</v>
          </cell>
          <cell r="G4">
            <v>31.25</v>
          </cell>
          <cell r="H4">
            <v>62.5</v>
          </cell>
          <cell r="I4">
            <v>125</v>
          </cell>
          <cell r="J4">
            <v>250</v>
          </cell>
          <cell r="K4">
            <v>500</v>
          </cell>
        </row>
      </sheetData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Sheet2"/>
      <sheetName val="Sheet3"/>
    </sheetNames>
    <sheetDataSet>
      <sheetData sheetId="0">
        <row r="11">
          <cell r="B11">
            <v>0</v>
          </cell>
          <cell r="C11">
            <v>23.44</v>
          </cell>
          <cell r="D11">
            <v>46.88</v>
          </cell>
          <cell r="E11">
            <v>93.75</v>
          </cell>
          <cell r="F11">
            <v>187.5</v>
          </cell>
          <cell r="G11">
            <v>375</v>
          </cell>
        </row>
        <row r="12">
          <cell r="A12" t="str">
            <v>od</v>
          </cell>
          <cell r="B12">
            <v>0</v>
          </cell>
          <cell r="C12">
            <v>6.0000000000000012E-2</v>
          </cell>
          <cell r="D12">
            <v>0.12100000000000001</v>
          </cell>
          <cell r="E12">
            <v>0.23149999999999998</v>
          </cell>
          <cell r="F12">
            <v>0.51500000000000001</v>
          </cell>
          <cell r="G12">
            <v>1.165</v>
          </cell>
        </row>
      </sheetData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95A79-F951-9B4C-9573-0E87DCB40BA6}">
  <dimension ref="A1:AF23"/>
  <sheetViews>
    <sheetView topLeftCell="J1" workbookViewId="0">
      <selection activeCell="O7" sqref="O7:R14"/>
    </sheetView>
  </sheetViews>
  <sheetFormatPr baseColWidth="10" defaultRowHeight="16"/>
  <cols>
    <col min="11" max="11" width="14.83203125" bestFit="1" customWidth="1"/>
  </cols>
  <sheetData>
    <row r="1" spans="1:32">
      <c r="A1" t="s">
        <v>180</v>
      </c>
    </row>
    <row r="3" spans="1:32">
      <c r="B3">
        <v>2837</v>
      </c>
      <c r="C3">
        <v>47901</v>
      </c>
      <c r="D3">
        <v>5.9200000000000003E-2</v>
      </c>
      <c r="E3" t="s">
        <v>421</v>
      </c>
      <c r="G3">
        <f>AVERAGE(D3:D5)</f>
        <v>6.4566666666666661E-2</v>
      </c>
      <c r="H3">
        <v>6.4566666666666703E-2</v>
      </c>
      <c r="I3">
        <f>D3/0.0645666666666667</f>
        <v>0.91688177594217812</v>
      </c>
    </row>
    <row r="4" spans="1:32">
      <c r="B4">
        <v>1931</v>
      </c>
      <c r="C4">
        <v>34173</v>
      </c>
      <c r="D4">
        <v>5.6500000000000002E-2</v>
      </c>
      <c r="I4">
        <f t="shared" ref="I4:I23" si="0">D4/0.0645666666666667</f>
        <v>0.87506453278265317</v>
      </c>
      <c r="L4">
        <v>0.91688177594217812</v>
      </c>
      <c r="M4">
        <v>0.87506453278265317</v>
      </c>
      <c r="N4">
        <v>1.2080536912751672</v>
      </c>
      <c r="O4">
        <v>19.17088280846669</v>
      </c>
      <c r="P4">
        <v>21.700051626226109</v>
      </c>
      <c r="Q4">
        <v>15.930820856995345</v>
      </c>
      <c r="R4">
        <v>12.153329891584917</v>
      </c>
      <c r="S4">
        <v>12.786783686112537</v>
      </c>
      <c r="T4">
        <v>14.859060402684555</v>
      </c>
      <c r="U4">
        <v>0.47547754259163633</v>
      </c>
      <c r="V4">
        <v>0.52039235931853345</v>
      </c>
      <c r="W4">
        <v>0.38719669592152794</v>
      </c>
      <c r="X4">
        <v>9.7558079504388182</v>
      </c>
      <c r="Y4">
        <v>8.6763035622095988</v>
      </c>
      <c r="Z4">
        <v>9.0619514713474381</v>
      </c>
      <c r="AA4">
        <v>8.5121321631388689</v>
      </c>
      <c r="AB4">
        <v>10.279297883324723</v>
      </c>
      <c r="AC4">
        <v>10.835312338668038</v>
      </c>
      <c r="AD4">
        <v>9.4770263293753167</v>
      </c>
      <c r="AE4">
        <v>8.3138874548270483</v>
      </c>
      <c r="AF4">
        <v>8.6313887454827007</v>
      </c>
    </row>
    <row r="5" spans="1:32">
      <c r="B5">
        <v>816</v>
      </c>
      <c r="C5">
        <v>10472</v>
      </c>
      <c r="D5">
        <v>7.8E-2</v>
      </c>
      <c r="I5">
        <f t="shared" si="0"/>
        <v>1.2080536912751672</v>
      </c>
    </row>
    <row r="6" spans="1:32">
      <c r="B6">
        <v>11483</v>
      </c>
      <c r="C6">
        <v>9277</v>
      </c>
      <c r="D6">
        <v>1.2378</v>
      </c>
      <c r="E6" t="s">
        <v>422</v>
      </c>
      <c r="I6">
        <f t="shared" si="0"/>
        <v>19.17088280846669</v>
      </c>
      <c r="K6" s="90"/>
      <c r="L6" s="90"/>
      <c r="M6" s="90"/>
      <c r="N6" s="90"/>
      <c r="O6" s="90"/>
      <c r="P6" s="90"/>
      <c r="Q6" s="90"/>
      <c r="R6" s="90"/>
      <c r="S6" s="90"/>
    </row>
    <row r="7" spans="1:32">
      <c r="B7">
        <v>56863</v>
      </c>
      <c r="C7">
        <v>40586</v>
      </c>
      <c r="D7">
        <v>1.4011</v>
      </c>
      <c r="I7">
        <f t="shared" si="0"/>
        <v>21.700051626226109</v>
      </c>
      <c r="K7" s="90"/>
      <c r="L7" s="90"/>
      <c r="M7" s="90"/>
      <c r="N7" s="90"/>
      <c r="O7" s="90" t="s">
        <v>663</v>
      </c>
      <c r="P7" s="90" t="s">
        <v>396</v>
      </c>
      <c r="Q7" s="90" t="s">
        <v>664</v>
      </c>
      <c r="R7" s="90" t="s">
        <v>665</v>
      </c>
      <c r="S7" s="90"/>
    </row>
    <row r="8" spans="1:32">
      <c r="B8">
        <v>16183</v>
      </c>
      <c r="C8">
        <v>15733</v>
      </c>
      <c r="D8">
        <v>1.0286</v>
      </c>
      <c r="I8">
        <f t="shared" si="0"/>
        <v>15.930820856995345</v>
      </c>
      <c r="K8" s="90" t="s">
        <v>421</v>
      </c>
      <c r="L8" s="90">
        <v>0.91688177594217812</v>
      </c>
      <c r="M8" s="90">
        <v>0.87506453278265317</v>
      </c>
      <c r="N8" s="90">
        <v>1.2080536912751672</v>
      </c>
      <c r="O8" s="90">
        <f>AVERAGE(L8:N8)</f>
        <v>0.99999999999999944</v>
      </c>
      <c r="P8" s="90">
        <f>STDEV(L8:N8)</f>
        <v>0.18138887588902169</v>
      </c>
      <c r="Q8" s="90">
        <f>P8/SQRT(3)</f>
        <v>0.1047249163225303</v>
      </c>
      <c r="R8" s="94" t="s">
        <v>666</v>
      </c>
      <c r="S8" s="90"/>
    </row>
    <row r="9" spans="1:32">
      <c r="B9">
        <v>173658</v>
      </c>
      <c r="C9">
        <v>221304</v>
      </c>
      <c r="D9">
        <v>0.78469999999999995</v>
      </c>
      <c r="E9" t="s">
        <v>423</v>
      </c>
      <c r="I9">
        <f t="shared" si="0"/>
        <v>12.153329891584917</v>
      </c>
      <c r="K9" s="90" t="s">
        <v>422</v>
      </c>
      <c r="L9" s="90">
        <v>19.17088280846669</v>
      </c>
      <c r="M9" s="90">
        <v>21.700051626226109</v>
      </c>
      <c r="N9" s="90">
        <v>15.930820856995345</v>
      </c>
      <c r="O9" s="90">
        <f t="shared" ref="O9:O14" si="1">AVERAGE(L9:N9)</f>
        <v>18.933918430562716</v>
      </c>
      <c r="P9" s="90">
        <f t="shared" ref="P9:P14" si="2">STDEV(L9:N9)</f>
        <v>2.8919059466822508</v>
      </c>
      <c r="Q9" s="90">
        <f t="shared" ref="Q9:Q14" si="3">P9/SQRT(3)</f>
        <v>1.6696426767880772</v>
      </c>
      <c r="R9" s="90"/>
      <c r="S9" s="90"/>
    </row>
    <row r="10" spans="1:32">
      <c r="B10">
        <v>87710</v>
      </c>
      <c r="C10">
        <v>106237</v>
      </c>
      <c r="D10">
        <v>0.8256</v>
      </c>
      <c r="I10">
        <f t="shared" si="0"/>
        <v>12.786783686112537</v>
      </c>
      <c r="K10" s="90" t="s">
        <v>658</v>
      </c>
      <c r="L10" s="90">
        <v>12.153329891584917</v>
      </c>
      <c r="M10" s="90">
        <v>12.786783686112537</v>
      </c>
      <c r="N10" s="90">
        <v>14.859060402684555</v>
      </c>
      <c r="O10" s="90">
        <f t="shared" si="1"/>
        <v>13.266391326794002</v>
      </c>
      <c r="P10" s="90">
        <f t="shared" si="2"/>
        <v>1.4151897457316136</v>
      </c>
      <c r="Q10" s="90">
        <f t="shared" si="3"/>
        <v>0.81706018065254515</v>
      </c>
      <c r="R10" s="94">
        <v>6.9999999999999999E-4</v>
      </c>
      <c r="S10" s="90"/>
    </row>
    <row r="11" spans="1:32">
      <c r="B11">
        <v>61778</v>
      </c>
      <c r="C11">
        <v>64393</v>
      </c>
      <c r="D11">
        <v>0.95940000000000003</v>
      </c>
      <c r="I11">
        <f t="shared" si="0"/>
        <v>14.859060402684555</v>
      </c>
      <c r="K11" s="90" t="s">
        <v>659</v>
      </c>
      <c r="L11" s="90">
        <v>0.47547754259163633</v>
      </c>
      <c r="M11" s="90">
        <v>0.52039235931853345</v>
      </c>
      <c r="N11" s="90">
        <v>0.38719669592152794</v>
      </c>
      <c r="O11" s="90">
        <f t="shared" si="1"/>
        <v>0.46102219927723259</v>
      </c>
      <c r="P11" s="90">
        <f t="shared" si="2"/>
        <v>6.7764215480554169E-2</v>
      </c>
      <c r="Q11" s="90">
        <f t="shared" si="3"/>
        <v>3.9123688049121759E-2</v>
      </c>
      <c r="R11" s="94" t="s">
        <v>666</v>
      </c>
      <c r="S11" s="90"/>
    </row>
    <row r="12" spans="1:32">
      <c r="B12">
        <v>18660</v>
      </c>
      <c r="C12">
        <v>607190</v>
      </c>
      <c r="D12">
        <v>3.0700000000000002E-2</v>
      </c>
      <c r="E12" t="s">
        <v>424</v>
      </c>
      <c r="I12">
        <f t="shared" si="0"/>
        <v>0.47547754259163633</v>
      </c>
      <c r="K12" s="90" t="s">
        <v>660</v>
      </c>
      <c r="L12" s="90">
        <v>9.7558079504388182</v>
      </c>
      <c r="M12" s="90">
        <v>8.6763035622095988</v>
      </c>
      <c r="N12" s="90">
        <v>9.0619514713474381</v>
      </c>
      <c r="O12" s="90">
        <f t="shared" si="1"/>
        <v>9.1646876613319517</v>
      </c>
      <c r="P12" s="90">
        <f t="shared" si="2"/>
        <v>0.54703608162619022</v>
      </c>
      <c r="Q12" s="90">
        <f t="shared" si="3"/>
        <v>0.31583142898331901</v>
      </c>
      <c r="R12" s="94" t="s">
        <v>667</v>
      </c>
      <c r="S12" s="90"/>
    </row>
    <row r="13" spans="1:32">
      <c r="B13">
        <v>45859</v>
      </c>
      <c r="C13">
        <v>1363830</v>
      </c>
      <c r="D13">
        <v>3.3599999999999998E-2</v>
      </c>
      <c r="I13">
        <f t="shared" si="0"/>
        <v>0.52039235931853345</v>
      </c>
      <c r="K13" s="90" t="s">
        <v>661</v>
      </c>
      <c r="L13" s="90">
        <v>8.5121321631388689</v>
      </c>
      <c r="M13" s="90">
        <v>10.279297883324723</v>
      </c>
      <c r="N13" s="90">
        <v>10.835312338668038</v>
      </c>
      <c r="O13" s="90">
        <f t="shared" si="1"/>
        <v>9.8755807950438754</v>
      </c>
      <c r="P13" s="90">
        <f t="shared" si="2"/>
        <v>1.2130672477321314</v>
      </c>
      <c r="Q13" s="90">
        <f t="shared" si="3"/>
        <v>0.70036470202326451</v>
      </c>
      <c r="R13" s="94" t="s">
        <v>666</v>
      </c>
      <c r="S13" s="90"/>
    </row>
    <row r="14" spans="1:32">
      <c r="B14">
        <v>19248</v>
      </c>
      <c r="C14">
        <v>769400</v>
      </c>
      <c r="D14">
        <v>2.5000000000000001E-2</v>
      </c>
      <c r="I14">
        <f t="shared" si="0"/>
        <v>0.38719669592152794</v>
      </c>
      <c r="K14" s="90" t="s">
        <v>662</v>
      </c>
      <c r="L14" s="90">
        <v>9.4770263293753167</v>
      </c>
      <c r="M14" s="90">
        <v>8.3138874548270483</v>
      </c>
      <c r="N14" s="90">
        <v>8.6313887454827007</v>
      </c>
      <c r="O14" s="90">
        <f t="shared" si="1"/>
        <v>8.8074341765616904</v>
      </c>
      <c r="P14" s="90">
        <f t="shared" si="2"/>
        <v>0.60122126186969893</v>
      </c>
      <c r="Q14" s="90">
        <f t="shared" si="3"/>
        <v>0.3471152573829972</v>
      </c>
      <c r="R14" s="94" t="s">
        <v>666</v>
      </c>
      <c r="S14" s="90"/>
    </row>
    <row r="15" spans="1:32">
      <c r="B15">
        <v>99702</v>
      </c>
      <c r="C15">
        <v>158290</v>
      </c>
      <c r="D15">
        <v>0.62990000000000002</v>
      </c>
      <c r="E15" t="s">
        <v>425</v>
      </c>
      <c r="I15">
        <f t="shared" si="0"/>
        <v>9.7558079504388182</v>
      </c>
      <c r="K15" s="90"/>
      <c r="L15" s="90"/>
      <c r="M15" s="90"/>
      <c r="N15" s="90"/>
      <c r="O15" s="90"/>
      <c r="P15" s="90"/>
      <c r="Q15" s="90"/>
      <c r="R15" s="90"/>
      <c r="S15" s="90"/>
    </row>
    <row r="16" spans="1:32">
      <c r="B16">
        <v>121084</v>
      </c>
      <c r="C16">
        <v>216153</v>
      </c>
      <c r="D16">
        <v>0.56020000000000003</v>
      </c>
      <c r="I16">
        <f t="shared" si="0"/>
        <v>8.6763035622095988</v>
      </c>
      <c r="K16" s="90"/>
      <c r="L16" s="90"/>
      <c r="M16" s="90"/>
      <c r="N16" s="90"/>
      <c r="O16" s="90"/>
      <c r="P16" s="90"/>
      <c r="Q16" s="90"/>
      <c r="R16" s="90"/>
      <c r="S16" s="90"/>
    </row>
    <row r="17" spans="2:19">
      <c r="B17">
        <v>33649</v>
      </c>
      <c r="C17">
        <v>57506</v>
      </c>
      <c r="D17">
        <v>0.58509999999999995</v>
      </c>
      <c r="I17">
        <f t="shared" si="0"/>
        <v>9.0619514713474381</v>
      </c>
      <c r="K17" s="90"/>
      <c r="L17" s="90"/>
      <c r="M17" s="90"/>
      <c r="N17" s="90"/>
      <c r="O17" s="90"/>
      <c r="P17" s="90"/>
      <c r="Q17" s="90"/>
      <c r="R17" s="90"/>
      <c r="S17" s="90"/>
    </row>
    <row r="18" spans="2:19">
      <c r="B18">
        <v>167168</v>
      </c>
      <c r="C18">
        <v>304136</v>
      </c>
      <c r="D18">
        <v>0.54959999999999998</v>
      </c>
      <c r="E18" t="s">
        <v>426</v>
      </c>
      <c r="I18">
        <f t="shared" si="0"/>
        <v>8.5121321631388689</v>
      </c>
    </row>
    <row r="19" spans="2:19">
      <c r="B19">
        <v>164805</v>
      </c>
      <c r="C19">
        <v>248326</v>
      </c>
      <c r="D19">
        <v>0.66369999999999996</v>
      </c>
      <c r="I19">
        <f t="shared" si="0"/>
        <v>10.279297883324723</v>
      </c>
    </row>
    <row r="20" spans="2:19">
      <c r="B20">
        <v>177493</v>
      </c>
      <c r="C20">
        <v>253710</v>
      </c>
      <c r="D20">
        <v>0.6996</v>
      </c>
      <c r="I20">
        <f t="shared" si="0"/>
        <v>10.835312338668038</v>
      </c>
    </row>
    <row r="21" spans="2:19">
      <c r="B21">
        <v>146592</v>
      </c>
      <c r="C21">
        <v>239589</v>
      </c>
      <c r="D21">
        <v>0.6119</v>
      </c>
      <c r="E21" t="s">
        <v>427</v>
      </c>
      <c r="I21">
        <f t="shared" si="0"/>
        <v>9.4770263293753167</v>
      </c>
    </row>
    <row r="22" spans="2:19">
      <c r="B22">
        <v>135410</v>
      </c>
      <c r="C22">
        <v>252257</v>
      </c>
      <c r="D22">
        <v>0.53680000000000005</v>
      </c>
      <c r="I22">
        <f t="shared" si="0"/>
        <v>8.3138874548270483</v>
      </c>
    </row>
    <row r="23" spans="2:19">
      <c r="B23">
        <v>109603</v>
      </c>
      <c r="C23">
        <v>196655</v>
      </c>
      <c r="D23">
        <v>0.55730000000000002</v>
      </c>
      <c r="I23">
        <f t="shared" si="0"/>
        <v>8.6313887454827007</v>
      </c>
    </row>
  </sheetData>
  <phoneticPr fontId="2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C84E28-C630-A643-866B-967CCF36D559}">
  <dimension ref="A1:AC22"/>
  <sheetViews>
    <sheetView topLeftCell="J1" workbookViewId="0">
      <selection activeCell="K8" sqref="K8:K13"/>
    </sheetView>
  </sheetViews>
  <sheetFormatPr baseColWidth="10" defaultRowHeight="16"/>
  <cols>
    <col min="11" max="11" width="15.83203125" customWidth="1"/>
  </cols>
  <sheetData>
    <row r="1" spans="1:29">
      <c r="A1" t="s">
        <v>181</v>
      </c>
    </row>
    <row r="3" spans="1:29">
      <c r="A3" s="52"/>
      <c r="B3" s="53">
        <v>4894</v>
      </c>
      <c r="C3" s="53">
        <v>167600</v>
      </c>
      <c r="D3" s="53">
        <v>2.92E-2</v>
      </c>
      <c r="E3" s="53" t="s">
        <v>428</v>
      </c>
      <c r="F3" s="53"/>
      <c r="G3" s="53">
        <f>AVERAGE(D3:D5)</f>
        <v>2.5533333333333335E-2</v>
      </c>
      <c r="H3" s="53">
        <v>2.55333333333333E-2</v>
      </c>
      <c r="I3" s="53">
        <f>D3/0.0255333333333333</f>
        <v>1.1436031331592704</v>
      </c>
      <c r="L3">
        <v>1.1436031331592704</v>
      </c>
      <c r="M3">
        <v>0.92036553524804299</v>
      </c>
      <c r="N3">
        <v>0.93603133159269059</v>
      </c>
      <c r="O3">
        <v>75.09399477806798</v>
      </c>
      <c r="P3">
        <v>56.839425587467439</v>
      </c>
      <c r="Q3">
        <v>76.386422976501407</v>
      </c>
      <c r="R3">
        <v>28.27676240208881</v>
      </c>
      <c r="S3">
        <v>21.426892950391675</v>
      </c>
      <c r="T3">
        <v>28.041775456919094</v>
      </c>
      <c r="U3">
        <v>21.27415143603136</v>
      </c>
      <c r="V3">
        <v>10.390339425587481</v>
      </c>
      <c r="W3">
        <v>12.054830287206283</v>
      </c>
      <c r="X3">
        <v>3.906834170678581</v>
      </c>
      <c r="Y3">
        <v>6.0983571936916547</v>
      </c>
      <c r="Z3">
        <v>7.0734395540254571</v>
      </c>
      <c r="AA3">
        <v>0.38772845953002666</v>
      </c>
      <c r="AB3">
        <v>0.5052219321148832</v>
      </c>
      <c r="AC3">
        <v>0.63838120104438723</v>
      </c>
    </row>
    <row r="4" spans="1:29">
      <c r="A4" s="52"/>
      <c r="B4" s="53">
        <v>3436</v>
      </c>
      <c r="C4" s="53">
        <v>146330</v>
      </c>
      <c r="D4" s="53">
        <v>2.35E-2</v>
      </c>
      <c r="E4" s="53"/>
      <c r="F4" s="53"/>
      <c r="G4" s="53"/>
      <c r="H4" s="53"/>
      <c r="I4" s="53">
        <f t="shared" ref="I4:I20" si="0">D4/0.0255333333333333</f>
        <v>0.92036553524804299</v>
      </c>
    </row>
    <row r="5" spans="1:29">
      <c r="A5" s="52"/>
      <c r="B5" s="53">
        <v>2597</v>
      </c>
      <c r="C5" s="53">
        <v>108719</v>
      </c>
      <c r="D5" s="53">
        <v>2.3900000000000001E-2</v>
      </c>
      <c r="E5" s="53"/>
      <c r="F5" s="53"/>
      <c r="G5" s="53"/>
      <c r="H5" s="53"/>
      <c r="I5" s="53">
        <f t="shared" si="0"/>
        <v>0.93603133159269059</v>
      </c>
    </row>
    <row r="6" spans="1:29">
      <c r="A6" s="52"/>
      <c r="B6" s="53">
        <v>188039</v>
      </c>
      <c r="C6" s="53">
        <v>98070</v>
      </c>
      <c r="D6" s="53">
        <v>1.9174</v>
      </c>
      <c r="E6" s="53" t="s">
        <v>429</v>
      </c>
      <c r="F6" s="53"/>
      <c r="G6" s="53"/>
      <c r="H6" s="53"/>
      <c r="I6" s="53">
        <f t="shared" si="0"/>
        <v>75.09399477806798</v>
      </c>
    </row>
    <row r="7" spans="1:29">
      <c r="A7" s="52"/>
      <c r="B7" s="53">
        <v>134374</v>
      </c>
      <c r="C7" s="53">
        <v>92589</v>
      </c>
      <c r="D7" s="53">
        <v>1.4513</v>
      </c>
      <c r="E7" s="53"/>
      <c r="F7" s="53"/>
      <c r="G7" s="53"/>
      <c r="H7" s="53"/>
      <c r="I7" s="53">
        <f t="shared" si="0"/>
        <v>56.839425587467439</v>
      </c>
      <c r="K7" s="90"/>
      <c r="L7" s="90"/>
      <c r="M7" s="90"/>
      <c r="N7" s="90"/>
      <c r="O7" s="90" t="s">
        <v>663</v>
      </c>
      <c r="P7" s="90" t="s">
        <v>396</v>
      </c>
      <c r="Q7" s="90" t="s">
        <v>664</v>
      </c>
      <c r="R7" s="90" t="s">
        <v>665</v>
      </c>
    </row>
    <row r="8" spans="1:29">
      <c r="A8" s="52"/>
      <c r="B8" s="53">
        <v>108147</v>
      </c>
      <c r="C8" s="53">
        <v>55448</v>
      </c>
      <c r="D8" s="53">
        <v>1.9503999999999999</v>
      </c>
      <c r="E8" s="53"/>
      <c r="F8" s="53"/>
      <c r="G8" s="53"/>
      <c r="H8" s="53"/>
      <c r="I8" s="53">
        <f t="shared" si="0"/>
        <v>76.386422976501407</v>
      </c>
      <c r="K8" s="95" t="s">
        <v>428</v>
      </c>
      <c r="L8" s="90">
        <v>1.1436031331592704</v>
      </c>
      <c r="M8" s="90">
        <v>0.92036553524804299</v>
      </c>
      <c r="N8" s="90">
        <v>0.93603133159269059</v>
      </c>
      <c r="O8" s="90">
        <f>AVERAGE(L8:N8)</f>
        <v>1.0000000000000013</v>
      </c>
      <c r="P8" s="90">
        <f>STDEV(L8:N8)</f>
        <v>0.12461038954937403</v>
      </c>
      <c r="Q8" s="90">
        <f>P8/SQRT(3)</f>
        <v>7.1943841950155227E-2</v>
      </c>
      <c r="R8" s="94" t="s">
        <v>666</v>
      </c>
    </row>
    <row r="9" spans="1:29">
      <c r="A9" s="52"/>
      <c r="B9" s="53">
        <v>31712</v>
      </c>
      <c r="C9" s="53">
        <v>43926</v>
      </c>
      <c r="D9" s="53">
        <v>0.72199999999999998</v>
      </c>
      <c r="E9" s="53" t="s">
        <v>430</v>
      </c>
      <c r="F9" s="53"/>
      <c r="G9" s="53"/>
      <c r="H9" s="53"/>
      <c r="I9" s="53">
        <f t="shared" si="0"/>
        <v>28.27676240208881</v>
      </c>
      <c r="K9" s="95" t="s">
        <v>429</v>
      </c>
      <c r="L9" s="90">
        <v>75.09399477806798</v>
      </c>
      <c r="M9" s="90">
        <v>56.839425587467439</v>
      </c>
      <c r="N9" s="90">
        <v>76.386422976501407</v>
      </c>
      <c r="O9" s="90">
        <f>AVERAGE(L9:N9)</f>
        <v>69.439947780678949</v>
      </c>
      <c r="P9" s="90">
        <f t="shared" ref="P9:P13" si="1">STDEV(L9:N9)</f>
        <v>10.931489483059343</v>
      </c>
      <c r="Q9" s="90">
        <f t="shared" ref="Q9:Q13" si="2">P9/SQRT(3)</f>
        <v>6.3112983956878752</v>
      </c>
      <c r="R9" s="90"/>
    </row>
    <row r="10" spans="1:29">
      <c r="A10" s="52"/>
      <c r="B10" s="53">
        <v>29621</v>
      </c>
      <c r="C10" s="53">
        <v>54139</v>
      </c>
      <c r="D10" s="53">
        <v>0.54710000000000003</v>
      </c>
      <c r="E10" s="53"/>
      <c r="F10" s="53"/>
      <c r="G10" s="53"/>
      <c r="H10" s="53"/>
      <c r="I10" s="53">
        <f t="shared" si="0"/>
        <v>21.426892950391675</v>
      </c>
      <c r="K10" s="95" t="s">
        <v>668</v>
      </c>
      <c r="L10" s="90">
        <v>28.27676240208881</v>
      </c>
      <c r="M10" s="90">
        <v>21.426892950391675</v>
      </c>
      <c r="N10" s="90">
        <v>28.041775456919094</v>
      </c>
      <c r="O10" s="90">
        <f t="shared" ref="O10:O13" si="3">AVERAGE(L10:N10)</f>
        <v>25.915143603133192</v>
      </c>
      <c r="P10" s="90">
        <f t="shared" si="1"/>
        <v>3.8887144607795499</v>
      </c>
      <c r="Q10" s="90">
        <f t="shared" si="2"/>
        <v>2.2451503407326636</v>
      </c>
      <c r="R10" s="94" t="s">
        <v>667</v>
      </c>
    </row>
    <row r="11" spans="1:29">
      <c r="A11" s="52"/>
      <c r="B11" s="53">
        <v>27553</v>
      </c>
      <c r="C11" s="53">
        <v>38481</v>
      </c>
      <c r="D11" s="53">
        <v>0.71599999999999997</v>
      </c>
      <c r="E11" s="53"/>
      <c r="F11" s="53"/>
      <c r="G11" s="53"/>
      <c r="H11" s="53"/>
      <c r="I11" s="53">
        <f t="shared" si="0"/>
        <v>28.041775456919094</v>
      </c>
      <c r="K11" s="95" t="s">
        <v>669</v>
      </c>
      <c r="L11" s="90">
        <v>21.27415143603136</v>
      </c>
      <c r="M11" s="90">
        <v>10.390339425587481</v>
      </c>
      <c r="N11" s="90">
        <v>12.054830287206283</v>
      </c>
      <c r="O11" s="90">
        <f t="shared" si="3"/>
        <v>14.573107049608375</v>
      </c>
      <c r="P11" s="90">
        <f t="shared" si="1"/>
        <v>5.8626469583893046</v>
      </c>
      <c r="Q11" s="90">
        <f t="shared" si="2"/>
        <v>3.3848007995898057</v>
      </c>
      <c r="R11" s="94" t="s">
        <v>666</v>
      </c>
    </row>
    <row r="12" spans="1:29">
      <c r="A12" s="52"/>
      <c r="B12" s="53">
        <v>63149</v>
      </c>
      <c r="C12" s="53">
        <v>116263</v>
      </c>
      <c r="D12" s="53">
        <v>0.54320000000000002</v>
      </c>
      <c r="E12" s="53" t="s">
        <v>431</v>
      </c>
      <c r="F12" s="53"/>
      <c r="G12" s="53"/>
      <c r="H12" s="53"/>
      <c r="I12" s="53">
        <f t="shared" si="0"/>
        <v>21.27415143603136</v>
      </c>
      <c r="K12" s="95" t="s">
        <v>670</v>
      </c>
      <c r="L12" s="90">
        <v>3.906834170678581</v>
      </c>
      <c r="M12" s="90">
        <v>6.0983571936916547</v>
      </c>
      <c r="N12" s="90">
        <v>7.0734395540254571</v>
      </c>
      <c r="O12" s="90">
        <f t="shared" si="3"/>
        <v>5.6928769727985644</v>
      </c>
      <c r="P12" s="90">
        <f t="shared" si="1"/>
        <v>1.6217762085478944</v>
      </c>
      <c r="Q12" s="90">
        <f t="shared" si="2"/>
        <v>0.93633293057045752</v>
      </c>
      <c r="R12" s="94" t="s">
        <v>666</v>
      </c>
    </row>
    <row r="13" spans="1:29">
      <c r="A13" s="52"/>
      <c r="B13" s="53">
        <v>27978</v>
      </c>
      <c r="C13" s="53">
        <v>105439</v>
      </c>
      <c r="D13" s="53">
        <v>0.26529999999999998</v>
      </c>
      <c r="E13" s="53"/>
      <c r="F13" s="53"/>
      <c r="G13" s="53"/>
      <c r="H13" s="53"/>
      <c r="I13" s="53">
        <f t="shared" si="0"/>
        <v>10.390339425587481</v>
      </c>
      <c r="K13" s="95" t="s">
        <v>671</v>
      </c>
      <c r="L13" s="90">
        <v>0.38772845953002666</v>
      </c>
      <c r="M13" s="90">
        <v>0.5052219321148832</v>
      </c>
      <c r="N13" s="90">
        <v>0.63838120104438723</v>
      </c>
      <c r="O13" s="90">
        <f t="shared" si="3"/>
        <v>0.51044386422976562</v>
      </c>
      <c r="P13" s="90">
        <f t="shared" si="1"/>
        <v>0.12540793690363308</v>
      </c>
      <c r="Q13" s="90">
        <f t="shared" si="2"/>
        <v>7.2404306129828164E-2</v>
      </c>
      <c r="R13" s="94" t="s">
        <v>666</v>
      </c>
    </row>
    <row r="14" spans="1:29">
      <c r="A14" s="52"/>
      <c r="B14" s="53">
        <v>23800</v>
      </c>
      <c r="C14" s="53">
        <v>77334</v>
      </c>
      <c r="D14" s="53">
        <v>0.30780000000000002</v>
      </c>
      <c r="E14" s="53"/>
      <c r="F14" s="53"/>
      <c r="G14" s="53"/>
      <c r="H14" s="53"/>
      <c r="I14" s="53">
        <f t="shared" si="0"/>
        <v>12.054830287206283</v>
      </c>
      <c r="K14" s="90"/>
      <c r="L14" s="90"/>
      <c r="M14" s="90"/>
      <c r="N14" s="90"/>
      <c r="O14" s="90"/>
      <c r="P14" s="90"/>
      <c r="Q14" s="90"/>
      <c r="R14" s="94"/>
    </row>
    <row r="15" spans="1:29">
      <c r="A15" s="52"/>
      <c r="B15" s="53">
        <v>24583</v>
      </c>
      <c r="C15" s="53">
        <v>246435</v>
      </c>
      <c r="D15" s="53">
        <f>B15/C15</f>
        <v>9.9754499157992976E-2</v>
      </c>
      <c r="E15" s="53" t="s">
        <v>432</v>
      </c>
      <c r="F15" s="53"/>
      <c r="G15" s="53"/>
      <c r="H15" s="53"/>
      <c r="I15" s="53">
        <f t="shared" si="0"/>
        <v>3.906834170678581</v>
      </c>
      <c r="K15" s="90"/>
      <c r="L15" s="90"/>
      <c r="M15" s="90"/>
      <c r="N15" s="90"/>
      <c r="O15" s="90"/>
      <c r="P15" s="90"/>
      <c r="Q15" s="90"/>
      <c r="R15" s="90"/>
    </row>
    <row r="16" spans="1:29">
      <c r="A16" s="52"/>
      <c r="B16" s="53">
        <v>20029</v>
      </c>
      <c r="C16" s="53">
        <v>128629</v>
      </c>
      <c r="D16" s="53">
        <f>B16/C16</f>
        <v>0.15571138701226006</v>
      </c>
      <c r="E16" s="53"/>
      <c r="F16" s="53"/>
      <c r="G16" s="53"/>
      <c r="H16" s="53"/>
      <c r="I16" s="53">
        <f t="shared" si="0"/>
        <v>6.0983571936916547</v>
      </c>
    </row>
    <row r="17" spans="1:9">
      <c r="A17" s="52"/>
      <c r="B17" s="53">
        <v>16491</v>
      </c>
      <c r="C17" s="53">
        <v>91308</v>
      </c>
      <c r="D17" s="53">
        <f>B17/C17</f>
        <v>0.18060848994611645</v>
      </c>
      <c r="E17" s="53"/>
      <c r="F17" s="53"/>
      <c r="G17" s="53"/>
      <c r="H17" s="53"/>
      <c r="I17" s="53">
        <f t="shared" si="0"/>
        <v>7.0734395540254571</v>
      </c>
    </row>
    <row r="18" spans="1:9">
      <c r="A18" s="52"/>
      <c r="B18" s="54">
        <v>99321</v>
      </c>
      <c r="C18" s="54">
        <v>10032600</v>
      </c>
      <c r="D18" s="54">
        <v>9.9000000000000008E-3</v>
      </c>
      <c r="E18" s="53" t="s">
        <v>533</v>
      </c>
      <c r="F18" s="53"/>
      <c r="G18" s="53"/>
      <c r="H18" s="53"/>
      <c r="I18" s="53">
        <f t="shared" si="0"/>
        <v>0.38772845953002666</v>
      </c>
    </row>
    <row r="19" spans="1:9">
      <c r="A19" s="52"/>
      <c r="B19" s="54">
        <v>96618</v>
      </c>
      <c r="C19" s="54">
        <v>7509426</v>
      </c>
      <c r="D19" s="54">
        <v>1.29E-2</v>
      </c>
      <c r="E19" s="53"/>
      <c r="F19" s="53"/>
      <c r="G19" s="53"/>
      <c r="H19" s="53"/>
      <c r="I19" s="53">
        <f t="shared" si="0"/>
        <v>0.5052219321148832</v>
      </c>
    </row>
    <row r="20" spans="1:9">
      <c r="A20" s="52"/>
      <c r="B20" s="54">
        <v>94450</v>
      </c>
      <c r="C20" s="54">
        <v>5802860</v>
      </c>
      <c r="D20" s="54">
        <v>1.6299999999999999E-2</v>
      </c>
      <c r="E20" s="53"/>
      <c r="F20" s="53"/>
      <c r="G20" s="53"/>
      <c r="H20" s="53"/>
      <c r="I20" s="53">
        <f t="shared" si="0"/>
        <v>0.63838120104438723</v>
      </c>
    </row>
    <row r="21" spans="1:9">
      <c r="B21" s="10"/>
      <c r="C21" s="10"/>
      <c r="D21" s="10"/>
      <c r="E21" s="10"/>
      <c r="F21" s="10"/>
      <c r="G21" s="10"/>
      <c r="H21" s="10"/>
      <c r="I21" s="10"/>
    </row>
    <row r="22" spans="1:9">
      <c r="B22" s="10"/>
      <c r="C22" s="10"/>
      <c r="D22" s="10"/>
      <c r="E22" s="10"/>
      <c r="F22" s="10"/>
      <c r="G22" s="10"/>
      <c r="H22" s="10"/>
      <c r="I22" s="10"/>
    </row>
  </sheetData>
  <phoneticPr fontId="2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ABF208-1A10-4546-8E59-5EB4E30011ED}">
  <dimension ref="A1:AF32"/>
  <sheetViews>
    <sheetView topLeftCell="S3" workbookViewId="0">
      <selection activeCell="Z7" sqref="Z7:AF9"/>
    </sheetView>
  </sheetViews>
  <sheetFormatPr baseColWidth="10" defaultRowHeight="16"/>
  <sheetData>
    <row r="1" spans="1:32">
      <c r="A1" t="s">
        <v>182</v>
      </c>
    </row>
    <row r="2" spans="1:32">
      <c r="T2">
        <v>1.0381445064357802</v>
      </c>
      <c r="U2">
        <v>0.81394729022214118</v>
      </c>
      <c r="V2">
        <v>1.1479082033420829</v>
      </c>
      <c r="W2">
        <v>3.6502803644011674</v>
      </c>
      <c r="X2">
        <v>5.0560378939914621</v>
      </c>
      <c r="Y2">
        <v>3.2966649665773526</v>
      </c>
      <c r="Z2">
        <v>169.21034266206524</v>
      </c>
      <c r="AA2">
        <v>160.19373794441245</v>
      </c>
      <c r="AB2">
        <v>159.19750803782537</v>
      </c>
      <c r="AC2">
        <v>36.193881868927974</v>
      </c>
      <c r="AD2">
        <v>32.103839486852472</v>
      </c>
      <c r="AE2">
        <v>34.336568033098423</v>
      </c>
    </row>
    <row r="3" spans="1:32">
      <c r="D3" s="7" t="s">
        <v>435</v>
      </c>
      <c r="H3" s="7" t="s">
        <v>435</v>
      </c>
      <c r="I3" s="7" t="s">
        <v>436</v>
      </c>
      <c r="J3" s="7" t="s">
        <v>437</v>
      </c>
      <c r="L3" s="7" t="s">
        <v>438</v>
      </c>
      <c r="M3" s="7" t="s">
        <v>439</v>
      </c>
      <c r="N3" s="7" t="s">
        <v>440</v>
      </c>
    </row>
    <row r="4" spans="1:32">
      <c r="B4" t="s">
        <v>28</v>
      </c>
      <c r="C4" t="s">
        <v>441</v>
      </c>
      <c r="D4">
        <v>17.193999999999999</v>
      </c>
      <c r="F4" t="s">
        <v>442</v>
      </c>
      <c r="G4" t="s">
        <v>441</v>
      </c>
      <c r="H4">
        <v>29.332999999999998</v>
      </c>
      <c r="I4">
        <f>H4-E6</f>
        <v>11.442</v>
      </c>
      <c r="J4">
        <f t="shared" ref="J4:J15" si="0">2^-I4</f>
        <v>3.5943038627152794E-4</v>
      </c>
      <c r="P4">
        <f t="shared" ref="P4:P15" si="1">J4/0.000346223848455882</f>
        <v>1.0381445064357802</v>
      </c>
    </row>
    <row r="5" spans="1:32">
      <c r="B5" t="s">
        <v>28</v>
      </c>
      <c r="C5" t="s">
        <v>441</v>
      </c>
      <c r="D5">
        <v>17.649999999999999</v>
      </c>
      <c r="F5" t="s">
        <v>442</v>
      </c>
      <c r="G5" t="s">
        <v>441</v>
      </c>
      <c r="H5">
        <v>29.684000000000001</v>
      </c>
      <c r="I5">
        <f>H5-E6</f>
        <v>11.793000000000003</v>
      </c>
      <c r="J5">
        <f t="shared" si="0"/>
        <v>2.818079632609464E-4</v>
      </c>
      <c r="P5">
        <f t="shared" si="1"/>
        <v>0.81394729022214118</v>
      </c>
    </row>
    <row r="6" spans="1:32">
      <c r="B6" t="s">
        <v>28</v>
      </c>
      <c r="C6" t="s">
        <v>441</v>
      </c>
      <c r="D6">
        <v>18.829000000000001</v>
      </c>
      <c r="E6">
        <f>AVERAGE(D4:D6)</f>
        <v>17.890999999999998</v>
      </c>
      <c r="F6" t="s">
        <v>442</v>
      </c>
      <c r="G6" t="s">
        <v>441</v>
      </c>
      <c r="H6">
        <v>29.187999999999999</v>
      </c>
      <c r="I6">
        <f>H6-E6</f>
        <v>11.297000000000001</v>
      </c>
      <c r="J6">
        <f t="shared" si="0"/>
        <v>3.974331958351731E-4</v>
      </c>
      <c r="K6">
        <f>AVERAGE(J4:J6)</f>
        <v>3.4622384845588248E-4</v>
      </c>
      <c r="L6">
        <f>STDEVA(J4:J6)</f>
        <v>5.8933081395495168E-5</v>
      </c>
      <c r="M6">
        <f>SQRT(3)</f>
        <v>1.7320508075688772</v>
      </c>
      <c r="N6">
        <f>L6/M6</f>
        <v>3.4025030407863267E-5</v>
      </c>
      <c r="O6">
        <v>3.4622384845588199E-4</v>
      </c>
      <c r="P6">
        <f t="shared" si="1"/>
        <v>1.1479082033420829</v>
      </c>
    </row>
    <row r="7" spans="1:32">
      <c r="B7" t="s">
        <v>28</v>
      </c>
      <c r="C7" t="s">
        <v>25</v>
      </c>
      <c r="D7">
        <v>17.545999999999999</v>
      </c>
      <c r="F7" t="s">
        <v>442</v>
      </c>
      <c r="G7" t="s">
        <v>25</v>
      </c>
      <c r="H7">
        <v>28.428000000000001</v>
      </c>
      <c r="I7">
        <f>H7-E9</f>
        <v>9.6280000000000001</v>
      </c>
      <c r="J7">
        <f t="shared" si="0"/>
        <v>1.2638141157059115E-3</v>
      </c>
      <c r="P7">
        <f t="shared" si="1"/>
        <v>3.6502803644011674</v>
      </c>
      <c r="R7" t="s">
        <v>152</v>
      </c>
      <c r="S7" s="90"/>
      <c r="T7" s="114" t="s">
        <v>601</v>
      </c>
      <c r="U7" s="114"/>
      <c r="V7" s="114"/>
      <c r="W7" s="114" t="s">
        <v>17</v>
      </c>
      <c r="X7" s="114"/>
      <c r="Y7" s="114"/>
      <c r="Z7" s="90" t="s">
        <v>663</v>
      </c>
      <c r="AA7" s="90" t="s">
        <v>396</v>
      </c>
      <c r="AB7" s="90" t="s">
        <v>664</v>
      </c>
      <c r="AC7" s="90" t="s">
        <v>663</v>
      </c>
      <c r="AD7" s="90" t="s">
        <v>396</v>
      </c>
      <c r="AE7" s="90" t="s">
        <v>664</v>
      </c>
      <c r="AF7" s="90" t="s">
        <v>665</v>
      </c>
    </row>
    <row r="8" spans="1:32">
      <c r="B8" t="s">
        <v>28</v>
      </c>
      <c r="C8" t="s">
        <v>25</v>
      </c>
      <c r="D8">
        <v>18.38</v>
      </c>
      <c r="F8" t="s">
        <v>442</v>
      </c>
      <c r="G8" t="s">
        <v>25</v>
      </c>
      <c r="H8">
        <v>27.957999999999998</v>
      </c>
      <c r="I8">
        <f>H8-E9</f>
        <v>9.1579999999999977</v>
      </c>
      <c r="J8">
        <f t="shared" si="0"/>
        <v>1.7505208975964967E-3</v>
      </c>
      <c r="P8">
        <f t="shared" si="1"/>
        <v>5.0560378939914621</v>
      </c>
      <c r="S8" s="90" t="s">
        <v>2</v>
      </c>
      <c r="T8" s="90">
        <v>1.0381445064357802</v>
      </c>
      <c r="U8" s="90">
        <v>0.81394729022214118</v>
      </c>
      <c r="V8" s="90">
        <v>1.1479082033420829</v>
      </c>
      <c r="W8" s="90">
        <v>3.6502803644011674</v>
      </c>
      <c r="X8" s="90">
        <v>5.0560378939914621</v>
      </c>
      <c r="Y8" s="90">
        <v>3.2966649665773526</v>
      </c>
      <c r="Z8" s="90">
        <f>AVERAGE(T8:V8)</f>
        <v>1.0000000000000016</v>
      </c>
      <c r="AA8" s="90">
        <f>STDEV(T8:V8)</f>
        <v>0.17021670129983713</v>
      </c>
      <c r="AB8" s="90">
        <f>AA8/SQRT(3)</f>
        <v>9.8274658316031091E-2</v>
      </c>
      <c r="AC8" s="90">
        <f>AVERAGE(W8:Y8)</f>
        <v>4.0009944083233275</v>
      </c>
      <c r="AD8" s="90">
        <f>STDEV(W8:Y8)</f>
        <v>0.93064414782589999</v>
      </c>
      <c r="AE8" s="90">
        <f>AD8/SQRT(3)</f>
        <v>0.53730764926703323</v>
      </c>
      <c r="AF8" s="90"/>
    </row>
    <row r="9" spans="1:32">
      <c r="B9" t="s">
        <v>28</v>
      </c>
      <c r="C9" t="s">
        <v>25</v>
      </c>
      <c r="D9">
        <v>20.474</v>
      </c>
      <c r="E9">
        <f>AVERAGE(D7:D9)</f>
        <v>18.8</v>
      </c>
      <c r="F9" t="s">
        <v>442</v>
      </c>
      <c r="G9" t="s">
        <v>25</v>
      </c>
      <c r="H9">
        <v>28.574999999999999</v>
      </c>
      <c r="I9">
        <f>H9-E9</f>
        <v>9.7749999999999986</v>
      </c>
      <c r="J9">
        <f t="shared" si="0"/>
        <v>1.1413840317980926E-3</v>
      </c>
      <c r="K9">
        <f>AVERAGE(J7:J9)</f>
        <v>1.3852396817001669E-3</v>
      </c>
      <c r="L9">
        <f>STDEVA(J7:J9)</f>
        <v>3.2221119840322851E-4</v>
      </c>
      <c r="M9">
        <f>SQRT(3)</f>
        <v>1.7320508075688772</v>
      </c>
      <c r="N9">
        <f>L9/M9</f>
        <v>1.8602872213401592E-4</v>
      </c>
      <c r="P9">
        <f t="shared" si="1"/>
        <v>3.2966649665773526</v>
      </c>
      <c r="S9" s="90" t="s">
        <v>20</v>
      </c>
      <c r="T9" s="90">
        <v>169.21034266206524</v>
      </c>
      <c r="U9" s="90">
        <v>160.19373794441245</v>
      </c>
      <c r="V9" s="90">
        <v>159.19750803782537</v>
      </c>
      <c r="W9" s="90">
        <v>36.193881868927974</v>
      </c>
      <c r="X9" s="90">
        <v>32.103839486852472</v>
      </c>
      <c r="Y9" s="90">
        <v>34.336568033098423</v>
      </c>
      <c r="Z9" s="90">
        <f>AVERAGE(T9:V9)</f>
        <v>162.86719621476769</v>
      </c>
      <c r="AA9" s="90">
        <f>STDEV(T9:V9)</f>
        <v>5.5158633635716843</v>
      </c>
      <c r="AB9" s="90">
        <f>AA9/SQRT(3)</f>
        <v>3.1845851977713067</v>
      </c>
      <c r="AC9" s="90">
        <f>AVERAGE(W9:Y9)</f>
        <v>34.211429796292954</v>
      </c>
      <c r="AD9" s="90">
        <f>STDEV(W9:Y9)</f>
        <v>2.0478907088823242</v>
      </c>
      <c r="AE9" s="90">
        <f>AD9/SQRT(3)</f>
        <v>1.1823502520441433</v>
      </c>
      <c r="AF9" s="94" t="s">
        <v>666</v>
      </c>
    </row>
    <row r="10" spans="1:32">
      <c r="B10" t="s">
        <v>28</v>
      </c>
      <c r="C10" t="s">
        <v>443</v>
      </c>
      <c r="D10">
        <v>17.006</v>
      </c>
      <c r="F10" t="s">
        <v>442</v>
      </c>
      <c r="G10" t="s">
        <v>443</v>
      </c>
      <c r="H10">
        <v>23.498000000000001</v>
      </c>
      <c r="I10">
        <f>H10-E12</f>
        <v>4.0933333333333337</v>
      </c>
      <c r="J10">
        <f t="shared" si="0"/>
        <v>5.8584656034998739E-2</v>
      </c>
      <c r="P10">
        <f t="shared" si="1"/>
        <v>169.21034266206524</v>
      </c>
      <c r="S10" s="90"/>
      <c r="T10" s="90"/>
      <c r="U10" s="90"/>
      <c r="V10" s="90"/>
      <c r="W10" s="90"/>
      <c r="X10" s="90"/>
      <c r="Y10" s="90"/>
      <c r="Z10" s="90"/>
      <c r="AA10" s="90"/>
      <c r="AB10" s="90"/>
      <c r="AC10" s="90"/>
      <c r="AD10" s="90"/>
      <c r="AE10" s="90"/>
      <c r="AF10" s="90"/>
    </row>
    <row r="11" spans="1:32">
      <c r="B11" t="s">
        <v>28</v>
      </c>
      <c r="C11" t="s">
        <v>443</v>
      </c>
      <c r="D11">
        <v>19.356000000000002</v>
      </c>
      <c r="F11" t="s">
        <v>442</v>
      </c>
      <c r="G11" t="s">
        <v>443</v>
      </c>
      <c r="H11">
        <v>23.577000000000002</v>
      </c>
      <c r="I11">
        <f>H11-E12</f>
        <v>4.1723333333333343</v>
      </c>
      <c r="J11">
        <f t="shared" si="0"/>
        <v>5.5462892449647527E-2</v>
      </c>
      <c r="P11">
        <f t="shared" si="1"/>
        <v>160.19373794441245</v>
      </c>
      <c r="S11" s="52"/>
      <c r="T11" s="52"/>
      <c r="U11" s="52"/>
      <c r="V11" s="52"/>
      <c r="W11" s="52"/>
      <c r="X11" s="52"/>
      <c r="Y11" s="52"/>
      <c r="Z11" s="52"/>
      <c r="AA11" s="52"/>
      <c r="AB11" s="52"/>
      <c r="AC11" s="96"/>
      <c r="AD11" s="52"/>
      <c r="AE11" s="52"/>
      <c r="AF11" s="52"/>
    </row>
    <row r="12" spans="1:32">
      <c r="B12" t="s">
        <v>28</v>
      </c>
      <c r="C12" t="s">
        <v>443</v>
      </c>
      <c r="D12">
        <v>21.852</v>
      </c>
      <c r="E12">
        <f>AVERAGE(D10:D12)</f>
        <v>19.404666666666667</v>
      </c>
      <c r="F12" t="s">
        <v>442</v>
      </c>
      <c r="G12" t="s">
        <v>443</v>
      </c>
      <c r="H12">
        <v>23.585999999999999</v>
      </c>
      <c r="I12">
        <f>H12-E12</f>
        <v>4.1813333333333311</v>
      </c>
      <c r="J12">
        <f t="shared" si="0"/>
        <v>5.5117973897442107E-2</v>
      </c>
      <c r="K12">
        <f>AVERAGE(J10:J12)</f>
        <v>5.6388507460696125E-2</v>
      </c>
      <c r="L12">
        <f>STDEVA(J10:J12)</f>
        <v>1.9097234412925933E-3</v>
      </c>
      <c r="M12">
        <f>SQRT(3)</f>
        <v>1.7320508075688772</v>
      </c>
      <c r="N12">
        <f>L12/M12</f>
        <v>1.1025793429080173E-3</v>
      </c>
      <c r="P12">
        <f t="shared" si="1"/>
        <v>159.19750803782537</v>
      </c>
      <c r="S12" s="52"/>
      <c r="T12" s="52"/>
      <c r="U12" s="52"/>
      <c r="V12" s="52"/>
      <c r="W12" s="52"/>
      <c r="X12" s="52"/>
      <c r="Y12" s="52"/>
      <c r="Z12" s="52"/>
      <c r="AA12" s="52"/>
      <c r="AB12" s="52"/>
      <c r="AC12" s="96"/>
      <c r="AD12" s="52"/>
      <c r="AE12" s="52"/>
      <c r="AF12" s="52"/>
    </row>
    <row r="13" spans="1:32">
      <c r="B13" t="s">
        <v>28</v>
      </c>
      <c r="C13" t="s">
        <v>444</v>
      </c>
      <c r="D13">
        <v>17.28</v>
      </c>
      <c r="F13" t="s">
        <v>442</v>
      </c>
      <c r="G13" t="s">
        <v>444</v>
      </c>
      <c r="H13">
        <v>24.895</v>
      </c>
      <c r="I13">
        <f>H13-E15</f>
        <v>6.3183333333333316</v>
      </c>
      <c r="J13">
        <f t="shared" si="0"/>
        <v>1.2531185071217813E-2</v>
      </c>
      <c r="P13">
        <f t="shared" si="1"/>
        <v>36.193881868927974</v>
      </c>
      <c r="S13" s="52"/>
      <c r="T13" s="52"/>
      <c r="U13" s="52"/>
      <c r="V13" s="52"/>
      <c r="W13" s="52"/>
      <c r="X13" s="52"/>
      <c r="Y13" s="52"/>
      <c r="Z13" s="52"/>
      <c r="AA13" s="52"/>
      <c r="AB13" s="52"/>
      <c r="AC13" s="96"/>
      <c r="AD13" s="52"/>
      <c r="AE13" s="52"/>
      <c r="AF13" s="52"/>
    </row>
    <row r="14" spans="1:32">
      <c r="B14" t="s">
        <v>28</v>
      </c>
      <c r="C14" t="s">
        <v>444</v>
      </c>
      <c r="D14">
        <v>19.405000000000001</v>
      </c>
      <c r="F14" t="s">
        <v>442</v>
      </c>
      <c r="G14" t="s">
        <v>444</v>
      </c>
      <c r="H14">
        <v>25.068000000000001</v>
      </c>
      <c r="I14">
        <f>H14-E15</f>
        <v>6.4913333333333334</v>
      </c>
      <c r="J14">
        <f t="shared" si="0"/>
        <v>1.1115114857347969E-2</v>
      </c>
      <c r="P14">
        <f t="shared" si="1"/>
        <v>32.103839486852472</v>
      </c>
    </row>
    <row r="15" spans="1:32">
      <c r="B15" t="s">
        <v>28</v>
      </c>
      <c r="C15" t="s">
        <v>444</v>
      </c>
      <c r="D15">
        <v>19.045000000000002</v>
      </c>
      <c r="E15">
        <f>AVERAGE(D13:D15)</f>
        <v>18.576666666666668</v>
      </c>
      <c r="F15" t="s">
        <v>442</v>
      </c>
      <c r="G15" t="s">
        <v>444</v>
      </c>
      <c r="H15">
        <v>24.971</v>
      </c>
      <c r="I15">
        <f>H15-E15</f>
        <v>6.3943333333333321</v>
      </c>
      <c r="J15">
        <f t="shared" si="0"/>
        <v>1.188813872718655E-2</v>
      </c>
      <c r="K15">
        <f>AVERAGE(J13:J15)</f>
        <v>1.1844812885250777E-2</v>
      </c>
      <c r="L15">
        <f>STDEVA(J13:J15)</f>
        <v>7.0902860244628286E-4</v>
      </c>
      <c r="M15">
        <f>SQRT(3)</f>
        <v>1.7320508075688772</v>
      </c>
      <c r="N15">
        <f>L15/M15</f>
        <v>4.0935785448550558E-4</v>
      </c>
      <c r="P15">
        <f t="shared" si="1"/>
        <v>34.336568033098423</v>
      </c>
    </row>
    <row r="20" spans="2:32">
      <c r="D20" s="7" t="s">
        <v>435</v>
      </c>
      <c r="H20" s="7" t="s">
        <v>435</v>
      </c>
      <c r="I20" s="7" t="s">
        <v>436</v>
      </c>
      <c r="J20" s="7" t="s">
        <v>437</v>
      </c>
      <c r="L20" s="7" t="s">
        <v>438</v>
      </c>
      <c r="M20" s="7" t="s">
        <v>439</v>
      </c>
      <c r="N20" s="7" t="s">
        <v>446</v>
      </c>
      <c r="T20">
        <v>0.99023246506540741</v>
      </c>
      <c r="U20">
        <v>1.0813541969157874</v>
      </c>
      <c r="V20">
        <v>0.92841333801880099</v>
      </c>
      <c r="W20">
        <v>0.70311820515399104</v>
      </c>
      <c r="X20">
        <v>0.80711108492166395</v>
      </c>
      <c r="Y20">
        <v>0.74941624403333285</v>
      </c>
      <c r="Z20">
        <v>285.13588778857002</v>
      </c>
      <c r="AA20">
        <v>275.99643484565252</v>
      </c>
      <c r="AB20">
        <v>282.18662933281769</v>
      </c>
      <c r="AC20">
        <v>49.061036924578225</v>
      </c>
      <c r="AD20">
        <v>49.918608744258329</v>
      </c>
      <c r="AE20">
        <v>53.575660317225442</v>
      </c>
    </row>
    <row r="21" spans="2:32">
      <c r="B21" t="s">
        <v>28</v>
      </c>
      <c r="C21" t="s">
        <v>441</v>
      </c>
      <c r="D21">
        <v>17.193999999999999</v>
      </c>
      <c r="F21" t="s">
        <v>445</v>
      </c>
      <c r="G21" t="s">
        <v>441</v>
      </c>
      <c r="H21">
        <v>27.510999999999999</v>
      </c>
      <c r="I21">
        <f>H21-E23</f>
        <v>9.620000000000001</v>
      </c>
      <c r="J21">
        <f t="shared" ref="J21:J32" si="2">2^-I21</f>
        <v>1.2708416557050126E-3</v>
      </c>
      <c r="P21">
        <f t="shared" ref="P21:P32" si="3">J21/0.00128337708622901</f>
        <v>0.99023246506540741</v>
      </c>
    </row>
    <row r="22" spans="2:32">
      <c r="B22" t="s">
        <v>28</v>
      </c>
      <c r="C22" t="s">
        <v>441</v>
      </c>
      <c r="D22">
        <v>17.649999999999999</v>
      </c>
      <c r="F22" t="s">
        <v>445</v>
      </c>
      <c r="G22" t="s">
        <v>441</v>
      </c>
      <c r="H22">
        <v>27.384</v>
      </c>
      <c r="I22">
        <f>H22-E23</f>
        <v>9.4930000000000021</v>
      </c>
      <c r="J22">
        <f t="shared" si="2"/>
        <v>1.3877851984192946E-3</v>
      </c>
      <c r="P22">
        <f t="shared" si="3"/>
        <v>1.0813541969157874</v>
      </c>
    </row>
    <row r="23" spans="2:32">
      <c r="B23" t="s">
        <v>28</v>
      </c>
      <c r="C23" t="s">
        <v>441</v>
      </c>
      <c r="D23">
        <v>18.829000000000001</v>
      </c>
      <c r="E23">
        <f>AVERAGE(D21:D23)</f>
        <v>17.890999999999998</v>
      </c>
      <c r="F23" t="s">
        <v>445</v>
      </c>
      <c r="G23" t="s">
        <v>441</v>
      </c>
      <c r="H23">
        <v>27.603999999999999</v>
      </c>
      <c r="I23">
        <f>H23-E23</f>
        <v>9.713000000000001</v>
      </c>
      <c r="J23">
        <f t="shared" si="2"/>
        <v>1.1915044045627179E-3</v>
      </c>
      <c r="K23">
        <f>AVERAGE(J21:J23)</f>
        <v>1.2833770862290084E-3</v>
      </c>
      <c r="L23">
        <f>STDEVA(J21:J23)</f>
        <v>9.8739000770001865E-5</v>
      </c>
      <c r="M23">
        <f>SQRT(3)</f>
        <v>1.7320508075688772</v>
      </c>
      <c r="N23">
        <f>L23/M23</f>
        <v>5.7006988674075249E-5</v>
      </c>
      <c r="O23">
        <v>1.2833770862290101E-3</v>
      </c>
      <c r="P23">
        <f t="shared" si="3"/>
        <v>0.92841333801880099</v>
      </c>
    </row>
    <row r="24" spans="2:32">
      <c r="B24" t="s">
        <v>28</v>
      </c>
      <c r="C24" t="s">
        <v>25</v>
      </c>
      <c r="D24">
        <v>17.545999999999999</v>
      </c>
      <c r="F24" t="s">
        <v>445</v>
      </c>
      <c r="G24" t="s">
        <v>25</v>
      </c>
      <c r="H24">
        <v>28.914000000000001</v>
      </c>
      <c r="I24">
        <f>H24-E26</f>
        <v>10.114000000000001</v>
      </c>
      <c r="J24">
        <f t="shared" si="2"/>
        <v>9.0236579340510032E-4</v>
      </c>
      <c r="P24">
        <f t="shared" si="3"/>
        <v>0.70311820515399104</v>
      </c>
      <c r="R24" t="s">
        <v>534</v>
      </c>
    </row>
    <row r="25" spans="2:32">
      <c r="B25" t="s">
        <v>28</v>
      </c>
      <c r="C25" t="s">
        <v>25</v>
      </c>
      <c r="D25">
        <v>18.38</v>
      </c>
      <c r="F25" t="s">
        <v>445</v>
      </c>
      <c r="G25" t="s">
        <v>25</v>
      </c>
      <c r="H25">
        <v>28.715</v>
      </c>
      <c r="I25">
        <f>H25-E26</f>
        <v>9.9149999999999991</v>
      </c>
      <c r="J25">
        <f t="shared" si="2"/>
        <v>1.0358278724299003E-3</v>
      </c>
      <c r="P25">
        <f t="shared" si="3"/>
        <v>0.80711108492166395</v>
      </c>
      <c r="S25" s="90"/>
      <c r="T25" s="114" t="s">
        <v>601</v>
      </c>
      <c r="U25" s="114"/>
      <c r="V25" s="114"/>
      <c r="W25" s="114" t="s">
        <v>17</v>
      </c>
      <c r="X25" s="114"/>
      <c r="Y25" s="114"/>
      <c r="Z25" s="90" t="s">
        <v>663</v>
      </c>
      <c r="AA25" s="90" t="s">
        <v>396</v>
      </c>
      <c r="AB25" s="90" t="s">
        <v>664</v>
      </c>
      <c r="AC25" s="90" t="s">
        <v>663</v>
      </c>
      <c r="AD25" s="90" t="s">
        <v>396</v>
      </c>
      <c r="AE25" s="90" t="s">
        <v>664</v>
      </c>
      <c r="AF25" s="90" t="s">
        <v>665</v>
      </c>
    </row>
    <row r="26" spans="2:32">
      <c r="B26" t="s">
        <v>28</v>
      </c>
      <c r="C26" t="s">
        <v>25</v>
      </c>
      <c r="D26">
        <v>20.474</v>
      </c>
      <c r="E26">
        <f>AVERAGE(D24:D26)</f>
        <v>18.8</v>
      </c>
      <c r="F26" t="s">
        <v>445</v>
      </c>
      <c r="G26" t="s">
        <v>25</v>
      </c>
      <c r="H26">
        <v>28.821999999999999</v>
      </c>
      <c r="I26">
        <f>H26-E26</f>
        <v>10.021999999999998</v>
      </c>
      <c r="J26">
        <f t="shared" si="2"/>
        <v>9.6178363564018753E-4</v>
      </c>
      <c r="K26">
        <f>AVERAGE(J24:J26)</f>
        <v>9.6665910049172944E-4</v>
      </c>
      <c r="L26">
        <f>STDEVA(J24:J26)</f>
        <v>6.6864484238977355E-5</v>
      </c>
      <c r="M26">
        <f>SQRT(3)</f>
        <v>1.7320508075688772</v>
      </c>
      <c r="N26">
        <f>L26/M26</f>
        <v>3.860422797459907E-5</v>
      </c>
      <c r="P26">
        <f t="shared" si="3"/>
        <v>0.74941624403333285</v>
      </c>
      <c r="S26" s="90" t="s">
        <v>2</v>
      </c>
      <c r="T26" s="90">
        <v>0.99023246506540741</v>
      </c>
      <c r="U26" s="90">
        <v>1.0813541969157874</v>
      </c>
      <c r="V26" s="90">
        <v>0.92841333801880099</v>
      </c>
      <c r="W26" s="90">
        <v>0.70311820515399104</v>
      </c>
      <c r="X26" s="90">
        <v>0.80711108492166395</v>
      </c>
      <c r="Y26" s="90">
        <v>0.74941624403333285</v>
      </c>
      <c r="Z26" s="90">
        <f>AVERAGE(T26:V26)</f>
        <v>0.99999999999999856</v>
      </c>
      <c r="AA26" s="90">
        <f>STDEV(T26:V26)</f>
        <v>7.6936858098448621E-2</v>
      </c>
      <c r="AB26" s="90">
        <f>AA26/SQRT(3)</f>
        <v>4.441951573374335E-2</v>
      </c>
      <c r="AC26" s="90">
        <f>AVERAGE(W26:Y26)</f>
        <v>0.7532151780363292</v>
      </c>
      <c r="AD26" s="90">
        <f>STDEV(W26:Y26)</f>
        <v>5.2100419242677498E-2</v>
      </c>
      <c r="AE26" s="90">
        <f>AD26/SQRT(3)</f>
        <v>3.0080191074652214E-2</v>
      </c>
      <c r="AF26" s="90"/>
    </row>
    <row r="27" spans="2:32">
      <c r="B27" t="s">
        <v>28</v>
      </c>
      <c r="C27" t="s">
        <v>443</v>
      </c>
      <c r="D27">
        <v>17.006</v>
      </c>
      <c r="F27" t="s">
        <v>445</v>
      </c>
      <c r="G27" t="s">
        <v>443</v>
      </c>
      <c r="H27">
        <v>20.855</v>
      </c>
      <c r="I27">
        <f>H27-E29</f>
        <v>1.450333333333333</v>
      </c>
      <c r="J27">
        <f t="shared" si="2"/>
        <v>0.36593686484941695</v>
      </c>
      <c r="P27">
        <f t="shared" si="3"/>
        <v>285.13588778857002</v>
      </c>
      <c r="S27" s="90" t="s">
        <v>20</v>
      </c>
      <c r="T27" s="90">
        <v>285.13588778857002</v>
      </c>
      <c r="U27" s="90">
        <v>275.99643484565252</v>
      </c>
      <c r="V27" s="90">
        <v>282.18662933281769</v>
      </c>
      <c r="W27" s="90">
        <v>49.061036924578225</v>
      </c>
      <c r="X27" s="90">
        <v>49.918608744258329</v>
      </c>
      <c r="Y27" s="90">
        <v>53.575660317225442</v>
      </c>
      <c r="Z27" s="90">
        <f>AVERAGE(T27:V27)</f>
        <v>281.10631732234674</v>
      </c>
      <c r="AA27" s="90">
        <f>STDEV(T27:V27)</f>
        <v>4.6645155754833398</v>
      </c>
      <c r="AB27" s="90">
        <f>AA27/SQRT(3)</f>
        <v>2.6930593231445084</v>
      </c>
      <c r="AC27" s="90">
        <f>AVERAGE(W27:Y27)</f>
        <v>50.851768662020667</v>
      </c>
      <c r="AD27" s="90">
        <f>STDEV(W27:Y27)</f>
        <v>2.3976127019283209</v>
      </c>
      <c r="AE27" s="90">
        <f>AD27/SQRT(3)</f>
        <v>1.3842623388707822</v>
      </c>
      <c r="AF27" s="94" t="s">
        <v>666</v>
      </c>
    </row>
    <row r="28" spans="2:32">
      <c r="B28" t="s">
        <v>28</v>
      </c>
      <c r="C28" t="s">
        <v>443</v>
      </c>
      <c r="D28">
        <v>19.356000000000002</v>
      </c>
      <c r="F28" t="s">
        <v>445</v>
      </c>
      <c r="G28" t="s">
        <v>443</v>
      </c>
      <c r="H28">
        <v>20.902000000000001</v>
      </c>
      <c r="I28">
        <f>H28-E29</f>
        <v>1.4973333333333336</v>
      </c>
      <c r="J28">
        <f t="shared" si="2"/>
        <v>0.35420750036180837</v>
      </c>
      <c r="P28">
        <f t="shared" si="3"/>
        <v>275.99643484565252</v>
      </c>
      <c r="S28" s="90"/>
      <c r="T28" s="90"/>
      <c r="U28" s="90"/>
      <c r="V28" s="90"/>
      <c r="W28" s="90"/>
      <c r="X28" s="90"/>
      <c r="Y28" s="90"/>
      <c r="Z28" s="90"/>
      <c r="AA28" s="90"/>
      <c r="AB28" s="90"/>
      <c r="AC28" s="90"/>
      <c r="AD28" s="90"/>
      <c r="AE28" s="90"/>
      <c r="AF28" s="90"/>
    </row>
    <row r="29" spans="2:32">
      <c r="B29" t="s">
        <v>28</v>
      </c>
      <c r="C29" t="s">
        <v>443</v>
      </c>
      <c r="D29">
        <v>21.852</v>
      </c>
      <c r="E29">
        <f>AVERAGE(D27:D29)</f>
        <v>19.404666666666667</v>
      </c>
      <c r="F29" t="s">
        <v>445</v>
      </c>
      <c r="G29" t="s">
        <v>443</v>
      </c>
      <c r="H29">
        <v>20.87</v>
      </c>
      <c r="I29">
        <f>H29-E29</f>
        <v>1.4653333333333336</v>
      </c>
      <c r="J29">
        <f t="shared" si="2"/>
        <v>0.36215185412593726</v>
      </c>
      <c r="K29">
        <f>AVERAGE(J27:J29)</f>
        <v>0.36076540644572086</v>
      </c>
      <c r="L29">
        <f>STDEVA(J27:J29)</f>
        <v>5.9863324079336274E-3</v>
      </c>
      <c r="M29">
        <f>SQRT(3)</f>
        <v>1.7320508075688772</v>
      </c>
      <c r="N29">
        <f>L29/M29</f>
        <v>3.4562106271790608E-3</v>
      </c>
      <c r="P29">
        <f t="shared" si="3"/>
        <v>282.18662933281769</v>
      </c>
    </row>
    <row r="30" spans="2:32">
      <c r="B30" t="s">
        <v>28</v>
      </c>
      <c r="C30" t="s">
        <v>444</v>
      </c>
      <c r="D30">
        <v>17.28</v>
      </c>
      <c r="F30" t="s">
        <v>445</v>
      </c>
      <c r="G30" t="s">
        <v>444</v>
      </c>
      <c r="H30">
        <v>22.565999999999999</v>
      </c>
      <c r="I30">
        <f>H30-E32</f>
        <v>3.989333333333331</v>
      </c>
      <c r="J30">
        <f t="shared" si="2"/>
        <v>6.2963810615639076E-2</v>
      </c>
      <c r="P30">
        <f t="shared" si="3"/>
        <v>49.061036924578225</v>
      </c>
    </row>
    <row r="31" spans="2:32">
      <c r="B31" t="s">
        <v>28</v>
      </c>
      <c r="C31" t="s">
        <v>444</v>
      </c>
      <c r="D31">
        <v>19.405000000000001</v>
      </c>
      <c r="F31" t="s">
        <v>445</v>
      </c>
      <c r="G31" t="s">
        <v>444</v>
      </c>
      <c r="H31">
        <v>22.541</v>
      </c>
      <c r="I31">
        <f>H31-E32</f>
        <v>3.9643333333333324</v>
      </c>
      <c r="J31">
        <f t="shared" si="2"/>
        <v>6.4064398638812234E-2</v>
      </c>
      <c r="P31">
        <f t="shared" si="3"/>
        <v>49.918608744258329</v>
      </c>
    </row>
    <row r="32" spans="2:32">
      <c r="B32" t="s">
        <v>28</v>
      </c>
      <c r="C32" t="s">
        <v>444</v>
      </c>
      <c r="D32">
        <v>19.045000000000002</v>
      </c>
      <c r="E32">
        <f>AVERAGE(D30:D32)</f>
        <v>18.576666666666668</v>
      </c>
      <c r="F32" t="s">
        <v>445</v>
      </c>
      <c r="G32" t="s">
        <v>444</v>
      </c>
      <c r="H32">
        <v>22.439</v>
      </c>
      <c r="I32">
        <f>H32-E32</f>
        <v>3.8623333333333321</v>
      </c>
      <c r="J32">
        <f t="shared" si="2"/>
        <v>6.875777483071599E-2</v>
      </c>
      <c r="K32">
        <f>AVERAGE(J30:J32)</f>
        <v>6.5261994695055767E-2</v>
      </c>
      <c r="L32">
        <f>STDEVA(J30:J32)</f>
        <v>3.0770412033064337E-3</v>
      </c>
      <c r="M32">
        <f>SQRT(3)</f>
        <v>1.7320508075688772</v>
      </c>
      <c r="N32">
        <f>L32/M32</f>
        <v>1.7765305670365396E-3</v>
      </c>
      <c r="P32">
        <f t="shared" si="3"/>
        <v>53.575660317225442</v>
      </c>
    </row>
  </sheetData>
  <mergeCells count="4">
    <mergeCell ref="T7:V7"/>
    <mergeCell ref="W7:Y7"/>
    <mergeCell ref="T25:V25"/>
    <mergeCell ref="W25:Y25"/>
  </mergeCells>
  <phoneticPr fontId="2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5E29AD-5B67-7545-B366-3ECAC7F51971}">
  <dimension ref="A1:AC20"/>
  <sheetViews>
    <sheetView topLeftCell="I1" zoomScale="134" workbookViewId="0">
      <selection activeCell="K6" sqref="K6:R13"/>
    </sheetView>
  </sheetViews>
  <sheetFormatPr baseColWidth="10" defaultRowHeight="16"/>
  <cols>
    <col min="11" max="11" width="14.5" bestFit="1" customWidth="1"/>
  </cols>
  <sheetData>
    <row r="1" spans="1:29">
      <c r="A1" t="s">
        <v>183</v>
      </c>
    </row>
    <row r="3" spans="1:29">
      <c r="A3" s="55"/>
      <c r="B3" s="55">
        <v>249</v>
      </c>
      <c r="C3" s="55">
        <v>51724</v>
      </c>
      <c r="D3" s="55">
        <v>4.7999999999999996E-3</v>
      </c>
      <c r="E3" s="55" t="s">
        <v>428</v>
      </c>
      <c r="F3" s="55"/>
      <c r="G3" s="55">
        <f>AVERAGE(D3:D5)</f>
        <v>7.566666666666666E-3</v>
      </c>
      <c r="H3" s="55">
        <v>7.566666666666666E-3</v>
      </c>
      <c r="I3" s="55">
        <f>D3/0.00756666666666667</f>
        <v>0.63436123348017581</v>
      </c>
      <c r="L3">
        <v>0.63436123348017581</v>
      </c>
      <c r="M3">
        <v>0.99118942731277482</v>
      </c>
      <c r="N3">
        <v>1.3744493392070478</v>
      </c>
      <c r="O3">
        <v>32.263329863729986</v>
      </c>
      <c r="P3">
        <v>35.665607421569042</v>
      </c>
      <c r="Q3">
        <v>26.865090697268467</v>
      </c>
      <c r="R3">
        <v>9.6211453744493358</v>
      </c>
      <c r="S3">
        <v>14.273127753303958</v>
      </c>
      <c r="T3">
        <v>23.524229074889856</v>
      </c>
      <c r="U3">
        <v>15.422907488986777</v>
      </c>
      <c r="V3">
        <v>27.462555066079283</v>
      </c>
      <c r="W3">
        <v>26.696035242290737</v>
      </c>
      <c r="X3">
        <v>22.453744493392058</v>
      </c>
      <c r="Y3">
        <v>17.29955947136563</v>
      </c>
      <c r="Z3">
        <v>21.475770925110123</v>
      </c>
      <c r="AA3">
        <v>13.886336779889302</v>
      </c>
      <c r="AB3">
        <v>20.811492982198686</v>
      </c>
      <c r="AC3">
        <v>15.859235975443132</v>
      </c>
    </row>
    <row r="4" spans="1:29">
      <c r="A4" s="55"/>
      <c r="B4" s="55">
        <v>185</v>
      </c>
      <c r="C4" s="55">
        <v>24662</v>
      </c>
      <c r="D4" s="55">
        <v>7.4999999999999997E-3</v>
      </c>
      <c r="E4" s="55"/>
      <c r="F4" s="55"/>
      <c r="G4" s="55"/>
      <c r="H4" s="55"/>
      <c r="I4" s="55">
        <f t="shared" ref="I4:I20" si="0">D4/0.00756666666666667</f>
        <v>0.99118942731277482</v>
      </c>
    </row>
    <row r="5" spans="1:29">
      <c r="A5" s="55"/>
      <c r="B5" s="55">
        <v>111</v>
      </c>
      <c r="C5" s="55">
        <v>10682</v>
      </c>
      <c r="D5" s="55">
        <v>1.04E-2</v>
      </c>
      <c r="E5" s="55"/>
      <c r="F5" s="55"/>
      <c r="G5" s="55"/>
      <c r="H5" s="55"/>
      <c r="I5" s="55">
        <f t="shared" si="0"/>
        <v>1.3744493392070478</v>
      </c>
    </row>
    <row r="6" spans="1:29">
      <c r="A6" s="55"/>
      <c r="B6" s="55">
        <v>5943</v>
      </c>
      <c r="C6" s="55">
        <v>24344</v>
      </c>
      <c r="D6" s="55">
        <f>B6/C6</f>
        <v>0.24412586263555702</v>
      </c>
      <c r="E6" s="55" t="s">
        <v>429</v>
      </c>
      <c r="F6" s="55"/>
      <c r="G6" s="55"/>
      <c r="H6" s="55"/>
      <c r="I6" s="55">
        <f t="shared" si="0"/>
        <v>32.263329863729986</v>
      </c>
      <c r="K6" s="90"/>
      <c r="L6" s="90"/>
      <c r="M6" s="90"/>
      <c r="N6" s="90"/>
      <c r="O6" s="90" t="s">
        <v>663</v>
      </c>
      <c r="P6" s="90" t="s">
        <v>396</v>
      </c>
      <c r="Q6" s="90" t="s">
        <v>664</v>
      </c>
      <c r="R6" s="90" t="s">
        <v>665</v>
      </c>
    </row>
    <row r="7" spans="1:29">
      <c r="A7" s="55"/>
      <c r="B7" s="55">
        <v>7066</v>
      </c>
      <c r="C7" s="55">
        <v>26183</v>
      </c>
      <c r="D7" s="55">
        <f>B7/C7</f>
        <v>0.26986976282320591</v>
      </c>
      <c r="E7" s="55"/>
      <c r="F7" s="55"/>
      <c r="G7" s="55"/>
      <c r="H7" s="55"/>
      <c r="I7" s="55">
        <f t="shared" si="0"/>
        <v>35.665607421569042</v>
      </c>
      <c r="K7" s="95" t="s">
        <v>428</v>
      </c>
      <c r="L7" s="90">
        <v>0.63436123348017581</v>
      </c>
      <c r="M7" s="90">
        <v>0.99118942731277482</v>
      </c>
      <c r="N7" s="90">
        <v>1.3744493392070478</v>
      </c>
      <c r="O7" s="90">
        <f>AVERAGE(L7:N7)</f>
        <v>0.99999999999999944</v>
      </c>
      <c r="P7" s="90">
        <f>STDEV(L7:N7)</f>
        <v>0.37012271033118888</v>
      </c>
      <c r="Q7" s="90">
        <f>P7/SQRT(3)</f>
        <v>0.2136904464429058</v>
      </c>
      <c r="R7" s="94" t="s">
        <v>666</v>
      </c>
    </row>
    <row r="8" spans="1:29">
      <c r="A8" s="55"/>
      <c r="B8" s="55">
        <v>4017</v>
      </c>
      <c r="C8" s="55">
        <v>19761</v>
      </c>
      <c r="D8" s="55">
        <f>B8/C8</f>
        <v>0.20327918627599817</v>
      </c>
      <c r="E8" s="55"/>
      <c r="F8" s="55"/>
      <c r="G8" s="55"/>
      <c r="H8" s="55"/>
      <c r="I8" s="55">
        <f t="shared" si="0"/>
        <v>26.865090697268467</v>
      </c>
      <c r="K8" s="95" t="s">
        <v>429</v>
      </c>
      <c r="L8" s="90">
        <v>32.263329863729986</v>
      </c>
      <c r="M8" s="90">
        <v>35.665607421569042</v>
      </c>
      <c r="N8" s="90">
        <v>26.865090697268467</v>
      </c>
      <c r="O8" s="90">
        <f t="shared" ref="O8:O12" si="1">AVERAGE(L8:N8)</f>
        <v>31.598009327522501</v>
      </c>
      <c r="P8" s="90">
        <f t="shared" ref="P8:P12" si="2">STDEV(L8:N8)</f>
        <v>4.4378217872733439</v>
      </c>
      <c r="Q8" s="90">
        <f t="shared" ref="Q8:Q12" si="3">P8/SQRT(3)</f>
        <v>2.5621776034978514</v>
      </c>
      <c r="R8" s="90"/>
    </row>
    <row r="9" spans="1:29">
      <c r="A9" s="55"/>
      <c r="B9" s="55">
        <v>1295</v>
      </c>
      <c r="C9" s="55">
        <v>17789</v>
      </c>
      <c r="D9" s="55">
        <v>7.2800000000000004E-2</v>
      </c>
      <c r="E9" s="55" t="s">
        <v>430</v>
      </c>
      <c r="F9" s="55"/>
      <c r="G9" s="55"/>
      <c r="H9" s="55"/>
      <c r="I9" s="55">
        <f t="shared" si="0"/>
        <v>9.6211453744493358</v>
      </c>
      <c r="K9" s="95" t="s">
        <v>668</v>
      </c>
      <c r="L9" s="90">
        <v>9.6211453744493358</v>
      </c>
      <c r="M9" s="90">
        <v>14.273127753303958</v>
      </c>
      <c r="N9" s="90">
        <v>23.524229074889856</v>
      </c>
      <c r="O9" s="90">
        <f t="shared" si="1"/>
        <v>15.806167400881051</v>
      </c>
      <c r="P9" s="90">
        <f t="shared" si="2"/>
        <v>7.077188143333915</v>
      </c>
      <c r="Q9" s="90">
        <f t="shared" si="3"/>
        <v>4.086016479659464</v>
      </c>
      <c r="R9" s="94">
        <v>6.4000000000000003E-3</v>
      </c>
    </row>
    <row r="10" spans="1:29">
      <c r="A10" s="55"/>
      <c r="B10" s="55">
        <v>1754</v>
      </c>
      <c r="C10" s="55">
        <v>16248</v>
      </c>
      <c r="D10" s="55">
        <v>0.108</v>
      </c>
      <c r="E10" s="55"/>
      <c r="F10" s="55"/>
      <c r="G10" s="55"/>
      <c r="H10" s="55"/>
      <c r="I10" s="55">
        <f t="shared" si="0"/>
        <v>14.273127753303958</v>
      </c>
      <c r="K10" s="95" t="s">
        <v>669</v>
      </c>
      <c r="L10" s="90">
        <v>15.422907488986777</v>
      </c>
      <c r="M10" s="90">
        <v>27.462555066079283</v>
      </c>
      <c r="N10" s="90">
        <v>26.696035242290737</v>
      </c>
      <c r="O10" s="90">
        <f t="shared" si="1"/>
        <v>23.193832599118931</v>
      </c>
      <c r="P10" s="90">
        <f t="shared" si="2"/>
        <v>6.7407229553310746</v>
      </c>
      <c r="Q10" s="90">
        <f t="shared" si="3"/>
        <v>3.8917582127930856</v>
      </c>
      <c r="R10" s="94">
        <v>0.1739</v>
      </c>
    </row>
    <row r="11" spans="1:29">
      <c r="A11" s="55"/>
      <c r="B11" s="55">
        <v>667</v>
      </c>
      <c r="C11" s="55">
        <v>3746</v>
      </c>
      <c r="D11" s="55">
        <v>0.17799999999999999</v>
      </c>
      <c r="E11" s="55"/>
      <c r="F11" s="55"/>
      <c r="G11" s="55"/>
      <c r="H11" s="55"/>
      <c r="I11" s="55">
        <f t="shared" si="0"/>
        <v>23.524229074889856</v>
      </c>
      <c r="K11" s="95" t="s">
        <v>670</v>
      </c>
      <c r="L11" s="90">
        <v>22.453744493392058</v>
      </c>
      <c r="M11" s="90">
        <v>17.29955947136563</v>
      </c>
      <c r="N11" s="90">
        <v>21.475770925110123</v>
      </c>
      <c r="O11" s="90">
        <f t="shared" si="1"/>
        <v>20.40969162995594</v>
      </c>
      <c r="P11" s="90">
        <f t="shared" si="2"/>
        <v>2.7374805219375764</v>
      </c>
      <c r="Q11" s="90">
        <f t="shared" si="3"/>
        <v>1.580485116242017</v>
      </c>
      <c r="R11" s="94">
        <v>5.1700000000000003E-2</v>
      </c>
    </row>
    <row r="12" spans="1:29">
      <c r="A12" s="55"/>
      <c r="B12" s="55">
        <v>5107</v>
      </c>
      <c r="C12" s="55">
        <v>43757</v>
      </c>
      <c r="D12" s="55">
        <v>0.1167</v>
      </c>
      <c r="E12" s="55" t="s">
        <v>431</v>
      </c>
      <c r="F12" s="55"/>
      <c r="G12" s="55"/>
      <c r="H12" s="55"/>
      <c r="I12" s="55">
        <f t="shared" si="0"/>
        <v>15.422907488986777</v>
      </c>
      <c r="K12" s="95" t="s">
        <v>671</v>
      </c>
      <c r="L12" s="90">
        <v>13.886336779889302</v>
      </c>
      <c r="M12" s="90">
        <v>20.811492982198686</v>
      </c>
      <c r="N12" s="90">
        <v>15.859235975443132</v>
      </c>
      <c r="O12" s="90">
        <f t="shared" si="1"/>
        <v>16.852355245843707</v>
      </c>
      <c r="P12" s="90">
        <f t="shared" si="2"/>
        <v>3.5677950502413456</v>
      </c>
      <c r="Q12" s="90">
        <f t="shared" si="3"/>
        <v>2.0598674326702553</v>
      </c>
      <c r="R12" s="94">
        <v>1.0200000000000001E-2</v>
      </c>
    </row>
    <row r="13" spans="1:29">
      <c r="A13" s="55"/>
      <c r="B13" s="55">
        <v>18939</v>
      </c>
      <c r="C13" s="55">
        <v>91140</v>
      </c>
      <c r="D13" s="55">
        <v>0.20780000000000001</v>
      </c>
      <c r="E13" s="55"/>
      <c r="F13" s="55"/>
      <c r="G13" s="55"/>
      <c r="H13" s="55"/>
      <c r="I13" s="55">
        <f t="shared" si="0"/>
        <v>27.462555066079283</v>
      </c>
      <c r="K13" s="90"/>
      <c r="L13" s="90"/>
      <c r="M13" s="90"/>
      <c r="N13" s="90"/>
      <c r="O13" s="90"/>
      <c r="P13" s="90"/>
      <c r="Q13" s="90"/>
      <c r="R13" s="94"/>
    </row>
    <row r="14" spans="1:29">
      <c r="A14" s="55"/>
      <c r="B14" s="55">
        <v>5366</v>
      </c>
      <c r="C14" s="55">
        <v>26563</v>
      </c>
      <c r="D14" s="55">
        <v>0.20200000000000001</v>
      </c>
      <c r="E14" s="55"/>
      <c r="F14" s="55"/>
      <c r="G14" s="55"/>
      <c r="H14" s="55"/>
      <c r="I14" s="55">
        <f t="shared" si="0"/>
        <v>26.696035242290737</v>
      </c>
    </row>
    <row r="15" spans="1:29">
      <c r="A15" s="55"/>
      <c r="B15" s="55">
        <v>26809</v>
      </c>
      <c r="C15" s="55">
        <v>157814</v>
      </c>
      <c r="D15" s="55">
        <v>0.1699</v>
      </c>
      <c r="E15" s="55" t="s">
        <v>434</v>
      </c>
      <c r="F15" s="55"/>
      <c r="G15" s="55"/>
      <c r="H15" s="55"/>
      <c r="I15" s="55">
        <f t="shared" si="0"/>
        <v>22.453744493392058</v>
      </c>
    </row>
    <row r="16" spans="1:29">
      <c r="A16" s="55"/>
      <c r="B16" s="55">
        <v>19682</v>
      </c>
      <c r="C16" s="55">
        <v>150370</v>
      </c>
      <c r="D16" s="55">
        <v>0.13089999999999999</v>
      </c>
      <c r="E16" s="55"/>
      <c r="F16" s="55"/>
      <c r="G16" s="55"/>
      <c r="H16" s="55"/>
      <c r="I16" s="55">
        <f t="shared" si="0"/>
        <v>17.29955947136563</v>
      </c>
    </row>
    <row r="17" spans="1:9">
      <c r="A17" s="55"/>
      <c r="B17" s="55">
        <v>12231</v>
      </c>
      <c r="C17" s="55">
        <v>75267</v>
      </c>
      <c r="D17" s="55">
        <v>0.16250000000000001</v>
      </c>
      <c r="E17" s="55"/>
      <c r="F17" s="55"/>
      <c r="G17" s="55"/>
      <c r="H17" s="55"/>
      <c r="I17" s="55">
        <f t="shared" si="0"/>
        <v>21.475770925110123</v>
      </c>
    </row>
    <row r="18" spans="1:9">
      <c r="A18" s="55"/>
      <c r="B18" s="54">
        <v>1349426</v>
      </c>
      <c r="C18" s="54">
        <v>12842713</v>
      </c>
      <c r="D18" s="54">
        <f>B18/C18</f>
        <v>0.10507328163449577</v>
      </c>
      <c r="E18" s="55" t="s">
        <v>533</v>
      </c>
      <c r="F18" s="55"/>
      <c r="G18" s="55"/>
      <c r="H18" s="55"/>
      <c r="I18" s="55">
        <f t="shared" si="0"/>
        <v>13.886336779889302</v>
      </c>
    </row>
    <row r="19" spans="1:9">
      <c r="A19" s="55"/>
      <c r="B19" s="54">
        <v>1593173</v>
      </c>
      <c r="C19" s="54">
        <v>10117078</v>
      </c>
      <c r="D19" s="54">
        <f>B19/C19</f>
        <v>0.15747363023197014</v>
      </c>
      <c r="E19" s="55"/>
      <c r="F19" s="55"/>
      <c r="G19" s="55"/>
      <c r="H19" s="55"/>
      <c r="I19" s="55">
        <f t="shared" si="0"/>
        <v>20.811492982198686</v>
      </c>
    </row>
    <row r="20" spans="1:9">
      <c r="A20" s="55"/>
      <c r="B20" s="54">
        <v>1707003</v>
      </c>
      <c r="C20" s="54">
        <v>14224841</v>
      </c>
      <c r="D20" s="54">
        <f>B20/C20</f>
        <v>0.12000155221418643</v>
      </c>
      <c r="E20" s="55"/>
      <c r="F20" s="55"/>
      <c r="G20" s="55"/>
      <c r="H20" s="55"/>
      <c r="I20" s="55">
        <f t="shared" si="0"/>
        <v>15.859235975443132</v>
      </c>
    </row>
  </sheetData>
  <phoneticPr fontId="2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5D7C5-07CE-D347-8D58-2EB9F0889BF7}">
  <dimension ref="A1:AD21"/>
  <sheetViews>
    <sheetView topLeftCell="I1" zoomScale="125" workbookViewId="0">
      <selection activeCell="L9" sqref="L9:S16"/>
    </sheetView>
  </sheetViews>
  <sheetFormatPr baseColWidth="10" defaultRowHeight="16"/>
  <cols>
    <col min="12" max="12" width="14.5" bestFit="1" customWidth="1"/>
  </cols>
  <sheetData>
    <row r="1" spans="1:30">
      <c r="A1" t="s">
        <v>0</v>
      </c>
    </row>
    <row r="3" spans="1:30">
      <c r="M3">
        <v>1.3046251993620412</v>
      </c>
      <c r="N3">
        <v>0.57097288676236035</v>
      </c>
      <c r="O3">
        <v>1.1244019138755978</v>
      </c>
      <c r="P3">
        <v>18.430622009569376</v>
      </c>
      <c r="Q3">
        <v>17.435406698564591</v>
      </c>
      <c r="R3">
        <v>21.089314194577351</v>
      </c>
      <c r="S3">
        <v>12.338118022328548</v>
      </c>
      <c r="T3">
        <v>9.950558213716107</v>
      </c>
      <c r="U3">
        <v>5.620414673046251</v>
      </c>
      <c r="V3">
        <v>5.8421052631578947</v>
      </c>
      <c r="W3">
        <v>5.1722488038277508</v>
      </c>
      <c r="X3">
        <v>2.8181818181818179</v>
      </c>
      <c r="Y3">
        <v>3.0634865571823751</v>
      </c>
      <c r="Z3">
        <v>1.8762631633014462</v>
      </c>
      <c r="AA3">
        <v>1.4003742677752296</v>
      </c>
      <c r="AB3">
        <v>1.1738437001594895</v>
      </c>
      <c r="AC3">
        <v>1.1515151515151514</v>
      </c>
      <c r="AD3">
        <v>1.2121212121212119</v>
      </c>
    </row>
    <row r="4" spans="1:30">
      <c r="B4" s="55"/>
      <c r="C4" s="55">
        <v>1655</v>
      </c>
      <c r="D4" s="55">
        <v>20245</v>
      </c>
      <c r="E4" s="55">
        <v>8.1799999999999998E-2</v>
      </c>
      <c r="F4" s="55" t="s">
        <v>428</v>
      </c>
      <c r="G4" s="55"/>
      <c r="H4" s="55">
        <f>AVERAGE(E4:E6)</f>
        <v>6.2699999999999992E-2</v>
      </c>
      <c r="I4" s="55">
        <v>6.2699999999999992E-2</v>
      </c>
      <c r="J4" s="55">
        <f t="shared" ref="J4:J21" si="0">E4/0.0627</f>
        <v>1.3046251993620412</v>
      </c>
    </row>
    <row r="5" spans="1:30">
      <c r="B5" s="55"/>
      <c r="C5" s="55">
        <v>1165</v>
      </c>
      <c r="D5" s="55">
        <v>32605</v>
      </c>
      <c r="E5" s="55">
        <v>3.5799999999999998E-2</v>
      </c>
      <c r="F5" s="55"/>
      <c r="G5" s="55"/>
      <c r="H5" s="55"/>
      <c r="I5" s="55"/>
      <c r="J5" s="55">
        <f t="shared" si="0"/>
        <v>0.57097288676236035</v>
      </c>
    </row>
    <row r="6" spans="1:30">
      <c r="B6" s="55"/>
      <c r="C6" s="55">
        <v>1978</v>
      </c>
      <c r="D6" s="55">
        <v>28080</v>
      </c>
      <c r="E6" s="55">
        <v>7.0499999999999993E-2</v>
      </c>
      <c r="F6" s="55"/>
      <c r="G6" s="55"/>
      <c r="H6" s="55"/>
      <c r="I6" s="55"/>
      <c r="J6" s="55">
        <f t="shared" si="0"/>
        <v>1.1244019138755978</v>
      </c>
    </row>
    <row r="7" spans="1:30">
      <c r="B7" s="55"/>
      <c r="C7" s="55">
        <v>32852</v>
      </c>
      <c r="D7" s="55">
        <v>28427</v>
      </c>
      <c r="E7" s="55">
        <v>1.1556</v>
      </c>
      <c r="F7" s="55" t="s">
        <v>429</v>
      </c>
      <c r="G7" s="55"/>
      <c r="H7" s="55"/>
      <c r="I7" s="55"/>
      <c r="J7" s="55">
        <f t="shared" si="0"/>
        <v>18.430622009569376</v>
      </c>
    </row>
    <row r="8" spans="1:30">
      <c r="B8" s="55"/>
      <c r="C8" s="55">
        <v>35022</v>
      </c>
      <c r="D8" s="55">
        <v>32036</v>
      </c>
      <c r="E8" s="55">
        <v>1.0931999999999999</v>
      </c>
      <c r="F8" s="55"/>
      <c r="G8" s="55"/>
      <c r="H8" s="55"/>
      <c r="I8" s="55"/>
      <c r="J8" s="55">
        <f t="shared" si="0"/>
        <v>17.435406698564591</v>
      </c>
    </row>
    <row r="9" spans="1:30">
      <c r="B9" s="55"/>
      <c r="C9" s="55">
        <v>32183</v>
      </c>
      <c r="D9" s="55">
        <v>24339</v>
      </c>
      <c r="E9" s="55">
        <v>1.3223</v>
      </c>
      <c r="F9" s="55"/>
      <c r="G9" s="55"/>
      <c r="H9" s="55"/>
      <c r="I9" s="55"/>
      <c r="J9" s="55">
        <f t="shared" si="0"/>
        <v>21.089314194577351</v>
      </c>
      <c r="L9" s="90"/>
      <c r="M9" s="90"/>
      <c r="N9" s="90"/>
      <c r="O9" s="90"/>
      <c r="P9" s="90" t="s">
        <v>663</v>
      </c>
      <c r="Q9" s="90" t="s">
        <v>396</v>
      </c>
      <c r="R9" s="90" t="s">
        <v>664</v>
      </c>
      <c r="S9" s="90" t="s">
        <v>665</v>
      </c>
    </row>
    <row r="10" spans="1:30">
      <c r="B10" s="55"/>
      <c r="C10" s="55">
        <v>7227</v>
      </c>
      <c r="D10" s="55">
        <v>9341</v>
      </c>
      <c r="E10" s="55">
        <v>0.77359999999999995</v>
      </c>
      <c r="F10" s="55" t="s">
        <v>433</v>
      </c>
      <c r="G10" s="55"/>
      <c r="H10" s="55"/>
      <c r="I10" s="55"/>
      <c r="J10" s="55">
        <f t="shared" si="0"/>
        <v>12.338118022328548</v>
      </c>
      <c r="L10" s="95" t="s">
        <v>428</v>
      </c>
      <c r="M10" s="90">
        <v>1.3046251993620412</v>
      </c>
      <c r="N10" s="90">
        <v>0.57097288676236035</v>
      </c>
      <c r="O10" s="90">
        <v>1.1244019138755978</v>
      </c>
      <c r="P10" s="90">
        <f>AVERAGE(M10:O10)</f>
        <v>0.99999999999999967</v>
      </c>
      <c r="Q10" s="90">
        <f>STDEV(M10:O10)</f>
        <v>0.38231963862408286</v>
      </c>
      <c r="R10" s="90">
        <f>Q10/SQRT(3)</f>
        <v>0.2207323462760947</v>
      </c>
      <c r="S10" s="94" t="s">
        <v>666</v>
      </c>
    </row>
    <row r="11" spans="1:30">
      <c r="B11" s="55"/>
      <c r="C11" s="55">
        <v>9656</v>
      </c>
      <c r="D11" s="55">
        <v>15477</v>
      </c>
      <c r="E11" s="55">
        <v>0.62390000000000001</v>
      </c>
      <c r="F11" s="55"/>
      <c r="G11" s="55"/>
      <c r="H11" s="55"/>
      <c r="I11" s="55"/>
      <c r="J11" s="55">
        <f t="shared" si="0"/>
        <v>9.950558213716107</v>
      </c>
      <c r="L11" s="95" t="s">
        <v>429</v>
      </c>
      <c r="M11" s="90">
        <v>18.430622009569376</v>
      </c>
      <c r="N11" s="90">
        <v>17.435406698564591</v>
      </c>
      <c r="O11" s="90">
        <v>21.089314194577351</v>
      </c>
      <c r="P11" s="90">
        <f t="shared" ref="P11:P15" si="1">AVERAGE(M11:O11)</f>
        <v>18.985114300903774</v>
      </c>
      <c r="Q11" s="90">
        <f t="shared" ref="Q11:Q15" si="2">STDEV(M11:O11)</f>
        <v>1.8890093364556226</v>
      </c>
      <c r="R11" s="90">
        <f t="shared" ref="R11:R15" si="3">Q11/SQRT(3)</f>
        <v>1.09062004890437</v>
      </c>
      <c r="S11" s="90"/>
    </row>
    <row r="12" spans="1:30">
      <c r="B12" s="55"/>
      <c r="C12" s="55">
        <v>6997</v>
      </c>
      <c r="D12" s="55">
        <v>19853</v>
      </c>
      <c r="E12" s="55">
        <v>0.35239999999999999</v>
      </c>
      <c r="F12" s="55"/>
      <c r="G12" s="55"/>
      <c r="H12" s="55"/>
      <c r="I12" s="55"/>
      <c r="J12" s="55">
        <f t="shared" si="0"/>
        <v>5.620414673046251</v>
      </c>
      <c r="L12" s="95" t="s">
        <v>668</v>
      </c>
      <c r="M12" s="90">
        <v>12.338118022328548</v>
      </c>
      <c r="N12" s="90">
        <v>9.950558213716107</v>
      </c>
      <c r="O12" s="90">
        <v>5.620414673046251</v>
      </c>
      <c r="P12" s="90">
        <f t="shared" si="1"/>
        <v>9.3030303030303028</v>
      </c>
      <c r="Q12" s="90">
        <f t="shared" si="2"/>
        <v>3.4053419605933066</v>
      </c>
      <c r="R12" s="90">
        <f t="shared" si="3"/>
        <v>1.9660750976312737</v>
      </c>
      <c r="S12" s="94">
        <v>1E-4</v>
      </c>
    </row>
    <row r="13" spans="1:30">
      <c r="B13" s="55"/>
      <c r="C13" s="55">
        <v>22663</v>
      </c>
      <c r="D13" s="55">
        <v>61878</v>
      </c>
      <c r="E13" s="55">
        <v>0.36630000000000001</v>
      </c>
      <c r="F13" s="55" t="s">
        <v>431</v>
      </c>
      <c r="G13" s="55"/>
      <c r="H13" s="55"/>
      <c r="I13" s="55"/>
      <c r="J13" s="55">
        <f t="shared" si="0"/>
        <v>5.8421052631578947</v>
      </c>
      <c r="L13" s="95" t="s">
        <v>669</v>
      </c>
      <c r="M13" s="90">
        <v>5.8421052631578947</v>
      </c>
      <c r="N13" s="90">
        <v>5.1722488038277508</v>
      </c>
      <c r="O13" s="90">
        <v>2.8181818181818179</v>
      </c>
      <c r="P13" s="90">
        <f t="shared" si="1"/>
        <v>4.6108452950558219</v>
      </c>
      <c r="Q13" s="90">
        <f t="shared" si="2"/>
        <v>1.5882092667577117</v>
      </c>
      <c r="R13" s="90">
        <f t="shared" si="3"/>
        <v>0.91695304769202302</v>
      </c>
      <c r="S13" s="94" t="s">
        <v>666</v>
      </c>
    </row>
    <row r="14" spans="1:30">
      <c r="B14" s="55"/>
      <c r="C14" s="55">
        <v>14958</v>
      </c>
      <c r="D14" s="55">
        <v>46125</v>
      </c>
      <c r="E14" s="55">
        <v>0.32429999999999998</v>
      </c>
      <c r="F14" s="55"/>
      <c r="G14" s="55"/>
      <c r="H14" s="55"/>
      <c r="I14" s="55"/>
      <c r="J14" s="55">
        <f t="shared" si="0"/>
        <v>5.1722488038277508</v>
      </c>
      <c r="L14" s="95" t="s">
        <v>670</v>
      </c>
      <c r="M14" s="90">
        <v>3.0634865571823751</v>
      </c>
      <c r="N14" s="90">
        <v>1.8762631633014462</v>
      </c>
      <c r="O14" s="90">
        <v>1.4003742677752296</v>
      </c>
      <c r="P14" s="90">
        <f t="shared" si="1"/>
        <v>2.1133746627530168</v>
      </c>
      <c r="Q14" s="90">
        <f t="shared" si="2"/>
        <v>0.85653489080912415</v>
      </c>
      <c r="R14" s="90">
        <f t="shared" si="3"/>
        <v>0.49452064977895455</v>
      </c>
      <c r="S14" s="94" t="s">
        <v>666</v>
      </c>
    </row>
    <row r="15" spans="1:30">
      <c r="B15" s="55"/>
      <c r="C15" s="55">
        <v>4060</v>
      </c>
      <c r="D15" s="55">
        <v>22984</v>
      </c>
      <c r="E15" s="55">
        <v>0.1767</v>
      </c>
      <c r="F15" s="55"/>
      <c r="G15" s="55"/>
      <c r="H15" s="55"/>
      <c r="I15" s="55"/>
      <c r="J15" s="55">
        <f t="shared" si="0"/>
        <v>2.8181818181818179</v>
      </c>
      <c r="L15" s="95" t="s">
        <v>671</v>
      </c>
      <c r="M15" s="90">
        <v>1.1738437001594895</v>
      </c>
      <c r="N15" s="90">
        <v>1.1515151515151514</v>
      </c>
      <c r="O15" s="90">
        <v>1.2121212121212119</v>
      </c>
      <c r="P15" s="90">
        <f t="shared" si="1"/>
        <v>1.1791600212652842</v>
      </c>
      <c r="Q15" s="90">
        <f t="shared" si="2"/>
        <v>3.0650792781285619E-2</v>
      </c>
      <c r="R15" s="90">
        <f t="shared" si="3"/>
        <v>1.7696243463150692E-2</v>
      </c>
      <c r="S15" s="94" t="s">
        <v>666</v>
      </c>
    </row>
    <row r="16" spans="1:30">
      <c r="B16" s="55"/>
      <c r="C16" s="55">
        <v>28271</v>
      </c>
      <c r="D16" s="55">
        <v>147183</v>
      </c>
      <c r="E16" s="55">
        <f>C16/D16</f>
        <v>0.19208060713533492</v>
      </c>
      <c r="F16" s="55" t="s">
        <v>434</v>
      </c>
      <c r="G16" s="55"/>
      <c r="H16" s="55"/>
      <c r="I16" s="55"/>
      <c r="J16" s="55">
        <f t="shared" si="0"/>
        <v>3.0634865571823751</v>
      </c>
      <c r="L16" s="90"/>
      <c r="M16" s="90"/>
      <c r="N16" s="90"/>
      <c r="O16" s="90"/>
      <c r="P16" s="90"/>
      <c r="Q16" s="90"/>
      <c r="R16" s="90"/>
      <c r="S16" s="94"/>
    </row>
    <row r="17" spans="2:10">
      <c r="B17" s="55"/>
      <c r="C17" s="55">
        <v>18080</v>
      </c>
      <c r="D17" s="55">
        <v>153687</v>
      </c>
      <c r="E17" s="55">
        <f>C17/D17</f>
        <v>0.11764170033900069</v>
      </c>
      <c r="F17" s="55"/>
      <c r="G17" s="55"/>
      <c r="H17" s="55"/>
      <c r="I17" s="55"/>
      <c r="J17" s="55">
        <f t="shared" si="0"/>
        <v>1.8762631633014462</v>
      </c>
    </row>
    <row r="18" spans="2:10">
      <c r="B18" s="55"/>
      <c r="C18" s="55">
        <v>9407</v>
      </c>
      <c r="D18" s="55">
        <v>107137</v>
      </c>
      <c r="E18" s="55">
        <f>C18/D18</f>
        <v>8.7803466589506898E-2</v>
      </c>
      <c r="F18" s="55"/>
      <c r="G18" s="55"/>
      <c r="H18" s="55"/>
      <c r="I18" s="55"/>
      <c r="J18" s="55">
        <f t="shared" si="0"/>
        <v>1.4003742677752296</v>
      </c>
    </row>
    <row r="19" spans="2:10">
      <c r="B19" s="55"/>
      <c r="C19" s="56">
        <v>438258</v>
      </c>
      <c r="D19" s="56">
        <v>5951467</v>
      </c>
      <c r="E19" s="56">
        <v>7.3599999999999999E-2</v>
      </c>
      <c r="F19" s="55" t="s">
        <v>533</v>
      </c>
      <c r="G19" s="55"/>
      <c r="H19" s="55"/>
      <c r="I19" s="55"/>
      <c r="J19" s="55">
        <f t="shared" si="0"/>
        <v>1.1738437001594895</v>
      </c>
    </row>
    <row r="20" spans="2:10">
      <c r="B20" s="55"/>
      <c r="C20" s="56">
        <v>435876</v>
      </c>
      <c r="D20" s="56">
        <v>6033897</v>
      </c>
      <c r="E20" s="54">
        <v>7.22E-2</v>
      </c>
      <c r="F20" s="55"/>
      <c r="G20" s="55"/>
      <c r="H20" s="55"/>
      <c r="I20" s="55"/>
      <c r="J20" s="55">
        <f t="shared" si="0"/>
        <v>1.1515151515151514</v>
      </c>
    </row>
    <row r="21" spans="2:10">
      <c r="B21" s="55"/>
      <c r="C21" s="56">
        <v>447792</v>
      </c>
      <c r="D21" s="56">
        <v>5893541</v>
      </c>
      <c r="E21" s="56">
        <v>7.5999999999999998E-2</v>
      </c>
      <c r="F21" s="55"/>
      <c r="G21" s="55"/>
      <c r="H21" s="55"/>
      <c r="I21" s="55"/>
      <c r="J21" s="55">
        <f t="shared" si="0"/>
        <v>1.2121212121212119</v>
      </c>
    </row>
  </sheetData>
  <phoneticPr fontId="2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A1EFF1-FEC5-BF42-8701-15EE5207DF50}">
  <dimension ref="A1:Z32"/>
  <sheetViews>
    <sheetView topLeftCell="B2" zoomScale="90" workbookViewId="0">
      <selection activeCell="G25" sqref="G25:N31"/>
    </sheetView>
  </sheetViews>
  <sheetFormatPr baseColWidth="10" defaultRowHeight="16"/>
  <cols>
    <col min="7" max="7" width="17.5" bestFit="1" customWidth="1"/>
  </cols>
  <sheetData>
    <row r="1" spans="1:26">
      <c r="A1" t="s">
        <v>5</v>
      </c>
    </row>
    <row r="2" spans="1:26">
      <c r="B2" t="s">
        <v>10</v>
      </c>
      <c r="L2">
        <v>0.95109989613628843</v>
      </c>
      <c r="M2">
        <v>1.1138970810074615</v>
      </c>
      <c r="N2">
        <v>0.93500302285624948</v>
      </c>
      <c r="O2">
        <v>16.03674662525815</v>
      </c>
      <c r="P2">
        <v>16.689665107059547</v>
      </c>
      <c r="Q2">
        <v>16.503498542307288</v>
      </c>
      <c r="R2">
        <v>13.554124669042867</v>
      </c>
      <c r="S2">
        <v>11.698537589844344</v>
      </c>
      <c r="T2">
        <v>12.465674533901241</v>
      </c>
      <c r="U2">
        <v>9.5192818825415895</v>
      </c>
      <c r="V2">
        <v>11.080910834299477</v>
      </c>
      <c r="W2">
        <v>9.7009623717582958</v>
      </c>
      <c r="X2">
        <v>6.8386911938918686</v>
      </c>
      <c r="Y2">
        <v>6.7884397461938564</v>
      </c>
      <c r="Z2">
        <v>7.2275991424141495</v>
      </c>
    </row>
    <row r="3" spans="1:26">
      <c r="A3" s="1" t="s">
        <v>2</v>
      </c>
      <c r="B3" s="1">
        <v>0</v>
      </c>
      <c r="C3" s="1">
        <v>119187</v>
      </c>
      <c r="D3" s="1">
        <v>1555249</v>
      </c>
      <c r="E3" s="1">
        <f t="shared" ref="E3:E14" si="0">C3/D3</f>
        <v>7.6635316917098156E-2</v>
      </c>
      <c r="F3" s="1"/>
    </row>
    <row r="4" spans="1:26">
      <c r="A4" s="1"/>
      <c r="B4" s="1"/>
      <c r="C4" s="1">
        <v>142298</v>
      </c>
      <c r="D4" s="1">
        <v>1585444</v>
      </c>
      <c r="E4" s="1">
        <f t="shared" si="0"/>
        <v>8.9752775878555152E-2</v>
      </c>
      <c r="F4" s="1">
        <v>8.0575465551429998E-2</v>
      </c>
    </row>
    <row r="5" spans="1:26">
      <c r="A5" s="1"/>
      <c r="B5" s="1"/>
      <c r="C5" s="1">
        <v>130805</v>
      </c>
      <c r="D5" s="1">
        <v>1736235</v>
      </c>
      <c r="E5" s="1">
        <f t="shared" si="0"/>
        <v>7.5338303858636643E-2</v>
      </c>
      <c r="F5" s="1">
        <f>AVERAGE(E3:E5)</f>
        <v>8.0575465551429984E-2</v>
      </c>
    </row>
    <row r="6" spans="1:26">
      <c r="A6" s="1" t="s">
        <v>4</v>
      </c>
      <c r="B6" s="1">
        <v>0</v>
      </c>
      <c r="C6" s="1">
        <v>4744824</v>
      </c>
      <c r="D6" s="1">
        <v>3671986</v>
      </c>
      <c r="E6" s="1">
        <f t="shared" si="0"/>
        <v>1.2921683252604994</v>
      </c>
      <c r="F6" s="1"/>
      <c r="G6" s="1"/>
      <c r="H6" t="s">
        <v>10</v>
      </c>
    </row>
    <row r="7" spans="1:26">
      <c r="A7" s="1"/>
      <c r="B7" s="1"/>
      <c r="C7" s="1">
        <v>4847451</v>
      </c>
      <c r="D7" s="1">
        <v>3604649</v>
      </c>
      <c r="E7" s="1">
        <f t="shared" si="0"/>
        <v>1.3447775358987797</v>
      </c>
      <c r="F7" s="1"/>
      <c r="G7" s="1" t="s">
        <v>2</v>
      </c>
      <c r="H7" s="1">
        <v>0</v>
      </c>
      <c r="I7" s="1">
        <v>7.6635316917098156E-2</v>
      </c>
      <c r="J7" s="1">
        <v>8.9752775878555152E-2</v>
      </c>
      <c r="K7" s="1">
        <v>7.5338303858636643E-2</v>
      </c>
    </row>
    <row r="8" spans="1:26">
      <c r="A8" s="1"/>
      <c r="B8" s="1"/>
      <c r="C8" s="1">
        <v>5003507</v>
      </c>
      <c r="D8" s="1">
        <v>3762666</v>
      </c>
      <c r="E8" s="1">
        <f t="shared" si="0"/>
        <v>1.3297770782737559</v>
      </c>
      <c r="F8" s="1"/>
      <c r="G8" s="1" t="s">
        <v>4</v>
      </c>
      <c r="H8" s="1">
        <v>0</v>
      </c>
      <c r="I8">
        <v>1.2921683252604994</v>
      </c>
      <c r="J8">
        <v>1.3447775358987797</v>
      </c>
      <c r="K8">
        <v>1.3297770782737559</v>
      </c>
    </row>
    <row r="9" spans="1:26">
      <c r="A9" s="1" t="s">
        <v>3</v>
      </c>
      <c r="B9" s="1">
        <v>100</v>
      </c>
      <c r="C9" s="1">
        <v>3245821</v>
      </c>
      <c r="D9" s="1">
        <v>2972010</v>
      </c>
      <c r="E9" s="1">
        <f t="shared" si="0"/>
        <v>1.0921299053502511</v>
      </c>
      <c r="F9" s="1"/>
      <c r="G9" s="1" t="s">
        <v>3</v>
      </c>
      <c r="H9" s="1">
        <v>100</v>
      </c>
      <c r="I9">
        <v>1.0921299053502511</v>
      </c>
      <c r="J9">
        <v>0.94261511257261188</v>
      </c>
      <c r="K9">
        <v>1.0044275289816977</v>
      </c>
    </row>
    <row r="10" spans="1:26">
      <c r="A10" s="1"/>
      <c r="B10" s="1"/>
      <c r="C10" s="1">
        <v>2430797</v>
      </c>
      <c r="D10" s="1">
        <v>2578780</v>
      </c>
      <c r="E10" s="1">
        <f t="shared" si="0"/>
        <v>0.94261511257261188</v>
      </c>
      <c r="F10" s="1"/>
      <c r="G10" s="1" t="s">
        <v>3</v>
      </c>
      <c r="H10" s="1">
        <v>200</v>
      </c>
      <c r="I10">
        <v>0.76702056940108154</v>
      </c>
      <c r="J10">
        <v>0.89284954920756487</v>
      </c>
      <c r="K10">
        <v>0.78165955940132914</v>
      </c>
    </row>
    <row r="11" spans="1:26">
      <c r="A11" s="1"/>
      <c r="B11" s="1"/>
      <c r="C11" s="1">
        <v>2724584</v>
      </c>
      <c r="D11" s="1">
        <v>2712574</v>
      </c>
      <c r="E11" s="1">
        <f t="shared" si="0"/>
        <v>1.0044275289816977</v>
      </c>
      <c r="F11" s="1"/>
      <c r="G11" s="1" t="s">
        <v>3</v>
      </c>
      <c r="H11" s="1">
        <v>400</v>
      </c>
      <c r="I11">
        <v>0.55103072671030195</v>
      </c>
      <c r="J11">
        <v>0.54698169291740129</v>
      </c>
      <c r="K11">
        <v>0.58236716571913627</v>
      </c>
    </row>
    <row r="12" spans="1:26">
      <c r="A12" s="1" t="s">
        <v>3</v>
      </c>
      <c r="B12" s="1">
        <v>200</v>
      </c>
      <c r="C12" s="1">
        <v>2646876</v>
      </c>
      <c r="D12" s="1">
        <v>3450854</v>
      </c>
      <c r="E12" s="1">
        <f t="shared" si="0"/>
        <v>0.76702056940108154</v>
      </c>
      <c r="F12" s="1"/>
      <c r="G12" s="1"/>
    </row>
    <row r="13" spans="1:26">
      <c r="A13" s="1"/>
      <c r="B13" s="1"/>
      <c r="C13" s="1">
        <v>3208212</v>
      </c>
      <c r="D13" s="1">
        <v>3593228</v>
      </c>
      <c r="E13" s="1">
        <f t="shared" si="0"/>
        <v>0.89284954920756487</v>
      </c>
    </row>
    <row r="14" spans="1:26">
      <c r="A14" s="1"/>
      <c r="B14" s="1"/>
      <c r="C14" s="1">
        <v>2918512</v>
      </c>
      <c r="D14" s="1">
        <v>3733738</v>
      </c>
      <c r="E14" s="1">
        <f t="shared" si="0"/>
        <v>0.78165955940132914</v>
      </c>
    </row>
    <row r="15" spans="1:26">
      <c r="A15" s="1" t="s">
        <v>3</v>
      </c>
      <c r="B15" s="1">
        <v>400</v>
      </c>
      <c r="C15" s="1">
        <v>1117082</v>
      </c>
      <c r="D15" s="1">
        <v>2027259</v>
      </c>
      <c r="E15" s="1">
        <f>C15/D15</f>
        <v>0.55103072671030195</v>
      </c>
    </row>
    <row r="16" spans="1:26">
      <c r="A16" s="1"/>
      <c r="C16" s="1">
        <v>1045765</v>
      </c>
      <c r="D16" s="1">
        <v>1911883</v>
      </c>
      <c r="E16" s="1">
        <f t="shared" ref="E16" si="1">C16/D16</f>
        <v>0.54698169291740129</v>
      </c>
      <c r="H16" s="1" t="s">
        <v>7</v>
      </c>
    </row>
    <row r="17" spans="1:14">
      <c r="A17" s="1"/>
      <c r="C17" s="1">
        <v>916597</v>
      </c>
      <c r="D17" s="1">
        <v>1573916</v>
      </c>
      <c r="E17" s="1">
        <f>C17/D17</f>
        <v>0.58236716571913627</v>
      </c>
      <c r="H17" t="s">
        <v>10</v>
      </c>
    </row>
    <row r="18" spans="1:14">
      <c r="G18" s="1" t="s">
        <v>2</v>
      </c>
      <c r="H18" s="1">
        <v>0</v>
      </c>
      <c r="I18">
        <f t="shared" ref="I18:K22" si="2">I7/0.08057546555143</f>
        <v>0.95109989613628843</v>
      </c>
      <c r="J18">
        <f t="shared" si="2"/>
        <v>1.1138970810074615</v>
      </c>
      <c r="K18">
        <f t="shared" si="2"/>
        <v>0.93500302285624948</v>
      </c>
    </row>
    <row r="19" spans="1:14">
      <c r="G19" s="1" t="s">
        <v>4</v>
      </c>
      <c r="H19" s="1">
        <v>0</v>
      </c>
      <c r="I19">
        <f t="shared" si="2"/>
        <v>16.03674662525815</v>
      </c>
      <c r="J19">
        <f t="shared" si="2"/>
        <v>16.689665107059547</v>
      </c>
      <c r="K19">
        <f t="shared" si="2"/>
        <v>16.503498542307288</v>
      </c>
    </row>
    <row r="20" spans="1:14">
      <c r="G20" s="1" t="s">
        <v>3</v>
      </c>
      <c r="H20" s="1">
        <v>100</v>
      </c>
      <c r="I20">
        <f t="shared" si="2"/>
        <v>13.554124669042867</v>
      </c>
      <c r="J20">
        <f t="shared" si="2"/>
        <v>11.698537589844344</v>
      </c>
      <c r="K20">
        <f t="shared" si="2"/>
        <v>12.465674533901241</v>
      </c>
    </row>
    <row r="21" spans="1:14">
      <c r="G21" s="1" t="s">
        <v>3</v>
      </c>
      <c r="H21" s="1">
        <v>200</v>
      </c>
      <c r="I21">
        <f t="shared" si="2"/>
        <v>9.5192818825415895</v>
      </c>
      <c r="J21">
        <f t="shared" si="2"/>
        <v>11.080910834299477</v>
      </c>
      <c r="K21">
        <f t="shared" si="2"/>
        <v>9.7009623717582958</v>
      </c>
    </row>
    <row r="22" spans="1:14">
      <c r="G22" s="1" t="s">
        <v>3</v>
      </c>
      <c r="H22" s="1">
        <v>400</v>
      </c>
      <c r="I22">
        <f t="shared" si="2"/>
        <v>6.8386911938918686</v>
      </c>
      <c r="J22">
        <f t="shared" si="2"/>
        <v>6.7884397461938564</v>
      </c>
      <c r="K22">
        <f t="shared" si="2"/>
        <v>7.2275991424141495</v>
      </c>
    </row>
    <row r="25" spans="1:14">
      <c r="G25" s="90"/>
      <c r="H25" s="90"/>
      <c r="I25" s="90"/>
      <c r="J25" s="90"/>
      <c r="K25" s="90" t="s">
        <v>663</v>
      </c>
      <c r="L25" s="90" t="s">
        <v>396</v>
      </c>
      <c r="M25" s="90" t="s">
        <v>664</v>
      </c>
      <c r="N25" s="90" t="s">
        <v>665</v>
      </c>
    </row>
    <row r="26" spans="1:14">
      <c r="G26" s="95" t="s">
        <v>428</v>
      </c>
      <c r="H26" s="90">
        <v>0.95109989613628843</v>
      </c>
      <c r="I26" s="90">
        <v>1.1138970810074615</v>
      </c>
      <c r="J26" s="90">
        <v>0.93500302285624948</v>
      </c>
      <c r="K26" s="90">
        <f>AVERAGE(H26:J26)</f>
        <v>0.99999999999999967</v>
      </c>
      <c r="L26" s="90">
        <f>STDEV(H26:J26)</f>
        <v>9.8965580526078012E-2</v>
      </c>
      <c r="M26" s="90">
        <f>L26/SQRT(3)</f>
        <v>5.7137804557238728E-2</v>
      </c>
      <c r="N26" s="94" t="s">
        <v>666</v>
      </c>
    </row>
    <row r="27" spans="1:14">
      <c r="G27" s="95" t="s">
        <v>672</v>
      </c>
      <c r="H27" s="90">
        <v>16.03674662525815</v>
      </c>
      <c r="I27" s="90">
        <v>16.689665107059547</v>
      </c>
      <c r="J27" s="90">
        <v>16.503498542307288</v>
      </c>
      <c r="K27" s="90">
        <f t="shared" ref="K27:K30" si="3">AVERAGE(H27:J27)</f>
        <v>16.409970091541663</v>
      </c>
      <c r="L27" s="90">
        <f t="shared" ref="L27:L30" si="4">STDEV(H27:J27)</f>
        <v>0.33635742045690592</v>
      </c>
      <c r="M27" s="90">
        <f t="shared" ref="M27:M30" si="5">L27/SQRT(3)</f>
        <v>0.19419604724472278</v>
      </c>
      <c r="N27" s="90"/>
    </row>
    <row r="28" spans="1:14">
      <c r="G28" s="95" t="s">
        <v>673</v>
      </c>
      <c r="H28" s="90">
        <v>13.554124669042867</v>
      </c>
      <c r="I28" s="90">
        <v>11.698537589844344</v>
      </c>
      <c r="J28" s="90">
        <v>12.465674533901241</v>
      </c>
      <c r="K28" s="90">
        <f t="shared" si="3"/>
        <v>12.572778930929486</v>
      </c>
      <c r="L28" s="90">
        <f t="shared" si="4"/>
        <v>0.93241855731169043</v>
      </c>
      <c r="M28" s="90">
        <f t="shared" si="5"/>
        <v>0.53833210506130702</v>
      </c>
      <c r="N28" s="94" t="s">
        <v>666</v>
      </c>
    </row>
    <row r="29" spans="1:14">
      <c r="G29" s="95" t="s">
        <v>674</v>
      </c>
      <c r="H29" s="90">
        <v>9.5192818825415895</v>
      </c>
      <c r="I29" s="90">
        <v>11.080910834299477</v>
      </c>
      <c r="J29" s="90">
        <v>9.7009623717582958</v>
      </c>
      <c r="K29" s="90">
        <f t="shared" si="3"/>
        <v>10.10038502953312</v>
      </c>
      <c r="L29" s="90">
        <f t="shared" si="4"/>
        <v>0.85400532223168157</v>
      </c>
      <c r="M29" s="90">
        <f t="shared" si="5"/>
        <v>0.49306020267983447</v>
      </c>
      <c r="N29" s="94" t="s">
        <v>666</v>
      </c>
    </row>
    <row r="30" spans="1:14">
      <c r="G30" s="95" t="s">
        <v>675</v>
      </c>
      <c r="H30" s="90">
        <v>6.8386911938918686</v>
      </c>
      <c r="I30" s="90">
        <v>6.7884397461938564</v>
      </c>
      <c r="J30" s="90">
        <v>7.2275991424141495</v>
      </c>
      <c r="K30" s="90">
        <f t="shared" si="3"/>
        <v>6.9515766941666248</v>
      </c>
      <c r="L30" s="90">
        <f t="shared" si="4"/>
        <v>0.24035930593874369</v>
      </c>
      <c r="M30" s="90">
        <f t="shared" si="5"/>
        <v>0.1387715099859653</v>
      </c>
      <c r="N30" s="94" t="s">
        <v>666</v>
      </c>
    </row>
    <row r="31" spans="1:14">
      <c r="G31" s="95"/>
      <c r="H31" s="90"/>
      <c r="I31" s="90"/>
      <c r="J31" s="90"/>
      <c r="K31" s="90"/>
      <c r="L31" s="90"/>
      <c r="M31" s="90"/>
      <c r="N31" s="94"/>
    </row>
    <row r="32" spans="1:14">
      <c r="G32" s="52"/>
      <c r="H32" s="52"/>
      <c r="I32" s="52"/>
      <c r="J32" s="52"/>
      <c r="K32" s="52"/>
      <c r="L32" s="52"/>
      <c r="M32" s="52"/>
      <c r="N32" s="96"/>
    </row>
  </sheetData>
  <phoneticPr fontId="2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3AA654-8FEF-8B40-8C2D-F5CF96C12026}">
  <dimension ref="A1:AE35"/>
  <sheetViews>
    <sheetView topLeftCell="G16" zoomScale="125" workbookViewId="0">
      <selection activeCell="L29" sqref="L29:O35"/>
    </sheetView>
  </sheetViews>
  <sheetFormatPr baseColWidth="10" defaultRowHeight="16"/>
  <cols>
    <col min="8" max="8" width="18.1640625" bestFit="1" customWidth="1"/>
  </cols>
  <sheetData>
    <row r="1" spans="1:17">
      <c r="A1" t="s">
        <v>6</v>
      </c>
    </row>
    <row r="5" spans="1:17">
      <c r="C5" t="s">
        <v>10</v>
      </c>
    </row>
    <row r="6" spans="1:17">
      <c r="B6" s="1" t="s">
        <v>2</v>
      </c>
      <c r="C6" s="2">
        <v>0</v>
      </c>
      <c r="D6" s="1">
        <v>128071</v>
      </c>
      <c r="E6" s="1">
        <v>4871232</v>
      </c>
      <c r="F6" s="1">
        <f>D6/E6</f>
        <v>2.6291295507994691E-2</v>
      </c>
      <c r="G6" s="1"/>
      <c r="H6" s="1"/>
      <c r="I6" s="1"/>
      <c r="J6" s="1"/>
      <c r="K6" s="1"/>
      <c r="L6" s="1"/>
      <c r="M6" s="1"/>
      <c r="N6" s="1"/>
      <c r="O6" s="1"/>
      <c r="P6" s="1"/>
      <c r="Q6" s="1"/>
    </row>
    <row r="7" spans="1:17">
      <c r="B7" s="1"/>
      <c r="C7" s="2"/>
      <c r="D7" s="1">
        <v>143879</v>
      </c>
      <c r="E7" s="1">
        <v>5086511</v>
      </c>
      <c r="F7" s="1">
        <f t="shared" ref="F7:F23" si="0">D7/E7</f>
        <v>2.8286383338205698E-2</v>
      </c>
      <c r="G7" s="1">
        <v>2.71406961145647E-2</v>
      </c>
      <c r="H7" s="1"/>
      <c r="I7" s="1"/>
      <c r="J7" s="1"/>
      <c r="K7" s="1"/>
      <c r="L7" s="1"/>
      <c r="M7" s="1"/>
    </row>
    <row r="8" spans="1:17">
      <c r="B8" s="1"/>
      <c r="C8" s="2"/>
      <c r="D8" s="1">
        <v>106653</v>
      </c>
      <c r="E8" s="1">
        <v>3973006</v>
      </c>
      <c r="F8" s="1">
        <f t="shared" si="0"/>
        <v>2.6844409497493837E-2</v>
      </c>
      <c r="G8" s="1">
        <f>AVERAGE(F6:F8)</f>
        <v>2.7140696114564742E-2</v>
      </c>
      <c r="H8" s="1"/>
      <c r="I8" t="s">
        <v>10</v>
      </c>
      <c r="J8" s="1"/>
      <c r="K8" s="1"/>
      <c r="L8" s="1"/>
      <c r="M8" s="1"/>
    </row>
    <row r="9" spans="1:17">
      <c r="B9" s="1" t="s">
        <v>9</v>
      </c>
      <c r="C9" s="2">
        <v>0</v>
      </c>
      <c r="D9" s="1">
        <v>1470885</v>
      </c>
      <c r="E9" s="1">
        <v>1913308</v>
      </c>
      <c r="F9" s="1">
        <f t="shared" si="0"/>
        <v>0.76876540525623682</v>
      </c>
      <c r="G9" s="1"/>
      <c r="H9" s="1" t="s">
        <v>2</v>
      </c>
      <c r="I9" s="3">
        <v>0</v>
      </c>
      <c r="J9" s="1">
        <v>2.6291295507994691E-2</v>
      </c>
      <c r="K9" s="1">
        <v>2.8286383338205698E-2</v>
      </c>
      <c r="L9" s="1">
        <v>2.6844409497493837E-2</v>
      </c>
      <c r="M9" s="1"/>
    </row>
    <row r="10" spans="1:17">
      <c r="B10" s="1"/>
      <c r="C10" s="2"/>
      <c r="D10" s="1">
        <v>1721989</v>
      </c>
      <c r="E10" s="1">
        <v>2058200</v>
      </c>
      <c r="F10" s="1">
        <f t="shared" si="0"/>
        <v>0.83664804197842779</v>
      </c>
      <c r="G10" s="1"/>
      <c r="H10" s="1" t="s">
        <v>8</v>
      </c>
      <c r="I10" s="3">
        <v>0</v>
      </c>
      <c r="J10" s="1">
        <v>0.76876540525623682</v>
      </c>
      <c r="K10" s="1">
        <v>0.83664804197842779</v>
      </c>
      <c r="L10" s="1">
        <v>0.85535214433677553</v>
      </c>
      <c r="M10" s="1"/>
    </row>
    <row r="11" spans="1:17">
      <c r="B11" s="1"/>
      <c r="C11" s="2"/>
      <c r="D11" s="1">
        <v>1556285</v>
      </c>
      <c r="E11" s="1">
        <v>1819467</v>
      </c>
      <c r="F11" s="1">
        <f t="shared" si="0"/>
        <v>0.85535214433677553</v>
      </c>
      <c r="G11" s="1"/>
      <c r="H11" s="1" t="s">
        <v>8</v>
      </c>
      <c r="I11" s="3">
        <v>100</v>
      </c>
      <c r="J11" s="1">
        <v>0.30449496318376773</v>
      </c>
      <c r="K11" s="1">
        <v>0.32415861660549189</v>
      </c>
      <c r="L11" s="1">
        <v>0.30875916189060088</v>
      </c>
      <c r="M11" s="1"/>
    </row>
    <row r="12" spans="1:17">
      <c r="B12" s="1" t="s">
        <v>8</v>
      </c>
      <c r="C12" s="2">
        <v>100</v>
      </c>
      <c r="D12" s="1">
        <v>1630108</v>
      </c>
      <c r="E12" s="1">
        <v>5353481</v>
      </c>
      <c r="F12" s="1">
        <f t="shared" si="0"/>
        <v>0.30449496318376773</v>
      </c>
      <c r="G12" s="1"/>
      <c r="H12" s="1" t="s">
        <v>8</v>
      </c>
      <c r="I12" s="3">
        <v>200</v>
      </c>
      <c r="J12" s="1">
        <v>0.2399214077363914</v>
      </c>
      <c r="K12" s="1">
        <v>0.21338985472817895</v>
      </c>
      <c r="L12" s="1">
        <v>0.21620382498151058</v>
      </c>
      <c r="M12" s="1"/>
    </row>
    <row r="13" spans="1:17">
      <c r="B13" s="1"/>
      <c r="C13" s="2"/>
      <c r="D13" s="1">
        <v>1545245</v>
      </c>
      <c r="E13" s="1">
        <v>4766941</v>
      </c>
      <c r="F13" s="1">
        <f t="shared" si="0"/>
        <v>0.32415861660549189</v>
      </c>
      <c r="G13" s="1"/>
      <c r="H13" s="1" t="s">
        <v>8</v>
      </c>
      <c r="I13" s="3">
        <v>400</v>
      </c>
      <c r="J13" s="1">
        <v>0.14944977976858162</v>
      </c>
      <c r="K13" s="1">
        <v>0.14090238513376724</v>
      </c>
      <c r="L13" s="1">
        <v>0.14758963037180295</v>
      </c>
      <c r="M13" s="1"/>
    </row>
    <row r="14" spans="1:17">
      <c r="B14" s="1"/>
      <c r="C14" s="2"/>
      <c r="D14" s="1">
        <v>1275812</v>
      </c>
      <c r="E14" s="1">
        <v>4132062</v>
      </c>
      <c r="F14" s="1">
        <f t="shared" si="0"/>
        <v>0.30875916189060088</v>
      </c>
      <c r="G14" s="1"/>
      <c r="H14" s="1" t="s">
        <v>8</v>
      </c>
      <c r="I14" s="3">
        <v>800</v>
      </c>
      <c r="J14" s="1">
        <v>8.38874871787193E-2</v>
      </c>
      <c r="K14" s="1">
        <v>9.6857375866711698E-2</v>
      </c>
      <c r="L14" s="1">
        <v>9.3448255103517258E-2</v>
      </c>
      <c r="M14" s="1"/>
    </row>
    <row r="15" spans="1:17">
      <c r="B15" s="1" t="s">
        <v>8</v>
      </c>
      <c r="C15" s="2">
        <v>200</v>
      </c>
      <c r="D15" s="1">
        <v>1128169</v>
      </c>
      <c r="E15" s="1">
        <v>4702244</v>
      </c>
      <c r="F15" s="1">
        <f t="shared" si="0"/>
        <v>0.2399214077363914</v>
      </c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</row>
    <row r="16" spans="1:17">
      <c r="B16" s="1"/>
      <c r="C16" s="2"/>
      <c r="D16" s="1">
        <v>942285</v>
      </c>
      <c r="E16" s="1">
        <v>4415791</v>
      </c>
      <c r="F16" s="1">
        <f t="shared" si="0"/>
        <v>0.21338985472817895</v>
      </c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</row>
    <row r="17" spans="2:31">
      <c r="B17" s="1"/>
      <c r="C17" s="2"/>
      <c r="D17" s="1">
        <v>1186001</v>
      </c>
      <c r="E17" s="1">
        <v>5485569</v>
      </c>
      <c r="F17" s="1">
        <f t="shared" si="0"/>
        <v>0.21620382498151058</v>
      </c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</row>
    <row r="18" spans="2:31">
      <c r="B18" s="1" t="s">
        <v>8</v>
      </c>
      <c r="C18" s="2">
        <v>400</v>
      </c>
      <c r="D18" s="1">
        <v>792473</v>
      </c>
      <c r="E18" s="1">
        <v>5302604</v>
      </c>
      <c r="F18" s="1">
        <f t="shared" si="0"/>
        <v>0.14944977976858162</v>
      </c>
      <c r="G18" s="1"/>
      <c r="H18" s="1"/>
      <c r="I18" s="1" t="s">
        <v>7</v>
      </c>
      <c r="J18" s="1"/>
      <c r="K18" s="1"/>
      <c r="L18" s="1"/>
      <c r="M18" s="1"/>
      <c r="N18" s="1"/>
      <c r="O18" s="1"/>
      <c r="P18" s="1"/>
      <c r="Q18" s="1"/>
    </row>
    <row r="19" spans="2:31">
      <c r="B19" s="1"/>
      <c r="C19" s="2"/>
      <c r="D19" s="1">
        <v>727305</v>
      </c>
      <c r="E19" s="1">
        <v>5161765</v>
      </c>
      <c r="F19" s="1">
        <f t="shared" si="0"/>
        <v>0.14090238513376724</v>
      </c>
      <c r="G19" s="1"/>
      <c r="H19" s="1"/>
      <c r="I19" t="s">
        <v>10</v>
      </c>
      <c r="J19" s="1"/>
      <c r="K19" s="1"/>
      <c r="L19" s="1"/>
      <c r="M19" s="1"/>
      <c r="N19" s="1"/>
      <c r="O19" s="1"/>
      <c r="P19" s="1"/>
      <c r="Q19" s="1"/>
    </row>
    <row r="20" spans="2:31">
      <c r="B20" s="1"/>
      <c r="C20" s="2"/>
      <c r="D20" s="1">
        <v>608074</v>
      </c>
      <c r="E20" s="1">
        <v>4120032</v>
      </c>
      <c r="F20" s="1">
        <f t="shared" si="0"/>
        <v>0.14758963037180295</v>
      </c>
      <c r="G20" s="1"/>
      <c r="H20" s="1" t="s">
        <v>2</v>
      </c>
      <c r="I20" s="3">
        <v>0</v>
      </c>
      <c r="J20" s="1">
        <f t="shared" ref="J20:L25" si="1">J9/0.0271406961145647</f>
        <v>0.96870380173800374</v>
      </c>
      <c r="K20" s="1">
        <f t="shared" si="1"/>
        <v>1.0422128901486127</v>
      </c>
      <c r="L20" s="1">
        <f t="shared" si="1"/>
        <v>0.98908330811338829</v>
      </c>
      <c r="M20" s="1"/>
      <c r="N20" s="1">
        <v>0.96870380173800374</v>
      </c>
      <c r="O20" s="1">
        <v>1.0422128901486127</v>
      </c>
      <c r="P20" s="1">
        <v>0.98908330811338829</v>
      </c>
      <c r="Q20" s="1">
        <v>28.325191145104377</v>
      </c>
      <c r="R20" s="1">
        <v>30.826329525477849</v>
      </c>
      <c r="S20" s="1">
        <v>31.515482901625429</v>
      </c>
      <c r="T20" s="1">
        <v>11.21912871720208</v>
      </c>
      <c r="U20" s="1">
        <v>11.943636789460841</v>
      </c>
      <c r="V20" s="1">
        <v>11.376243283786273</v>
      </c>
      <c r="W20" s="1">
        <v>8.8399135646207956</v>
      </c>
      <c r="X20" s="1">
        <v>7.8623574659776718</v>
      </c>
      <c r="Y20" s="1">
        <v>7.9660383089985531</v>
      </c>
      <c r="Z20">
        <v>5.5064829265149671</v>
      </c>
      <c r="AA20">
        <v>5.1915538399972654</v>
      </c>
      <c r="AB20">
        <v>5.4379456499128223</v>
      </c>
      <c r="AC20">
        <v>3.0908377156067921</v>
      </c>
      <c r="AD20">
        <v>3.568713766878457</v>
      </c>
      <c r="AE20">
        <v>3.4431045802605436</v>
      </c>
    </row>
    <row r="21" spans="2:31">
      <c r="B21" s="1" t="s">
        <v>8</v>
      </c>
      <c r="C21" s="2">
        <v>800</v>
      </c>
      <c r="D21" s="1">
        <v>224092</v>
      </c>
      <c r="E21" s="1">
        <v>2671340</v>
      </c>
      <c r="F21" s="1">
        <f t="shared" si="0"/>
        <v>8.38874871787193E-2</v>
      </c>
      <c r="G21" s="1"/>
      <c r="H21" s="1" t="s">
        <v>9</v>
      </c>
      <c r="I21" s="3">
        <v>0</v>
      </c>
      <c r="J21" s="1">
        <f t="shared" si="1"/>
        <v>28.325191145104377</v>
      </c>
      <c r="K21" s="1">
        <f t="shared" si="1"/>
        <v>30.826329525477849</v>
      </c>
      <c r="L21" s="1">
        <f t="shared" si="1"/>
        <v>31.515482901625429</v>
      </c>
      <c r="M21" s="1"/>
    </row>
    <row r="22" spans="2:31">
      <c r="B22" s="1"/>
      <c r="C22" s="2"/>
      <c r="D22" s="1">
        <v>291926</v>
      </c>
      <c r="E22" s="1">
        <v>3013978</v>
      </c>
      <c r="F22" s="1">
        <f t="shared" si="0"/>
        <v>9.6857375866711698E-2</v>
      </c>
      <c r="G22" s="1"/>
      <c r="H22" s="1" t="s">
        <v>8</v>
      </c>
      <c r="I22" s="3">
        <v>100</v>
      </c>
      <c r="J22" s="1">
        <f t="shared" si="1"/>
        <v>11.21912871720208</v>
      </c>
      <c r="K22" s="1">
        <f t="shared" si="1"/>
        <v>11.943636789460841</v>
      </c>
      <c r="L22" s="1">
        <f t="shared" si="1"/>
        <v>11.376243283786273</v>
      </c>
      <c r="M22" s="1"/>
    </row>
    <row r="23" spans="2:31">
      <c r="B23" s="1"/>
      <c r="C23" s="2"/>
      <c r="D23" s="1">
        <v>442406</v>
      </c>
      <c r="E23" s="1">
        <v>4734235</v>
      </c>
      <c r="F23" s="1">
        <f t="shared" si="0"/>
        <v>9.3448255103517258E-2</v>
      </c>
      <c r="G23" s="1"/>
      <c r="H23" s="1" t="s">
        <v>8</v>
      </c>
      <c r="I23" s="3">
        <v>200</v>
      </c>
      <c r="J23" s="1">
        <f t="shared" si="1"/>
        <v>8.8399135646207956</v>
      </c>
      <c r="K23" s="1">
        <f t="shared" si="1"/>
        <v>7.8623574659776718</v>
      </c>
      <c r="L23" s="1">
        <f t="shared" si="1"/>
        <v>7.9660383089985531</v>
      </c>
      <c r="M23" s="1"/>
    </row>
    <row r="24" spans="2:31">
      <c r="H24" s="1" t="s">
        <v>8</v>
      </c>
      <c r="I24" s="3">
        <v>400</v>
      </c>
      <c r="J24" s="1">
        <f t="shared" si="1"/>
        <v>5.5064829265149671</v>
      </c>
      <c r="K24" s="1">
        <f t="shared" si="1"/>
        <v>5.1915538399972654</v>
      </c>
      <c r="L24" s="1">
        <f t="shared" si="1"/>
        <v>5.4379456499128223</v>
      </c>
    </row>
    <row r="25" spans="2:31">
      <c r="H25" s="1" t="s">
        <v>8</v>
      </c>
      <c r="I25" s="3">
        <v>800</v>
      </c>
      <c r="J25" s="1">
        <f t="shared" si="1"/>
        <v>3.0908377156067921</v>
      </c>
      <c r="K25" s="1">
        <f t="shared" si="1"/>
        <v>3.568713766878457</v>
      </c>
      <c r="L25" s="1">
        <f t="shared" si="1"/>
        <v>3.4431045802605436</v>
      </c>
    </row>
    <row r="29" spans="2:31">
      <c r="H29" s="90"/>
      <c r="I29" s="90"/>
      <c r="J29" s="90"/>
      <c r="K29" s="90"/>
      <c r="L29" s="90" t="s">
        <v>663</v>
      </c>
      <c r="M29" s="90" t="s">
        <v>396</v>
      </c>
      <c r="N29" s="90" t="s">
        <v>664</v>
      </c>
      <c r="O29" s="90" t="s">
        <v>665</v>
      </c>
    </row>
    <row r="30" spans="2:31">
      <c r="H30" s="95" t="s">
        <v>428</v>
      </c>
      <c r="I30" s="90">
        <v>0.96870380173800374</v>
      </c>
      <c r="J30" s="90">
        <v>1.0422128901486127</v>
      </c>
      <c r="K30" s="90">
        <v>0.98908330811338829</v>
      </c>
      <c r="L30" s="90">
        <f>AVERAGE(I30:K30)</f>
        <v>1.0000000000000016</v>
      </c>
      <c r="M30" s="90">
        <f>STDEV(I30:K30)</f>
        <v>3.795098340030359E-2</v>
      </c>
      <c r="N30" s="90">
        <f>M30/SQRT(3)</f>
        <v>2.1911010482176297E-2</v>
      </c>
      <c r="O30" s="94" t="s">
        <v>666</v>
      </c>
    </row>
    <row r="31" spans="2:31">
      <c r="H31" s="95" t="s">
        <v>676</v>
      </c>
      <c r="I31" s="90">
        <v>28.325191145104377</v>
      </c>
      <c r="J31" s="90">
        <v>30.826329525477849</v>
      </c>
      <c r="K31" s="90">
        <v>31.515482901625429</v>
      </c>
      <c r="L31" s="90">
        <f t="shared" ref="L31:L35" si="2">AVERAGE(I31:K31)</f>
        <v>30.222334524069222</v>
      </c>
      <c r="M31" s="90">
        <f t="shared" ref="M31:M35" si="3">STDEV(I31:K31)</f>
        <v>1.6787191081972304</v>
      </c>
      <c r="N31" s="90">
        <f t="shared" ref="N31:N35" si="4">M31/SQRT(3)</f>
        <v>0.96920892901143951</v>
      </c>
      <c r="O31" s="90"/>
    </row>
    <row r="32" spans="2:31">
      <c r="H32" s="95" t="s">
        <v>677</v>
      </c>
      <c r="I32" s="90">
        <v>11.21912871720208</v>
      </c>
      <c r="J32" s="90">
        <v>11.943636789460841</v>
      </c>
      <c r="K32" s="90">
        <v>11.376243283786273</v>
      </c>
      <c r="L32" s="90">
        <f t="shared" si="2"/>
        <v>11.513002930149732</v>
      </c>
      <c r="M32" s="90">
        <f t="shared" si="3"/>
        <v>0.38112384778063957</v>
      </c>
      <c r="N32" s="90">
        <f t="shared" si="4"/>
        <v>0.22004195611073823</v>
      </c>
      <c r="O32" s="94" t="s">
        <v>666</v>
      </c>
    </row>
    <row r="33" spans="8:15">
      <c r="H33" s="95" t="s">
        <v>678</v>
      </c>
      <c r="I33" s="90">
        <v>8.8399135646207956</v>
      </c>
      <c r="J33" s="90">
        <v>7.8623574659776718</v>
      </c>
      <c r="K33" s="90">
        <v>7.9660383089985531</v>
      </c>
      <c r="L33" s="90">
        <f t="shared" si="2"/>
        <v>8.2227697798656738</v>
      </c>
      <c r="M33" s="90">
        <f t="shared" si="3"/>
        <v>0.53697045318973324</v>
      </c>
      <c r="N33" s="90">
        <f t="shared" si="4"/>
        <v>0.31002003569596787</v>
      </c>
      <c r="O33" s="94" t="s">
        <v>666</v>
      </c>
    </row>
    <row r="34" spans="8:15">
      <c r="H34" s="95" t="s">
        <v>679</v>
      </c>
      <c r="I34" s="90">
        <v>5.5064829265149671</v>
      </c>
      <c r="J34" s="90">
        <v>5.1915538399972654</v>
      </c>
      <c r="K34" s="90">
        <v>5.4379456499128223</v>
      </c>
      <c r="L34" s="90">
        <f t="shared" si="2"/>
        <v>5.3786608054750182</v>
      </c>
      <c r="M34" s="90">
        <f t="shared" si="3"/>
        <v>0.16562337385987966</v>
      </c>
      <c r="N34" s="90">
        <f t="shared" si="4"/>
        <v>9.5622699482095549E-2</v>
      </c>
      <c r="O34" s="94" t="s">
        <v>666</v>
      </c>
    </row>
    <row r="35" spans="8:15">
      <c r="H35" s="95" t="s">
        <v>680</v>
      </c>
      <c r="I35" s="90">
        <v>3.0908377156067921</v>
      </c>
      <c r="J35" s="90">
        <v>3.568713766878457</v>
      </c>
      <c r="K35" s="90">
        <v>3.4431045802605436</v>
      </c>
      <c r="L35" s="90">
        <f t="shared" si="2"/>
        <v>3.3675520209152641</v>
      </c>
      <c r="M35" s="90">
        <f t="shared" si="3"/>
        <v>0.24773478159609763</v>
      </c>
      <c r="N35" s="90">
        <f t="shared" si="4"/>
        <v>0.14302974284214012</v>
      </c>
      <c r="O35" s="94" t="s">
        <v>666</v>
      </c>
    </row>
  </sheetData>
  <phoneticPr fontId="2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986CB2-A8D8-3742-B38F-05A960EDDBFC}">
  <dimension ref="A1:AV20"/>
  <sheetViews>
    <sheetView topLeftCell="A3" zoomScale="90" workbookViewId="0">
      <selection activeCell="V14" sqref="V14:AC20"/>
    </sheetView>
  </sheetViews>
  <sheetFormatPr baseColWidth="10" defaultRowHeight="16"/>
  <sheetData>
    <row r="1" spans="1:48">
      <c r="A1" t="s">
        <v>11</v>
      </c>
    </row>
    <row r="3" spans="1:48">
      <c r="I3" t="s">
        <v>20</v>
      </c>
      <c r="AE3">
        <v>1</v>
      </c>
      <c r="AF3">
        <v>1</v>
      </c>
      <c r="AG3">
        <v>1</v>
      </c>
      <c r="AH3">
        <v>1.8708339874825775</v>
      </c>
      <c r="AI3">
        <v>1.0820498144777688</v>
      </c>
      <c r="AJ3">
        <v>1.0433903831223177</v>
      </c>
      <c r="AK3">
        <v>2.0799678844540388</v>
      </c>
      <c r="AL3">
        <v>1.2369321096876935</v>
      </c>
      <c r="AM3">
        <v>1.3926398675328413</v>
      </c>
      <c r="AN3">
        <v>1.7397251620047016</v>
      </c>
      <c r="AO3">
        <v>1.3033507791280468</v>
      </c>
      <c r="AP3">
        <v>1.776974245969428</v>
      </c>
      <c r="AQ3">
        <v>1.2541521676660803</v>
      </c>
      <c r="AR3">
        <v>1.7075908286385184</v>
      </c>
      <c r="AS3">
        <v>1.4898333961727739</v>
      </c>
    </row>
    <row r="4" spans="1:48">
      <c r="I4" t="s">
        <v>13</v>
      </c>
      <c r="J4" s="4" t="s">
        <v>16</v>
      </c>
      <c r="K4" t="s">
        <v>17</v>
      </c>
      <c r="M4" t="s">
        <v>14</v>
      </c>
      <c r="N4" s="4" t="s">
        <v>16</v>
      </c>
      <c r="O4" t="s">
        <v>17</v>
      </c>
      <c r="Q4" t="s">
        <v>15</v>
      </c>
      <c r="R4" s="4" t="s">
        <v>16</v>
      </c>
      <c r="S4" t="s">
        <v>17</v>
      </c>
      <c r="V4" s="90" t="s">
        <v>12</v>
      </c>
      <c r="W4" s="90"/>
      <c r="X4" s="90"/>
      <c r="Y4" s="90"/>
      <c r="Z4" s="90" t="s">
        <v>663</v>
      </c>
      <c r="AA4" s="90" t="s">
        <v>396</v>
      </c>
      <c r="AB4" s="90" t="s">
        <v>664</v>
      </c>
      <c r="AC4" s="90" t="s">
        <v>665</v>
      </c>
    </row>
    <row r="5" spans="1:48">
      <c r="I5">
        <v>0</v>
      </c>
      <c r="J5">
        <v>1</v>
      </c>
      <c r="K5">
        <v>1</v>
      </c>
      <c r="L5">
        <f>K5/J5</f>
        <v>1</v>
      </c>
      <c r="N5">
        <v>1</v>
      </c>
      <c r="O5">
        <v>1</v>
      </c>
      <c r="P5">
        <f>O5/N5</f>
        <v>1</v>
      </c>
      <c r="R5">
        <v>1</v>
      </c>
      <c r="S5">
        <v>1</v>
      </c>
      <c r="T5">
        <f>S5/R5</f>
        <v>1</v>
      </c>
      <c r="V5" s="90">
        <v>0</v>
      </c>
      <c r="W5" s="90">
        <v>1</v>
      </c>
      <c r="X5" s="90">
        <v>1</v>
      </c>
      <c r="Y5" s="90">
        <v>1</v>
      </c>
      <c r="Z5" s="90">
        <f>AVERAGE(W5:Y5)</f>
        <v>1</v>
      </c>
      <c r="AA5" s="90">
        <f>STDEV(W5:Y5)</f>
        <v>0</v>
      </c>
      <c r="AB5" s="90">
        <f>AA5/SQRT(3)</f>
        <v>0</v>
      </c>
      <c r="AC5" s="94"/>
    </row>
    <row r="6" spans="1:48">
      <c r="I6">
        <v>6</v>
      </c>
      <c r="J6">
        <v>0.80430247136208277</v>
      </c>
      <c r="K6">
        <v>1.5047163996404169</v>
      </c>
      <c r="L6">
        <f t="shared" ref="L6:L9" si="0">K6/J6</f>
        <v>1.8708339874825775</v>
      </c>
      <c r="N6">
        <v>0.89008441541616057</v>
      </c>
      <c r="O6">
        <v>0.96311567657060992</v>
      </c>
      <c r="P6">
        <f t="shared" ref="P6:P9" si="1">O6/N6</f>
        <v>1.0820498144777688</v>
      </c>
      <c r="R6">
        <v>1.0906303032138904</v>
      </c>
      <c r="S6">
        <v>1.1379531699151506</v>
      </c>
      <c r="T6">
        <f t="shared" ref="T6:T9" si="2">S6/R6</f>
        <v>1.0433903831223177</v>
      </c>
      <c r="V6" s="90">
        <v>6</v>
      </c>
      <c r="W6" s="90">
        <v>1.8708339874825775</v>
      </c>
      <c r="X6" s="90">
        <v>1.0820498144777688</v>
      </c>
      <c r="Y6" s="90">
        <v>1.0433903831223177</v>
      </c>
      <c r="Z6" s="90">
        <f t="shared" ref="Z6:Z9" si="3">AVERAGE(W6:Y6)</f>
        <v>1.3320913950275546</v>
      </c>
      <c r="AA6" s="90">
        <f>STDEV(W6:Y6)</f>
        <v>0.46696501325265433</v>
      </c>
      <c r="AB6" s="90">
        <f t="shared" ref="AB6:AB9" si="4">AA6/SQRT(3)</f>
        <v>0.26960237610355714</v>
      </c>
      <c r="AC6" s="90"/>
    </row>
    <row r="7" spans="1:48">
      <c r="I7">
        <v>9</v>
      </c>
      <c r="J7">
        <v>0.79924804643893732</v>
      </c>
      <c r="K7">
        <v>1.6624102683056199</v>
      </c>
      <c r="L7">
        <f t="shared" si="0"/>
        <v>2.0799678844540388</v>
      </c>
      <c r="N7">
        <v>0.80835745243399515</v>
      </c>
      <c r="O7">
        <v>0.99988328902095103</v>
      </c>
      <c r="P7">
        <f t="shared" si="1"/>
        <v>1.2369321096876935</v>
      </c>
      <c r="R7">
        <v>0.85520702814341487</v>
      </c>
      <c r="S7">
        <v>1.1909954023868001</v>
      </c>
      <c r="T7">
        <f t="shared" si="2"/>
        <v>1.3926398675328413</v>
      </c>
      <c r="V7" s="90">
        <v>9</v>
      </c>
      <c r="W7" s="90">
        <v>2.0799678844540388</v>
      </c>
      <c r="X7" s="90">
        <v>1.2369321096876935</v>
      </c>
      <c r="Y7" s="90">
        <v>1.3926398675328413</v>
      </c>
      <c r="Z7" s="90">
        <f t="shared" si="3"/>
        <v>1.5698466205581914</v>
      </c>
      <c r="AA7" s="90">
        <f t="shared" ref="AA7:AA9" si="5">STDEV(W7:Y7)</f>
        <v>0.44858555970105901</v>
      </c>
      <c r="AB7" s="90">
        <f t="shared" si="4"/>
        <v>0.25899099364798539</v>
      </c>
      <c r="AC7" s="94"/>
    </row>
    <row r="8" spans="1:48">
      <c r="I8">
        <v>12</v>
      </c>
      <c r="J8">
        <v>1.2150394834011713</v>
      </c>
      <c r="K8">
        <v>2.1138347621022118</v>
      </c>
      <c r="L8">
        <f t="shared" si="0"/>
        <v>1.7397251620047016</v>
      </c>
      <c r="N8">
        <v>0.87771835923054586</v>
      </c>
      <c r="O8">
        <v>1.1439749073581227</v>
      </c>
      <c r="P8">
        <f t="shared" si="1"/>
        <v>1.3033507791280468</v>
      </c>
      <c r="R8">
        <v>0.72056987786338711</v>
      </c>
      <c r="S8">
        <v>1.2804341153845751</v>
      </c>
      <c r="T8">
        <f t="shared" si="2"/>
        <v>1.776974245969428</v>
      </c>
      <c r="V8" s="90">
        <v>12</v>
      </c>
      <c r="W8" s="90">
        <v>1.7397251620047016</v>
      </c>
      <c r="X8" s="90">
        <v>1.3033507791280468</v>
      </c>
      <c r="Y8" s="90">
        <v>1.776974245969428</v>
      </c>
      <c r="Z8" s="90">
        <f t="shared" si="3"/>
        <v>1.6066833957007256</v>
      </c>
      <c r="AA8" s="90">
        <f t="shared" si="5"/>
        <v>0.26335314839901397</v>
      </c>
      <c r="AB8" s="90">
        <f t="shared" si="4"/>
        <v>0.15204701112010618</v>
      </c>
      <c r="AC8" s="94"/>
    </row>
    <row r="9" spans="1:48">
      <c r="I9">
        <v>24</v>
      </c>
      <c r="J9">
        <v>1.4065768801415151</v>
      </c>
      <c r="K9">
        <v>1.7640614432184734</v>
      </c>
      <c r="L9">
        <f t="shared" si="0"/>
        <v>1.2541521676660803</v>
      </c>
      <c r="N9">
        <v>0.76569452835876828</v>
      </c>
      <c r="O9">
        <v>1.3074929541641287</v>
      </c>
      <c r="P9">
        <f t="shared" si="1"/>
        <v>1.7075908286385184</v>
      </c>
      <c r="R9">
        <v>0.82421742173224799</v>
      </c>
      <c r="S9">
        <v>1.2279466406041224</v>
      </c>
      <c r="T9">
        <f t="shared" si="2"/>
        <v>1.4898333961727739</v>
      </c>
      <c r="V9" s="90">
        <v>24</v>
      </c>
      <c r="W9" s="90">
        <v>1.2541521676660803</v>
      </c>
      <c r="X9" s="90">
        <v>1.7075908286385184</v>
      </c>
      <c r="Y9" s="90">
        <v>1.4898333961727739</v>
      </c>
      <c r="Z9" s="90">
        <f t="shared" si="3"/>
        <v>1.4838587974924575</v>
      </c>
      <c r="AA9" s="90">
        <f t="shared" si="5"/>
        <v>0.22677836468270746</v>
      </c>
      <c r="AB9" s="90">
        <f t="shared" si="4"/>
        <v>0.13093054989594427</v>
      </c>
      <c r="AC9" s="94">
        <v>2.0899999999999998E-2</v>
      </c>
    </row>
    <row r="10" spans="1:48">
      <c r="V10" s="90"/>
      <c r="W10" s="90"/>
      <c r="X10" s="90"/>
      <c r="Y10" s="90"/>
      <c r="Z10" s="90"/>
      <c r="AA10" s="90"/>
      <c r="AB10" s="90"/>
      <c r="AC10" s="94"/>
    </row>
    <row r="12" spans="1:48">
      <c r="I12" t="s">
        <v>4</v>
      </c>
      <c r="M12" s="4"/>
    </row>
    <row r="13" spans="1:48">
      <c r="I13" t="s">
        <v>13</v>
      </c>
      <c r="M13" t="s">
        <v>14</v>
      </c>
      <c r="Q13" t="s">
        <v>15</v>
      </c>
    </row>
    <row r="14" spans="1:48">
      <c r="J14" s="4" t="s">
        <v>16</v>
      </c>
      <c r="K14" t="s">
        <v>17</v>
      </c>
      <c r="N14" s="4" t="s">
        <v>16</v>
      </c>
      <c r="O14" t="s">
        <v>17</v>
      </c>
      <c r="R14" s="4" t="s">
        <v>16</v>
      </c>
      <c r="S14" t="s">
        <v>17</v>
      </c>
      <c r="V14" s="90" t="s">
        <v>12</v>
      </c>
      <c r="W14" s="90"/>
      <c r="X14" s="90"/>
      <c r="Y14" s="90"/>
      <c r="Z14" s="90" t="s">
        <v>663</v>
      </c>
      <c r="AA14" s="90" t="s">
        <v>396</v>
      </c>
      <c r="AB14" s="90" t="s">
        <v>664</v>
      </c>
      <c r="AC14" s="90" t="s">
        <v>665</v>
      </c>
    </row>
    <row r="15" spans="1:48">
      <c r="I15" s="5">
        <v>0</v>
      </c>
      <c r="J15">
        <v>1</v>
      </c>
      <c r="K15">
        <v>1</v>
      </c>
      <c r="L15">
        <f>K15/J15</f>
        <v>1</v>
      </c>
      <c r="N15">
        <v>1</v>
      </c>
      <c r="O15">
        <v>1</v>
      </c>
      <c r="P15">
        <f>O15/N15</f>
        <v>1</v>
      </c>
      <c r="R15">
        <v>1</v>
      </c>
      <c r="S15">
        <v>1</v>
      </c>
      <c r="T15">
        <f t="shared" ref="T15:T20" si="6">S15/R15</f>
        <v>1</v>
      </c>
      <c r="V15" s="97">
        <v>0</v>
      </c>
      <c r="W15" s="90">
        <v>1</v>
      </c>
      <c r="X15" s="90">
        <v>1</v>
      </c>
      <c r="Y15" s="90">
        <v>1</v>
      </c>
      <c r="Z15" s="90">
        <f>AVERAGE(W15:Y15)</f>
        <v>1</v>
      </c>
      <c r="AA15" s="90">
        <f>STDEV(W15:Y15)</f>
        <v>0</v>
      </c>
      <c r="AB15" s="90">
        <f>AA15/SQRT(3)</f>
        <v>0</v>
      </c>
      <c r="AC15" s="94"/>
      <c r="AE15">
        <v>1</v>
      </c>
      <c r="AF15">
        <v>1</v>
      </c>
      <c r="AG15">
        <v>1</v>
      </c>
      <c r="AH15">
        <v>1.3425214858977852</v>
      </c>
      <c r="AI15">
        <v>1.5163885878565586</v>
      </c>
      <c r="AJ15">
        <v>1.6834305474089608</v>
      </c>
      <c r="AK15">
        <v>1.2647915745408445</v>
      </c>
      <c r="AL15">
        <v>1.6871379006255736</v>
      </c>
      <c r="AM15">
        <v>1.1441289495543503</v>
      </c>
      <c r="AN15">
        <v>2.4805156731722739</v>
      </c>
      <c r="AO15">
        <v>1.7745036783149484</v>
      </c>
      <c r="AP15">
        <v>1.4183375269462599</v>
      </c>
      <c r="AQ15">
        <v>1.8664143756127478</v>
      </c>
      <c r="AR15">
        <v>1.9372808930080108</v>
      </c>
      <c r="AS15">
        <v>2.3480152719503264</v>
      </c>
      <c r="AT15">
        <v>2.5587317661967481</v>
      </c>
      <c r="AU15">
        <v>1.5358179765104201</v>
      </c>
      <c r="AV15">
        <v>2.9864603591686887</v>
      </c>
    </row>
    <row r="16" spans="1:48">
      <c r="I16" s="5" t="s">
        <v>18</v>
      </c>
      <c r="J16">
        <v>0.89</v>
      </c>
      <c r="K16">
        <v>1.1948441224490289</v>
      </c>
      <c r="L16">
        <f t="shared" ref="L16:L20" si="7">K16/J16</f>
        <v>1.3425214858977852</v>
      </c>
      <c r="N16">
        <v>0.96974822847821218</v>
      </c>
      <c r="O16">
        <v>1.4705151467584756</v>
      </c>
      <c r="P16">
        <f t="shared" ref="P16:P20" si="8">O16/N16</f>
        <v>1.5163885878565586</v>
      </c>
      <c r="R16">
        <v>0.46679808836663117</v>
      </c>
      <c r="S16">
        <v>0.78582216142849437</v>
      </c>
      <c r="T16">
        <f t="shared" si="6"/>
        <v>1.6834305474089608</v>
      </c>
      <c r="V16" s="97" t="s">
        <v>18</v>
      </c>
      <c r="W16" s="90">
        <v>1.3425214858977852</v>
      </c>
      <c r="X16" s="90">
        <v>1.5163885878565586</v>
      </c>
      <c r="Y16" s="90">
        <v>1.6834305474089608</v>
      </c>
      <c r="Z16" s="90">
        <f t="shared" ref="Z16:Z20" si="9">AVERAGE(W16:Y16)</f>
        <v>1.5141135403877684</v>
      </c>
      <c r="AA16" s="90">
        <f t="shared" ref="AA16:AA20" si="10">STDEV(W16:Y16)</f>
        <v>0.17046591722642554</v>
      </c>
      <c r="AB16" s="90">
        <f t="shared" ref="AB16:AB20" si="11">AA16/SQRT(3)</f>
        <v>9.841854319833325E-2</v>
      </c>
      <c r="AC16" s="90"/>
    </row>
    <row r="17" spans="9:29">
      <c r="I17" s="5" t="s">
        <v>19</v>
      </c>
      <c r="J17">
        <v>0.88</v>
      </c>
      <c r="K17">
        <v>1.1130165855959431</v>
      </c>
      <c r="L17">
        <f t="shared" si="7"/>
        <v>1.2647915745408445</v>
      </c>
      <c r="N17">
        <v>1.0881841274837987</v>
      </c>
      <c r="O17">
        <v>1.8359166843370875</v>
      </c>
      <c r="P17">
        <f t="shared" si="8"/>
        <v>1.6871379006255736</v>
      </c>
      <c r="R17">
        <v>0.4502905497366515</v>
      </c>
      <c r="S17">
        <v>0.51519045366444605</v>
      </c>
      <c r="T17">
        <f t="shared" si="6"/>
        <v>1.1441289495543503</v>
      </c>
      <c r="V17" s="97" t="s">
        <v>19</v>
      </c>
      <c r="W17" s="90">
        <v>1.2647915745408445</v>
      </c>
      <c r="X17" s="90">
        <v>1.6871379006255736</v>
      </c>
      <c r="Y17" s="90">
        <v>1.1441289495543503</v>
      </c>
      <c r="Z17" s="90">
        <f t="shared" si="9"/>
        <v>1.365352808240256</v>
      </c>
      <c r="AA17" s="90">
        <f t="shared" si="10"/>
        <v>0.28512997304427412</v>
      </c>
      <c r="AB17" s="90">
        <f t="shared" si="11"/>
        <v>0.16461986669114242</v>
      </c>
      <c r="AC17" s="94"/>
    </row>
    <row r="18" spans="9:29">
      <c r="I18" s="5">
        <v>1</v>
      </c>
      <c r="J18">
        <v>0.71</v>
      </c>
      <c r="K18">
        <v>1.7611661279523143</v>
      </c>
      <c r="L18">
        <f t="shared" si="7"/>
        <v>2.4805156731722739</v>
      </c>
      <c r="N18">
        <v>1.091954270795167</v>
      </c>
      <c r="O18">
        <v>1.9376768700777411</v>
      </c>
      <c r="P18">
        <f t="shared" si="8"/>
        <v>1.7745036783149484</v>
      </c>
      <c r="R18">
        <v>0.43384132273207815</v>
      </c>
      <c r="S18">
        <v>0.61533342877090991</v>
      </c>
      <c r="T18">
        <f t="shared" si="6"/>
        <v>1.4183375269462599</v>
      </c>
      <c r="V18" s="97">
        <v>1</v>
      </c>
      <c r="W18" s="90">
        <v>2.4805156731722739</v>
      </c>
      <c r="X18" s="90">
        <v>1.7745036783149484</v>
      </c>
      <c r="Y18" s="90">
        <v>1.4183375269462599</v>
      </c>
      <c r="Z18" s="90">
        <f>AVERAGE(W18:Y18)</f>
        <v>1.8911189594778275</v>
      </c>
      <c r="AA18" s="90">
        <f t="shared" si="10"/>
        <v>0.54060609174384633</v>
      </c>
      <c r="AB18" s="90">
        <f t="shared" si="11"/>
        <v>0.31211907259386124</v>
      </c>
      <c r="AC18" s="94"/>
    </row>
    <row r="19" spans="9:29">
      <c r="I19" s="5">
        <v>3</v>
      </c>
      <c r="J19">
        <v>0.83</v>
      </c>
      <c r="K19">
        <v>1.5491239317585805</v>
      </c>
      <c r="L19">
        <f t="shared" si="7"/>
        <v>1.8664143756127478</v>
      </c>
      <c r="N19">
        <v>1.0230456703905173</v>
      </c>
      <c r="O19">
        <v>1.9819268299221204</v>
      </c>
      <c r="P19">
        <f t="shared" si="8"/>
        <v>1.9372808930080108</v>
      </c>
      <c r="R19">
        <v>0.38815145719279792</v>
      </c>
      <c r="S19">
        <v>0.91138554931846283</v>
      </c>
      <c r="T19">
        <f t="shared" si="6"/>
        <v>2.3480152719503264</v>
      </c>
      <c r="V19" s="97">
        <v>3</v>
      </c>
      <c r="W19" s="90">
        <v>1.8664143756127478</v>
      </c>
      <c r="X19" s="90">
        <v>1.9372808930080108</v>
      </c>
      <c r="Y19" s="90">
        <v>2.3480152719503264</v>
      </c>
      <c r="Z19" s="90">
        <f t="shared" si="9"/>
        <v>2.0505701801903617</v>
      </c>
      <c r="AA19" s="90">
        <f t="shared" si="10"/>
        <v>0.26002058145655188</v>
      </c>
      <c r="AB19" s="90">
        <f t="shared" si="11"/>
        <v>0.15012295269878326</v>
      </c>
      <c r="AC19" s="94">
        <v>2.2000000000000001E-3</v>
      </c>
    </row>
    <row r="20" spans="9:29">
      <c r="I20" s="5">
        <v>6</v>
      </c>
      <c r="J20">
        <v>0.69</v>
      </c>
      <c r="K20">
        <v>1.765524918675756</v>
      </c>
      <c r="L20">
        <f t="shared" si="7"/>
        <v>2.5587317661967481</v>
      </c>
      <c r="N20">
        <v>1.0561554534836848</v>
      </c>
      <c r="O20">
        <v>1.6220625314497579</v>
      </c>
      <c r="P20">
        <f t="shared" si="8"/>
        <v>1.5358179765104201</v>
      </c>
      <c r="R20">
        <v>0.33680860261513818</v>
      </c>
      <c r="S20">
        <v>1.0058655403371097</v>
      </c>
      <c r="T20">
        <f t="shared" si="6"/>
        <v>2.9864603591686887</v>
      </c>
      <c r="V20" s="97">
        <v>6</v>
      </c>
      <c r="W20" s="90">
        <v>2.5587317661967481</v>
      </c>
      <c r="X20" s="90">
        <v>1.5358179765104201</v>
      </c>
      <c r="Y20" s="90">
        <v>2.9864603591686887</v>
      </c>
      <c r="Z20" s="90">
        <f t="shared" si="9"/>
        <v>2.3603367006252856</v>
      </c>
      <c r="AA20" s="90">
        <f t="shared" si="10"/>
        <v>0.74539337408072104</v>
      </c>
      <c r="AB20" s="90">
        <f t="shared" si="11"/>
        <v>0.43035306517766775</v>
      </c>
      <c r="AC20" s="94"/>
    </row>
  </sheetData>
  <phoneticPr fontId="2" type="noConversion"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4C8E4F-1563-F547-B063-2057532B6F9E}">
  <dimension ref="A1:AB30"/>
  <sheetViews>
    <sheetView zoomScale="106" workbookViewId="0">
      <selection activeCell="U14" sqref="U14:AB16"/>
    </sheetView>
  </sheetViews>
  <sheetFormatPr baseColWidth="10" defaultRowHeight="16"/>
  <sheetData>
    <row r="1" spans="1:28">
      <c r="A1" t="s">
        <v>22</v>
      </c>
    </row>
    <row r="2" spans="1:28">
      <c r="H2" t="s">
        <v>54</v>
      </c>
      <c r="V2">
        <v>1.1277178057249935</v>
      </c>
      <c r="W2">
        <v>1.0507402724408414</v>
      </c>
      <c r="X2">
        <v>0.82154192183416175</v>
      </c>
      <c r="Y2">
        <v>6.7626825044187627E-2</v>
      </c>
      <c r="Z2">
        <v>4.6965312980306533E-2</v>
      </c>
      <c r="AA2">
        <v>4.0239032661584719E-2</v>
      </c>
    </row>
    <row r="3" spans="1:28">
      <c r="I3" s="52" t="s">
        <v>23</v>
      </c>
      <c r="J3" s="52" t="s">
        <v>24</v>
      </c>
      <c r="K3" s="52">
        <v>19.402000000000001</v>
      </c>
      <c r="L3" s="52"/>
      <c r="M3" s="52" t="s">
        <v>25</v>
      </c>
      <c r="N3" s="52" t="s">
        <v>24</v>
      </c>
      <c r="O3" s="52">
        <v>25.675000000000001</v>
      </c>
      <c r="P3" s="52">
        <f>O3-L5</f>
        <v>6.4390000000000001</v>
      </c>
      <c r="Q3" s="52">
        <f>POWER(2,-P3)</f>
        <v>1.1525714508459689E-2</v>
      </c>
      <c r="R3" s="52"/>
      <c r="S3" s="52">
        <f>Q3/0.0102203888685166</f>
        <v>1.1277178057249935</v>
      </c>
    </row>
    <row r="4" spans="1:28">
      <c r="I4" s="52" t="s">
        <v>23</v>
      </c>
      <c r="J4" s="52" t="s">
        <v>24</v>
      </c>
      <c r="K4" s="52">
        <v>19.181999999999999</v>
      </c>
      <c r="L4" s="52"/>
      <c r="M4" s="52" t="s">
        <v>25</v>
      </c>
      <c r="N4" s="52" t="s">
        <v>24</v>
      </c>
      <c r="O4" s="52">
        <v>25.777000000000001</v>
      </c>
      <c r="P4" s="52">
        <f>O4-L5</f>
        <v>6.5410000000000004</v>
      </c>
      <c r="Q4" s="52">
        <f t="shared" ref="Q4:Q8" si="0">POWER(2,-P4)</f>
        <v>1.0738974184156475E-2</v>
      </c>
      <c r="R4" s="52">
        <v>1.0220388868516599E-2</v>
      </c>
      <c r="S4" s="52">
        <f t="shared" ref="S4:S8" si="1">Q4/0.0102203888685166</f>
        <v>1.0507402724408414</v>
      </c>
    </row>
    <row r="5" spans="1:28" ht="35">
      <c r="D5" s="15"/>
      <c r="I5" s="52" t="s">
        <v>23</v>
      </c>
      <c r="J5" s="52" t="s">
        <v>24</v>
      </c>
      <c r="K5" s="52">
        <v>19.123999999999999</v>
      </c>
      <c r="L5" s="52">
        <f>AVERAGE(K3:K5)</f>
        <v>19.236000000000001</v>
      </c>
      <c r="M5" s="52" t="s">
        <v>25</v>
      </c>
      <c r="N5" s="52" t="s">
        <v>24</v>
      </c>
      <c r="O5" s="52">
        <v>26.132000000000001</v>
      </c>
      <c r="P5" s="52">
        <f>O5-L5</f>
        <v>6.8960000000000008</v>
      </c>
      <c r="Q5" s="52">
        <f t="shared" si="0"/>
        <v>8.3964779129336014E-3</v>
      </c>
      <c r="R5" s="52">
        <f>AVERAGE(Q3:Q5)</f>
        <v>1.0220388868516589E-2</v>
      </c>
      <c r="S5" s="52">
        <f t="shared" si="1"/>
        <v>0.82154192183416175</v>
      </c>
      <c r="U5" s="90"/>
      <c r="V5" s="90"/>
      <c r="W5" s="90"/>
      <c r="X5" s="90"/>
      <c r="Y5" s="90" t="s">
        <v>663</v>
      </c>
      <c r="Z5" s="90" t="s">
        <v>396</v>
      </c>
      <c r="AA5" s="90" t="s">
        <v>664</v>
      </c>
      <c r="AB5" s="90" t="s">
        <v>665</v>
      </c>
    </row>
    <row r="6" spans="1:28">
      <c r="I6" s="52" t="s">
        <v>23</v>
      </c>
      <c r="J6" s="52" t="s">
        <v>26</v>
      </c>
      <c r="K6" s="52">
        <v>20.366</v>
      </c>
      <c r="L6" s="52"/>
      <c r="M6" s="52" t="s">
        <v>25</v>
      </c>
      <c r="N6" s="52" t="s">
        <v>26</v>
      </c>
      <c r="O6" s="52">
        <v>30.812000000000001</v>
      </c>
      <c r="P6" s="52">
        <f t="shared" ref="P6" si="2">O6-L8</f>
        <v>10.498666666666669</v>
      </c>
      <c r="Q6" s="52">
        <f t="shared" si="0"/>
        <v>6.9117244989473484E-4</v>
      </c>
      <c r="R6" s="52"/>
      <c r="S6" s="52">
        <f t="shared" si="1"/>
        <v>6.7626825044187627E-2</v>
      </c>
      <c r="U6" s="90" t="s">
        <v>97</v>
      </c>
      <c r="V6" s="90">
        <v>1.1277178057249935</v>
      </c>
      <c r="W6" s="90">
        <v>1.0507402724408414</v>
      </c>
      <c r="X6" s="90">
        <v>0.82154192183416175</v>
      </c>
      <c r="Y6" s="90">
        <f>AVERAGE(V6:X6)</f>
        <v>0.99999999999999878</v>
      </c>
      <c r="Z6" s="90">
        <f>STDEV(V6:X6)</f>
        <v>0.15926973788077739</v>
      </c>
      <c r="AA6" s="90">
        <f>Z6/SQRT(3)</f>
        <v>9.1954426039227974E-2</v>
      </c>
      <c r="AB6" s="94">
        <v>5.0000000000000001E-4</v>
      </c>
    </row>
    <row r="7" spans="1:28">
      <c r="I7" s="52" t="s">
        <v>23</v>
      </c>
      <c r="J7" s="52" t="s">
        <v>26</v>
      </c>
      <c r="K7" s="52">
        <v>20.262</v>
      </c>
      <c r="L7" s="52"/>
      <c r="M7" s="52" t="s">
        <v>25</v>
      </c>
      <c r="N7" s="52" t="s">
        <v>26</v>
      </c>
      <c r="O7" s="52">
        <v>31.338000000000001</v>
      </c>
      <c r="P7" s="52">
        <f t="shared" ref="P7" si="3">O7-L8</f>
        <v>11.024666666666668</v>
      </c>
      <c r="Q7" s="52">
        <f t="shared" si="0"/>
        <v>4.80003761990323E-4</v>
      </c>
      <c r="R7" s="52"/>
      <c r="S7" s="52">
        <f t="shared" si="1"/>
        <v>4.6965312980306533E-2</v>
      </c>
      <c r="U7" s="90" t="s">
        <v>99</v>
      </c>
      <c r="V7" s="90">
        <v>6.7626825044187627E-2</v>
      </c>
      <c r="W7" s="90">
        <v>4.6965312980306533E-2</v>
      </c>
      <c r="X7" s="90">
        <v>4.0239032661584719E-2</v>
      </c>
      <c r="Y7" s="90">
        <f t="shared" ref="Y7" si="4">AVERAGE(V7:X7)</f>
        <v>5.1610390228692959E-2</v>
      </c>
      <c r="Z7" s="90">
        <f t="shared" ref="Z7" si="5">STDEV(V7:X7)</f>
        <v>1.4272538312463829E-2</v>
      </c>
      <c r="AA7" s="90">
        <f t="shared" ref="AA7" si="6">Z7/SQRT(3)</f>
        <v>8.2402538367202394E-3</v>
      </c>
      <c r="AB7" s="90"/>
    </row>
    <row r="8" spans="1:28">
      <c r="I8" s="52" t="s">
        <v>23</v>
      </c>
      <c r="J8" s="52" t="s">
        <v>26</v>
      </c>
      <c r="K8" s="52">
        <v>20.312000000000001</v>
      </c>
      <c r="L8" s="52">
        <f t="shared" ref="L8" si="7">AVERAGE(K6:K8)</f>
        <v>20.313333333333333</v>
      </c>
      <c r="M8" s="52" t="s">
        <v>25</v>
      </c>
      <c r="N8" s="52" t="s">
        <v>26</v>
      </c>
      <c r="O8" s="52">
        <v>31.561</v>
      </c>
      <c r="P8" s="52">
        <f t="shared" ref="P8" si="8">O8-L8</f>
        <v>11.247666666666667</v>
      </c>
      <c r="Q8" s="52">
        <f t="shared" si="0"/>
        <v>4.1125856149433634E-4</v>
      </c>
      <c r="R8" s="52">
        <f>AVERAGE(Q6:Q8)</f>
        <v>5.2747825779313141E-4</v>
      </c>
      <c r="S8" s="52">
        <f t="shared" si="1"/>
        <v>4.0239032661584719E-2</v>
      </c>
      <c r="U8" s="52"/>
      <c r="V8" s="52"/>
      <c r="W8" s="52"/>
      <c r="X8" s="52"/>
      <c r="Y8" s="52"/>
      <c r="Z8" s="52"/>
      <c r="AA8" s="52"/>
      <c r="AB8" s="96"/>
    </row>
    <row r="9" spans="1:28">
      <c r="I9" s="52"/>
      <c r="J9" s="52"/>
      <c r="K9" s="52"/>
      <c r="L9" s="52"/>
      <c r="M9" s="52"/>
      <c r="N9" s="52"/>
      <c r="O9" s="52"/>
      <c r="P9" s="52"/>
      <c r="Q9" s="52"/>
      <c r="R9" s="52"/>
      <c r="S9" s="52"/>
      <c r="U9" s="52"/>
      <c r="V9" s="52"/>
      <c r="W9" s="52"/>
      <c r="X9" s="52"/>
      <c r="Y9" s="52"/>
      <c r="Z9" s="52"/>
      <c r="AA9" s="52"/>
      <c r="AB9" s="96"/>
    </row>
    <row r="10" spans="1:28">
      <c r="H10" t="s">
        <v>31</v>
      </c>
      <c r="I10" s="52"/>
      <c r="J10" s="52"/>
      <c r="K10" s="52"/>
      <c r="L10" s="52"/>
      <c r="M10" s="52"/>
      <c r="N10" s="52"/>
      <c r="O10" s="52"/>
      <c r="P10" s="52"/>
      <c r="Q10" s="52"/>
      <c r="R10" s="52"/>
      <c r="S10" s="52"/>
      <c r="U10" s="52"/>
      <c r="V10" s="52"/>
      <c r="W10" s="52"/>
      <c r="X10" s="52"/>
      <c r="Y10" s="52"/>
      <c r="Z10" s="52"/>
      <c r="AA10" s="52"/>
      <c r="AB10" s="96"/>
    </row>
    <row r="11" spans="1:28">
      <c r="I11" s="57" t="s">
        <v>27</v>
      </c>
      <c r="J11" s="57" t="s">
        <v>112</v>
      </c>
      <c r="K11" s="57">
        <v>15.266999999999999</v>
      </c>
      <c r="L11" s="57"/>
      <c r="M11" s="57" t="s">
        <v>27</v>
      </c>
      <c r="N11" s="57" t="s">
        <v>29</v>
      </c>
      <c r="O11" s="57">
        <v>22.369</v>
      </c>
      <c r="P11" s="57">
        <v>6.8019999999999996</v>
      </c>
      <c r="Q11" s="57">
        <v>8.9619999999999995E-3</v>
      </c>
      <c r="R11" s="52">
        <f>Q11/0.008745</f>
        <v>1.0248141795311607</v>
      </c>
      <c r="S11" s="52"/>
      <c r="U11" s="52"/>
      <c r="V11" s="52">
        <v>1.0248141795311607</v>
      </c>
      <c r="W11" s="52">
        <v>0.94042309891366505</v>
      </c>
      <c r="X11" s="52">
        <v>1.0347627215551745</v>
      </c>
      <c r="Y11" s="52">
        <v>6.0949113779302469E-2</v>
      </c>
      <c r="Z11" s="52">
        <v>6.1292166952544316E-2</v>
      </c>
      <c r="AA11" s="52">
        <v>5.0085763293310472E-2</v>
      </c>
      <c r="AB11" s="96"/>
    </row>
    <row r="12" spans="1:28">
      <c r="I12" s="57" t="s">
        <v>27</v>
      </c>
      <c r="J12" s="57" t="s">
        <v>112</v>
      </c>
      <c r="K12" s="57">
        <v>15.73</v>
      </c>
      <c r="L12" s="57"/>
      <c r="M12" s="57" t="s">
        <v>27</v>
      </c>
      <c r="N12" s="57" t="s">
        <v>29</v>
      </c>
      <c r="O12" s="57">
        <v>22.492999999999999</v>
      </c>
      <c r="P12" s="57">
        <v>6.9260000000000002</v>
      </c>
      <c r="Q12" s="57">
        <v>8.2240000000000004E-3</v>
      </c>
      <c r="R12" s="52">
        <f t="shared" ref="R12:R16" si="9">Q12/0.008745</f>
        <v>0.94042309891366505</v>
      </c>
      <c r="S12" s="52"/>
      <c r="U12" s="52"/>
      <c r="V12" s="52"/>
      <c r="W12" s="52"/>
      <c r="X12" s="52"/>
      <c r="Y12" s="52"/>
      <c r="Z12" s="52"/>
      <c r="AA12" s="52"/>
      <c r="AB12" s="52"/>
    </row>
    <row r="13" spans="1:28">
      <c r="I13" s="57" t="s">
        <v>27</v>
      </c>
      <c r="J13" s="57" t="s">
        <v>112</v>
      </c>
      <c r="K13" s="57">
        <v>15.704000000000001</v>
      </c>
      <c r="L13" s="57">
        <v>15.567</v>
      </c>
      <c r="M13" s="57" t="s">
        <v>27</v>
      </c>
      <c r="N13" s="57" t="s">
        <v>29</v>
      </c>
      <c r="O13" s="57">
        <v>22.355</v>
      </c>
      <c r="P13" s="57">
        <v>6.7880000000000003</v>
      </c>
      <c r="Q13" s="57">
        <v>9.0489999999999998E-3</v>
      </c>
      <c r="R13" s="52">
        <f t="shared" si="9"/>
        <v>1.0347627215551745</v>
      </c>
      <c r="S13" s="52"/>
    </row>
    <row r="14" spans="1:28">
      <c r="I14" s="57" t="s">
        <v>30</v>
      </c>
      <c r="J14" s="57" t="s">
        <v>112</v>
      </c>
      <c r="K14" s="57">
        <v>15.813000000000001</v>
      </c>
      <c r="L14" s="57"/>
      <c r="M14" s="57" t="s">
        <v>30</v>
      </c>
      <c r="N14" s="57" t="s">
        <v>29</v>
      </c>
      <c r="O14" s="57">
        <v>26.542999999999999</v>
      </c>
      <c r="P14" s="57">
        <v>10.874000000000001</v>
      </c>
      <c r="Q14" s="57">
        <v>5.3300000000000005E-4</v>
      </c>
      <c r="R14" s="52">
        <f t="shared" si="9"/>
        <v>6.0949113779302469E-2</v>
      </c>
      <c r="S14" s="52"/>
      <c r="U14" s="90"/>
      <c r="V14" s="90"/>
      <c r="W14" s="90"/>
      <c r="X14" s="90"/>
      <c r="Y14" s="90" t="s">
        <v>663</v>
      </c>
      <c r="Z14" s="90" t="s">
        <v>396</v>
      </c>
      <c r="AA14" s="90" t="s">
        <v>664</v>
      </c>
      <c r="AB14" s="90" t="s">
        <v>665</v>
      </c>
    </row>
    <row r="15" spans="1:28">
      <c r="I15" s="57" t="s">
        <v>30</v>
      </c>
      <c r="J15" s="57" t="s">
        <v>112</v>
      </c>
      <c r="K15" s="57">
        <v>15.516</v>
      </c>
      <c r="L15" s="57"/>
      <c r="M15" s="57" t="s">
        <v>30</v>
      </c>
      <c r="N15" s="57" t="s">
        <v>29</v>
      </c>
      <c r="O15" s="57">
        <v>26.535</v>
      </c>
      <c r="P15" s="57">
        <v>10.866</v>
      </c>
      <c r="Q15" s="57">
        <v>5.3600000000000002E-4</v>
      </c>
      <c r="R15" s="52">
        <f t="shared" si="9"/>
        <v>6.1292166952544316E-2</v>
      </c>
      <c r="S15" s="52"/>
      <c r="U15" s="90" t="s">
        <v>97</v>
      </c>
      <c r="V15" s="90">
        <v>1.0248141795311607</v>
      </c>
      <c r="W15" s="90">
        <v>0.94042309891366505</v>
      </c>
      <c r="X15" s="90">
        <v>1.0347627215551745</v>
      </c>
      <c r="Y15" s="90">
        <f>AVERAGE(V15:X15)</f>
        <v>1</v>
      </c>
      <c r="Z15" s="90">
        <f>STDEV(V15:X15)</f>
        <v>5.1834339287668195E-2</v>
      </c>
      <c r="AA15" s="90">
        <f>Z15/SQRT(3)</f>
        <v>2.9926569741001628E-2</v>
      </c>
      <c r="AB15" s="94" t="s">
        <v>666</v>
      </c>
    </row>
    <row r="16" spans="1:28">
      <c r="I16" s="57" t="s">
        <v>30</v>
      </c>
      <c r="J16" s="57" t="s">
        <v>112</v>
      </c>
      <c r="K16" s="57">
        <v>15.678000000000001</v>
      </c>
      <c r="L16" s="57">
        <v>15.669</v>
      </c>
      <c r="M16" s="57" t="s">
        <v>30</v>
      </c>
      <c r="N16" s="57" t="s">
        <v>29</v>
      </c>
      <c r="O16" s="57">
        <v>26.824999999999999</v>
      </c>
      <c r="P16" s="57">
        <v>11.156000000000001</v>
      </c>
      <c r="Q16" s="57">
        <v>4.3800000000000002E-4</v>
      </c>
      <c r="R16" s="52">
        <f t="shared" si="9"/>
        <v>5.0085763293310472E-2</v>
      </c>
      <c r="S16" s="52"/>
      <c r="U16" s="90" t="s">
        <v>99</v>
      </c>
      <c r="V16" s="90">
        <v>6.0949113779302469E-2</v>
      </c>
      <c r="W16" s="90">
        <v>6.1292166952544316E-2</v>
      </c>
      <c r="X16" s="90">
        <v>5.0085763293310472E-2</v>
      </c>
      <c r="Y16" s="90">
        <f t="shared" ref="Y16" si="10">AVERAGE(V16:X16)</f>
        <v>5.7442348008385748E-2</v>
      </c>
      <c r="Z16" s="90">
        <f t="shared" ref="Z16" si="11">STDEV(V16:X16)</f>
        <v>6.3732978411868736E-3</v>
      </c>
      <c r="AA16" s="90">
        <f t="shared" ref="AA16" si="12">Z16/SQRT(3)</f>
        <v>3.6796252242349025E-3</v>
      </c>
      <c r="AB16" s="90"/>
    </row>
    <row r="17" spans="9:19">
      <c r="I17" s="52"/>
      <c r="J17" s="52"/>
      <c r="K17" s="52"/>
      <c r="L17" s="52"/>
      <c r="M17" s="52"/>
      <c r="N17" s="52"/>
      <c r="O17" s="52"/>
      <c r="P17" s="52"/>
      <c r="Q17" s="52"/>
      <c r="R17" s="52"/>
      <c r="S17" s="52"/>
    </row>
    <row r="18" spans="9:19">
      <c r="I18" s="52"/>
      <c r="J18" s="52"/>
      <c r="K18" s="52"/>
      <c r="L18" s="52"/>
      <c r="M18" s="52"/>
      <c r="N18" s="52"/>
      <c r="O18" s="52"/>
      <c r="P18" s="52"/>
      <c r="Q18" s="52"/>
      <c r="R18" s="52"/>
      <c r="S18" s="52"/>
    </row>
    <row r="19" spans="9:19">
      <c r="I19" s="52"/>
      <c r="J19" s="52"/>
      <c r="K19" s="52"/>
      <c r="L19" s="52"/>
      <c r="M19" s="52"/>
      <c r="N19" s="52"/>
      <c r="O19" s="52"/>
      <c r="P19" s="52"/>
      <c r="Q19" s="52"/>
      <c r="R19" s="52"/>
      <c r="S19" s="52"/>
    </row>
    <row r="20" spans="9:19">
      <c r="I20" s="52"/>
      <c r="J20" s="52"/>
      <c r="K20" s="52"/>
      <c r="L20" s="52"/>
      <c r="M20" s="52"/>
      <c r="N20" s="52"/>
      <c r="O20" s="52"/>
      <c r="P20" s="52"/>
      <c r="Q20" s="52"/>
      <c r="R20" s="52"/>
      <c r="S20" s="52"/>
    </row>
    <row r="21" spans="9:19">
      <c r="I21" s="52"/>
      <c r="J21" s="52"/>
      <c r="K21" s="52"/>
      <c r="L21" s="52"/>
      <c r="M21" s="52"/>
      <c r="N21" s="52"/>
      <c r="O21" s="52"/>
      <c r="P21" s="52"/>
      <c r="Q21" s="52"/>
      <c r="R21" s="52"/>
      <c r="S21" s="52"/>
    </row>
    <row r="22" spans="9:19">
      <c r="I22" s="52"/>
      <c r="J22" s="52"/>
      <c r="K22" s="52"/>
      <c r="L22" s="52"/>
      <c r="M22" s="52"/>
      <c r="N22" s="52"/>
      <c r="O22" s="52"/>
      <c r="P22" s="52"/>
      <c r="Q22" s="52"/>
      <c r="R22" s="52"/>
      <c r="S22" s="52"/>
    </row>
    <row r="23" spans="9:19">
      <c r="I23" s="52"/>
      <c r="J23" s="52"/>
      <c r="K23" s="52"/>
      <c r="L23" s="52"/>
      <c r="M23" s="52"/>
      <c r="N23" s="52"/>
      <c r="O23" s="52"/>
      <c r="P23" s="52"/>
      <c r="Q23" s="52"/>
      <c r="R23" s="52"/>
      <c r="S23" s="52"/>
    </row>
    <row r="24" spans="9:19">
      <c r="I24" s="52"/>
      <c r="J24" s="52"/>
      <c r="K24" s="52"/>
      <c r="L24" s="52"/>
      <c r="M24" s="52"/>
      <c r="N24" s="52"/>
      <c r="O24" s="52"/>
      <c r="P24" s="52"/>
      <c r="Q24" s="52"/>
      <c r="R24" s="52"/>
      <c r="S24" s="52"/>
    </row>
    <row r="25" spans="9:19">
      <c r="I25" s="52"/>
      <c r="J25" s="52"/>
      <c r="K25" s="52"/>
      <c r="L25" s="52"/>
      <c r="M25" s="52"/>
      <c r="N25" s="52"/>
      <c r="O25" s="52"/>
      <c r="P25" s="52"/>
      <c r="Q25" s="52"/>
      <c r="R25" s="52"/>
      <c r="S25" s="52"/>
    </row>
    <row r="26" spans="9:19">
      <c r="I26" s="52"/>
      <c r="J26" s="52"/>
      <c r="K26" s="52"/>
      <c r="L26" s="52"/>
      <c r="M26" s="52"/>
      <c r="N26" s="52"/>
      <c r="O26" s="52"/>
      <c r="P26" s="52"/>
      <c r="Q26" s="52"/>
      <c r="R26" s="52"/>
      <c r="S26" s="52"/>
    </row>
    <row r="27" spans="9:19">
      <c r="I27" s="52"/>
      <c r="J27" s="52"/>
      <c r="K27" s="52"/>
      <c r="L27" s="52"/>
      <c r="M27" s="52"/>
      <c r="N27" s="52"/>
      <c r="O27" s="52"/>
      <c r="P27" s="52"/>
      <c r="Q27" s="52"/>
      <c r="R27" s="52"/>
      <c r="S27" s="52"/>
    </row>
    <row r="28" spans="9:19">
      <c r="I28" s="52"/>
      <c r="J28" s="52"/>
      <c r="K28" s="52"/>
      <c r="L28" s="52"/>
      <c r="M28" s="52"/>
      <c r="N28" s="52"/>
      <c r="O28" s="52"/>
      <c r="P28" s="52"/>
      <c r="Q28" s="52"/>
      <c r="R28" s="52"/>
      <c r="S28" s="52"/>
    </row>
    <row r="29" spans="9:19">
      <c r="I29" s="52"/>
      <c r="J29" s="52"/>
      <c r="K29" s="52"/>
      <c r="L29" s="52"/>
      <c r="M29" s="52"/>
      <c r="N29" s="52"/>
      <c r="O29" s="52"/>
      <c r="P29" s="52"/>
      <c r="Q29" s="52"/>
      <c r="R29" s="52"/>
      <c r="S29" s="52"/>
    </row>
    <row r="30" spans="9:19">
      <c r="I30" s="52"/>
      <c r="J30" s="52"/>
      <c r="K30" s="52"/>
      <c r="L30" s="52"/>
      <c r="M30" s="52"/>
      <c r="N30" s="52"/>
      <c r="O30" s="52"/>
      <c r="P30" s="52"/>
      <c r="Q30" s="52"/>
      <c r="R30" s="52"/>
      <c r="S30" s="52"/>
    </row>
  </sheetData>
  <phoneticPr fontId="2" type="noConversion"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93C304-85DA-9243-9FCC-0C837BD14E35}">
  <dimension ref="A1:BC114"/>
  <sheetViews>
    <sheetView topLeftCell="T62" zoomScale="90" workbookViewId="0">
      <selection activeCell="V79" sqref="V79:AB85"/>
    </sheetView>
  </sheetViews>
  <sheetFormatPr baseColWidth="10" defaultRowHeight="16"/>
  <sheetData>
    <row r="1" spans="1:55">
      <c r="A1" t="s">
        <v>32</v>
      </c>
      <c r="C1" s="58" t="s">
        <v>54</v>
      </c>
      <c r="D1" s="58"/>
      <c r="E1" s="58"/>
      <c r="F1" s="58"/>
      <c r="G1" s="58"/>
      <c r="H1" s="58"/>
      <c r="I1" s="58"/>
      <c r="J1" s="58"/>
      <c r="K1" s="58"/>
      <c r="L1" s="58"/>
      <c r="M1" s="58"/>
      <c r="N1" s="58"/>
      <c r="O1" s="58"/>
      <c r="P1" s="58"/>
      <c r="Q1" s="58"/>
      <c r="R1" s="58"/>
      <c r="S1" s="58"/>
      <c r="T1" s="58"/>
      <c r="U1" s="58"/>
      <c r="AD1" s="60" t="s">
        <v>31</v>
      </c>
      <c r="AE1" s="60"/>
      <c r="AF1" s="60"/>
      <c r="AG1" s="60"/>
      <c r="AH1" s="60"/>
      <c r="AI1" s="60"/>
      <c r="AJ1" s="60"/>
      <c r="AK1" s="60"/>
      <c r="AL1" s="60"/>
      <c r="AM1" s="60"/>
      <c r="AN1" s="60"/>
      <c r="AO1" s="60"/>
      <c r="AP1" s="60"/>
      <c r="AQ1" s="60"/>
      <c r="AR1" s="60"/>
      <c r="AS1" s="60"/>
      <c r="AT1" s="60"/>
      <c r="AU1" s="60"/>
      <c r="AV1" s="60"/>
    </row>
    <row r="2" spans="1:55">
      <c r="C2" s="58" t="s">
        <v>51</v>
      </c>
      <c r="D2" s="58"/>
      <c r="E2" s="58"/>
      <c r="F2" s="58"/>
      <c r="G2" s="58"/>
      <c r="H2" s="58"/>
      <c r="I2" s="58"/>
      <c r="J2" s="58"/>
      <c r="K2" s="58"/>
      <c r="L2" s="58"/>
      <c r="M2" s="58"/>
      <c r="N2" s="58"/>
      <c r="O2" s="58"/>
      <c r="P2" s="58"/>
      <c r="Q2" s="58"/>
      <c r="R2" s="58"/>
      <c r="S2" s="58"/>
      <c r="T2" s="58"/>
      <c r="U2" s="58"/>
      <c r="AD2" s="60" t="s">
        <v>51</v>
      </c>
      <c r="AE2" s="60"/>
      <c r="AF2" s="60"/>
      <c r="AG2" s="60"/>
      <c r="AH2" s="60"/>
      <c r="AI2" s="60"/>
      <c r="AJ2" s="60"/>
      <c r="AK2" s="60"/>
      <c r="AL2" s="60"/>
      <c r="AM2" s="60"/>
      <c r="AN2" s="60"/>
      <c r="AO2" s="60"/>
      <c r="AP2" s="90"/>
      <c r="AQ2" s="90"/>
      <c r="AR2" s="90"/>
      <c r="AS2" s="90"/>
      <c r="AT2" s="90"/>
      <c r="AU2" s="90"/>
      <c r="AV2" s="90"/>
      <c r="AW2" s="90"/>
      <c r="AX2" s="90"/>
      <c r="AY2" s="90"/>
      <c r="AZ2" s="90"/>
      <c r="BA2" s="90"/>
      <c r="BB2" s="90"/>
      <c r="BC2" s="90"/>
    </row>
    <row r="3" spans="1:55">
      <c r="C3" s="58"/>
      <c r="D3" s="58" t="s">
        <v>33</v>
      </c>
      <c r="E3" s="58" t="s">
        <v>34</v>
      </c>
      <c r="F3" s="58">
        <v>16.623999999999999</v>
      </c>
      <c r="G3" s="58"/>
      <c r="H3" s="58" t="s">
        <v>33</v>
      </c>
      <c r="I3" s="58" t="s">
        <v>35</v>
      </c>
      <c r="J3" s="58">
        <v>24.504999999999999</v>
      </c>
      <c r="K3" s="58">
        <f>J3-G5</f>
        <v>7.9276666666666671</v>
      </c>
      <c r="L3" s="58">
        <f>POWER(2,-K3)</f>
        <v>4.1070930064856974E-3</v>
      </c>
      <c r="M3" s="58"/>
      <c r="N3" s="58">
        <f>L3/0.00372729010680137</f>
        <v>1.1018978638103007</v>
      </c>
      <c r="O3" s="90"/>
      <c r="P3" s="90" t="s">
        <v>36</v>
      </c>
      <c r="Q3" s="90"/>
      <c r="R3" s="90"/>
      <c r="S3" s="90" t="s">
        <v>2</v>
      </c>
      <c r="T3" s="90"/>
      <c r="U3" s="90"/>
      <c r="V3" s="90" t="s">
        <v>663</v>
      </c>
      <c r="W3" s="90" t="s">
        <v>396</v>
      </c>
      <c r="X3" s="90" t="s">
        <v>664</v>
      </c>
      <c r="Y3" s="90" t="s">
        <v>663</v>
      </c>
      <c r="Z3" s="90" t="s">
        <v>396</v>
      </c>
      <c r="AA3" s="90" t="s">
        <v>664</v>
      </c>
      <c r="AB3" s="90" t="s">
        <v>665</v>
      </c>
      <c r="AD3" s="60"/>
      <c r="AE3" s="60" t="s">
        <v>33</v>
      </c>
      <c r="AF3" s="60" t="s">
        <v>34</v>
      </c>
      <c r="AG3" s="60">
        <v>15.752000000000001</v>
      </c>
      <c r="AH3" s="60"/>
      <c r="AI3" s="60" t="s">
        <v>33</v>
      </c>
      <c r="AJ3" s="60" t="s">
        <v>35</v>
      </c>
      <c r="AK3" s="60">
        <v>32.790999999999997</v>
      </c>
      <c r="AL3" s="60">
        <f>AK3-AH5</f>
        <v>17.141999999999996</v>
      </c>
      <c r="AM3" s="60">
        <f>POWER(2,-AL3)</f>
        <v>6.9142298756968479E-6</v>
      </c>
      <c r="AN3" s="60"/>
      <c r="AO3" s="60">
        <f>AM3/6.90171012894118E-06</f>
        <v>1.0018140064595249</v>
      </c>
      <c r="AP3" s="98"/>
      <c r="AQ3" s="98" t="s">
        <v>36</v>
      </c>
      <c r="AR3" s="98"/>
      <c r="AS3" s="98"/>
      <c r="AT3" s="98" t="s">
        <v>2</v>
      </c>
      <c r="AU3" s="98"/>
      <c r="AV3" s="98"/>
      <c r="AW3" s="90" t="s">
        <v>663</v>
      </c>
      <c r="AX3" s="90" t="s">
        <v>396</v>
      </c>
      <c r="AY3" s="90" t="s">
        <v>664</v>
      </c>
      <c r="AZ3" s="90" t="s">
        <v>663</v>
      </c>
      <c r="BA3" s="90" t="s">
        <v>396</v>
      </c>
      <c r="BB3" s="90" t="s">
        <v>664</v>
      </c>
      <c r="BC3" s="90" t="s">
        <v>665</v>
      </c>
    </row>
    <row r="4" spans="1:55">
      <c r="C4" s="58"/>
      <c r="D4" s="58" t="s">
        <v>33</v>
      </c>
      <c r="E4" s="58" t="s">
        <v>34</v>
      </c>
      <c r="F4" s="58">
        <v>16.664000000000001</v>
      </c>
      <c r="G4" s="58"/>
      <c r="H4" s="58" t="s">
        <v>33</v>
      </c>
      <c r="I4" s="58" t="s">
        <v>35</v>
      </c>
      <c r="J4" s="58">
        <v>24.478000000000002</v>
      </c>
      <c r="K4" s="58">
        <f>J4-G5</f>
        <v>7.9006666666666696</v>
      </c>
      <c r="L4" s="58">
        <f t="shared" ref="L4:L38" si="0">POWER(2,-K4)</f>
        <v>4.1846809079943781E-3</v>
      </c>
      <c r="M4" s="58">
        <v>3.7272901068013701E-3</v>
      </c>
      <c r="N4" s="58">
        <f t="shared" ref="N4:N38" si="1">L4/0.00372729010680137</f>
        <v>1.1227140330070859</v>
      </c>
      <c r="O4" s="98">
        <v>0</v>
      </c>
      <c r="P4" s="90">
        <v>1.1018978638103007</v>
      </c>
      <c r="Q4" s="90">
        <v>1.1227140330070859</v>
      </c>
      <c r="R4" s="90">
        <v>0.77538810318261375</v>
      </c>
      <c r="S4" s="90">
        <v>0.87276017207949086</v>
      </c>
      <c r="T4" s="90">
        <v>0.84069661638263904</v>
      </c>
      <c r="U4" s="90">
        <v>0.89543286267423883</v>
      </c>
      <c r="V4" s="90">
        <f>AVERAGE(P4:R4)</f>
        <v>1.0000000000000002</v>
      </c>
      <c r="W4" s="90">
        <f>STDEV(P4:R4)</f>
        <v>0.19479786027812288</v>
      </c>
      <c r="X4" s="90">
        <f>W4/SQRT(3)</f>
        <v>0.11246659706913735</v>
      </c>
      <c r="Y4" s="90">
        <f>AVERAGE(S4:U4)</f>
        <v>0.86962988371212291</v>
      </c>
      <c r="Z4" s="90">
        <f>STDEV(S4:U4)</f>
        <v>2.7502057986100371E-2</v>
      </c>
      <c r="AA4" s="90">
        <f>Z4/SQRT(3)</f>
        <v>1.5878320581543749E-2</v>
      </c>
      <c r="AB4" s="99" t="s">
        <v>681</v>
      </c>
      <c r="AD4" s="60"/>
      <c r="AE4" s="60" t="s">
        <v>33</v>
      </c>
      <c r="AF4" s="60" t="s">
        <v>34</v>
      </c>
      <c r="AG4" s="60">
        <v>15.586</v>
      </c>
      <c r="AH4" s="60"/>
      <c r="AI4" s="60" t="s">
        <v>33</v>
      </c>
      <c r="AJ4" s="60" t="s">
        <v>35</v>
      </c>
      <c r="AK4" s="60">
        <v>32.627000000000002</v>
      </c>
      <c r="AL4" s="60">
        <f>AK4-AH5</f>
        <v>16.978000000000002</v>
      </c>
      <c r="AM4" s="60">
        <f t="shared" ref="AM4:AM38" si="2">POWER(2,-AL4)</f>
        <v>7.7466285771898593E-6</v>
      </c>
      <c r="AN4" s="60">
        <v>6.9017101289411796E-6</v>
      </c>
      <c r="AO4" s="60">
        <f t="shared" ref="AO4:AO38" si="3">AM4/6.90171012894118E-06</f>
        <v>1.1224216074659024</v>
      </c>
      <c r="AP4" s="98">
        <v>0</v>
      </c>
      <c r="AQ4" s="98">
        <v>1.0018140064595249</v>
      </c>
      <c r="AR4" s="98">
        <v>1.1224216074659024</v>
      </c>
      <c r="AS4" s="98">
        <v>0.87576438607457463</v>
      </c>
      <c r="AT4" s="98">
        <v>1.4445445397472216</v>
      </c>
      <c r="AU4" s="98">
        <v>1.1077364558678833</v>
      </c>
      <c r="AV4" s="98">
        <v>0.63887902802190399</v>
      </c>
      <c r="AW4" s="90">
        <f>AVERAGE(AQ4:AS4)</f>
        <v>1.0000000000000007</v>
      </c>
      <c r="AX4" s="90">
        <f>STDEV(AQ4:AS4)</f>
        <v>0.12333861593474449</v>
      </c>
      <c r="AY4" s="90">
        <f>AX4/SQRT(3)</f>
        <v>7.1209583111400604E-2</v>
      </c>
      <c r="AZ4" s="90">
        <f>AVERAGE(AT4:AV4)</f>
        <v>1.063720007879003</v>
      </c>
      <c r="BA4" s="90">
        <f>STDEV(AT4:AV4)</f>
        <v>0.40463232071359917</v>
      </c>
      <c r="BB4" s="90">
        <f>BA4/SQRT(3)</f>
        <v>0.23361457928681947</v>
      </c>
      <c r="BC4" s="99" t="s">
        <v>681</v>
      </c>
    </row>
    <row r="5" spans="1:55">
      <c r="C5" s="58"/>
      <c r="D5" s="58" t="s">
        <v>33</v>
      </c>
      <c r="E5" s="58" t="s">
        <v>34</v>
      </c>
      <c r="F5" s="58">
        <v>16.443999999999999</v>
      </c>
      <c r="G5" s="58">
        <f>AVERAGE(F3:F5)</f>
        <v>16.577333333333332</v>
      </c>
      <c r="H5" s="58" t="s">
        <v>33</v>
      </c>
      <c r="I5" s="58" t="s">
        <v>35</v>
      </c>
      <c r="J5" s="58">
        <v>25.012</v>
      </c>
      <c r="K5" s="58">
        <f>J5-G5</f>
        <v>8.4346666666666685</v>
      </c>
      <c r="L5" s="58">
        <f t="shared" si="0"/>
        <v>2.8900964059240361E-3</v>
      </c>
      <c r="M5" s="58">
        <f>AVERAGE(L3:L5)</f>
        <v>3.7272901068013706E-3</v>
      </c>
      <c r="N5" s="58">
        <f t="shared" si="1"/>
        <v>0.77538810318261375</v>
      </c>
      <c r="O5" s="98" t="s">
        <v>38</v>
      </c>
      <c r="P5" s="90">
        <v>26.56258851154805</v>
      </c>
      <c r="Q5" s="90">
        <v>29.147976718497166</v>
      </c>
      <c r="R5" s="90">
        <v>31.962843134325372</v>
      </c>
      <c r="S5" s="90">
        <v>49.624838603687287</v>
      </c>
      <c r="T5" s="90">
        <v>51.839881131777204</v>
      </c>
      <c r="U5" s="90">
        <v>56.846140804880477</v>
      </c>
      <c r="V5" s="90">
        <f>AVERAGE(P5:R5)</f>
        <v>29.224469454790196</v>
      </c>
      <c r="W5" s="90">
        <f>STDEV(P5:R5)</f>
        <v>2.7009398089805989</v>
      </c>
      <c r="X5" s="90">
        <f t="shared" ref="X5:X9" si="4">W5/SQRT(3)</f>
        <v>1.5593883257799253</v>
      </c>
      <c r="Y5" s="90">
        <f>AVERAGE(S5:U5)</f>
        <v>52.770286846781651</v>
      </c>
      <c r="Z5" s="90">
        <f t="shared" ref="Z5:Z9" si="5">STDEV(S5:U5)</f>
        <v>3.6994651594688808</v>
      </c>
      <c r="AA5" s="90">
        <f>Z5/SQRT(3)</f>
        <v>2.1358872056770002</v>
      </c>
      <c r="AB5" s="99">
        <v>7.1400000000000005E-2</v>
      </c>
      <c r="AD5" s="60"/>
      <c r="AE5" s="60" t="s">
        <v>33</v>
      </c>
      <c r="AF5" s="60" t="s">
        <v>34</v>
      </c>
      <c r="AG5" s="60">
        <v>15.609</v>
      </c>
      <c r="AH5" s="60">
        <f t="shared" ref="AH5" si="6">AVERAGE(AG3:AG5)</f>
        <v>15.649000000000001</v>
      </c>
      <c r="AI5" s="60" t="s">
        <v>33</v>
      </c>
      <c r="AJ5" s="60" t="s">
        <v>35</v>
      </c>
      <c r="AK5" s="60">
        <v>32.984999999999999</v>
      </c>
      <c r="AL5" s="60">
        <f>AK5-AH5</f>
        <v>17.335999999999999</v>
      </c>
      <c r="AM5" s="60">
        <f t="shared" si="2"/>
        <v>6.0442719339368452E-6</v>
      </c>
      <c r="AN5" s="60">
        <f>AVERAGE(AM3:AM5)</f>
        <v>6.901710128941183E-6</v>
      </c>
      <c r="AO5" s="60">
        <f t="shared" si="3"/>
        <v>0.87576438607457463</v>
      </c>
      <c r="AP5" s="98" t="s">
        <v>38</v>
      </c>
      <c r="AQ5" s="98">
        <v>4.1361294931400554</v>
      </c>
      <c r="AR5" s="98">
        <v>2.7193867661375908</v>
      </c>
      <c r="AS5" s="98">
        <v>2.6267544698097502</v>
      </c>
      <c r="AT5" s="98">
        <v>5.3688559141480203</v>
      </c>
      <c r="AU5" s="98">
        <v>7.1236403802536374</v>
      </c>
      <c r="AV5" s="98">
        <v>6.9480815508392215</v>
      </c>
      <c r="AW5" s="90">
        <f>AVERAGE(AQ5:AS5)</f>
        <v>3.1607569096957988</v>
      </c>
      <c r="AX5" s="90">
        <f>STDEV(AQ5:AS5)</f>
        <v>0.84596627768592902</v>
      </c>
      <c r="AY5" s="90">
        <f t="shared" ref="AY5:AY9" si="7">AX5/SQRT(3)</f>
        <v>0.48841885814731684</v>
      </c>
      <c r="AZ5" s="90">
        <f>AVERAGE(AT5:AV5)</f>
        <v>6.480192615080294</v>
      </c>
      <c r="BA5" s="90">
        <f t="shared" ref="BA5" si="8">STDEV(AT5:AV5)</f>
        <v>0.96644046519979387</v>
      </c>
      <c r="BB5" s="90">
        <f>BA5/SQRT(3)</f>
        <v>0.55797466273884821</v>
      </c>
      <c r="BC5" s="99" t="s">
        <v>681</v>
      </c>
    </row>
    <row r="6" spans="1:55">
      <c r="C6" s="58"/>
      <c r="D6" s="58" t="s">
        <v>37</v>
      </c>
      <c r="E6" s="58" t="s">
        <v>34</v>
      </c>
      <c r="F6" s="58">
        <v>16.204999999999998</v>
      </c>
      <c r="G6" s="58"/>
      <c r="H6" s="58" t="s">
        <v>37</v>
      </c>
      <c r="I6" s="58" t="s">
        <v>35</v>
      </c>
      <c r="J6" s="58">
        <v>24.324999999999999</v>
      </c>
      <c r="K6" s="58">
        <f t="shared" ref="K6" si="9">J6-G8</f>
        <v>8.2639999999999993</v>
      </c>
      <c r="L6" s="58">
        <f t="shared" si="0"/>
        <v>3.2530303550021475E-3</v>
      </c>
      <c r="M6" s="58"/>
      <c r="N6" s="58">
        <f t="shared" si="1"/>
        <v>0.87276017207949086</v>
      </c>
      <c r="O6" s="98" t="s">
        <v>19</v>
      </c>
      <c r="P6" s="90">
        <v>27.889635450477964</v>
      </c>
      <c r="Q6" s="90">
        <v>27.221169996137018</v>
      </c>
      <c r="R6" s="90">
        <v>28.475655976491158</v>
      </c>
      <c r="S6" s="90">
        <v>69.727563818973167</v>
      </c>
      <c r="T6" s="90">
        <v>57.387203649734495</v>
      </c>
      <c r="U6" s="90">
        <v>58.633658459749142</v>
      </c>
      <c r="V6" s="90">
        <f>AVERAGE(P6:R6)</f>
        <v>27.862153807702047</v>
      </c>
      <c r="W6" s="90">
        <f>STDEV(P6:R6)</f>
        <v>0.6276943517696485</v>
      </c>
      <c r="X6" s="90">
        <f t="shared" si="4"/>
        <v>0.36239950296301421</v>
      </c>
      <c r="Y6" s="90">
        <f t="shared" ref="Y6:Y9" si="10">AVERAGE(S6:U6)</f>
        <v>61.916141976152268</v>
      </c>
      <c r="Z6" s="90">
        <f>STDEV(S6:U6)</f>
        <v>6.7935370612977994</v>
      </c>
      <c r="AA6" s="90">
        <f t="shared" ref="AA6:AA9" si="11">Z6/SQRT(3)</f>
        <v>3.922250451089984</v>
      </c>
      <c r="AB6" s="99">
        <v>3.8999999999999998E-3</v>
      </c>
      <c r="AD6" s="60"/>
      <c r="AE6" s="60" t="s">
        <v>37</v>
      </c>
      <c r="AF6" s="60" t="s">
        <v>34</v>
      </c>
      <c r="AG6" s="60">
        <v>15.518000000000001</v>
      </c>
      <c r="AH6" s="60"/>
      <c r="AI6" s="60" t="s">
        <v>37</v>
      </c>
      <c r="AJ6" s="60" t="s">
        <v>35</v>
      </c>
      <c r="AK6" s="60">
        <v>32.133000000000003</v>
      </c>
      <c r="AL6" s="60">
        <f t="shared" ref="AL6" si="12">AK6-AH8</f>
        <v>16.614000000000004</v>
      </c>
      <c r="AM6" s="60">
        <f t="shared" si="2"/>
        <v>9.969827681680074E-6</v>
      </c>
      <c r="AN6" s="60"/>
      <c r="AO6" s="60">
        <f t="shared" si="3"/>
        <v>1.4445445397472216</v>
      </c>
      <c r="AP6" s="98" t="s">
        <v>19</v>
      </c>
      <c r="AQ6" s="98">
        <v>63.131203716518115</v>
      </c>
      <c r="AR6" s="98">
        <v>60.896244495564837</v>
      </c>
      <c r="AS6" s="98">
        <v>66.962493879930449</v>
      </c>
      <c r="AT6" s="98">
        <v>129.30324643343957</v>
      </c>
      <c r="AU6" s="98">
        <v>121.90510118147229</v>
      </c>
      <c r="AV6" s="98">
        <v>130.38324596699971</v>
      </c>
      <c r="AW6" s="90">
        <f>AVERAGE(AQ6:AS6)</f>
        <v>63.663314030671131</v>
      </c>
      <c r="AX6" s="90">
        <f>STDEV(AQ6:AS6)</f>
        <v>3.0679311332150303</v>
      </c>
      <c r="AY6" s="90">
        <f t="shared" si="7"/>
        <v>1.7712708656169314</v>
      </c>
      <c r="AZ6" s="90">
        <f t="shared" ref="AZ6:AZ9" si="13">AVERAGE(AT6:AV6)</f>
        <v>127.19719786063719</v>
      </c>
      <c r="BA6" s="90">
        <f>STDEV(AT6:AV6)</f>
        <v>4.6147930825058285</v>
      </c>
      <c r="BB6" s="90">
        <f t="shared" ref="BB6:BB9" si="14">BA6/SQRT(3)</f>
        <v>2.6643520284391631</v>
      </c>
      <c r="BC6" s="99">
        <v>0.9889</v>
      </c>
    </row>
    <row r="7" spans="1:55">
      <c r="C7" s="58"/>
      <c r="D7" s="58" t="s">
        <v>37</v>
      </c>
      <c r="E7" s="58" t="s">
        <v>34</v>
      </c>
      <c r="F7" s="58">
        <v>15.862</v>
      </c>
      <c r="G7" s="58"/>
      <c r="H7" s="58" t="s">
        <v>37</v>
      </c>
      <c r="I7" s="58" t="s">
        <v>35</v>
      </c>
      <c r="J7" s="58">
        <v>24.379000000000001</v>
      </c>
      <c r="K7" s="58">
        <f t="shared" ref="K7" si="15">J7-G8</f>
        <v>8.3180000000000014</v>
      </c>
      <c r="L7" s="58">
        <f t="shared" si="0"/>
        <v>3.1335201810643973E-3</v>
      </c>
      <c r="M7" s="58"/>
      <c r="N7" s="58">
        <f t="shared" si="1"/>
        <v>0.84069661638263904</v>
      </c>
      <c r="O7" s="98">
        <v>1</v>
      </c>
      <c r="P7" s="90">
        <v>75.862964210454692</v>
      </c>
      <c r="Q7" s="90">
        <v>73.482247022895123</v>
      </c>
      <c r="R7" s="90">
        <v>73.788487464659966</v>
      </c>
      <c r="S7" s="90">
        <v>121.93686123041411</v>
      </c>
      <c r="T7" s="90">
        <v>121.01067452052061</v>
      </c>
      <c r="U7" s="90">
        <v>141.4345232126343</v>
      </c>
      <c r="V7" s="90">
        <f t="shared" ref="V7:V9" si="16">AVERAGE(P7:R7)</f>
        <v>74.377899566003251</v>
      </c>
      <c r="W7" s="90">
        <f t="shared" ref="W7:W9" si="17">STDEV(P7:R7)</f>
        <v>1.2951866856530081</v>
      </c>
      <c r="X7" s="90">
        <f t="shared" si="4"/>
        <v>0.74777638161258342</v>
      </c>
      <c r="Y7" s="90">
        <f t="shared" si="10"/>
        <v>128.12735298785634</v>
      </c>
      <c r="Z7" s="90">
        <f t="shared" si="5"/>
        <v>11.533648165208124</v>
      </c>
      <c r="AA7" s="90">
        <f t="shared" si="11"/>
        <v>6.6589548729213437</v>
      </c>
      <c r="AB7" s="99" t="s">
        <v>666</v>
      </c>
      <c r="AD7" s="60"/>
      <c r="AE7" s="60" t="s">
        <v>37</v>
      </c>
      <c r="AF7" s="60" t="s">
        <v>34</v>
      </c>
      <c r="AG7" s="60">
        <v>15.657999999999999</v>
      </c>
      <c r="AH7" s="60"/>
      <c r="AI7" s="60" t="s">
        <v>37</v>
      </c>
      <c r="AJ7" s="60" t="s">
        <v>35</v>
      </c>
      <c r="AK7" s="60">
        <v>32.515999999999998</v>
      </c>
      <c r="AL7" s="60">
        <f t="shared" ref="AL7" si="18">AK7-AH8</f>
        <v>16.997</v>
      </c>
      <c r="AM7" s="60">
        <f t="shared" si="2"/>
        <v>7.6452759176607747E-6</v>
      </c>
      <c r="AN7" s="60"/>
      <c r="AO7" s="60">
        <f t="shared" si="3"/>
        <v>1.1077364558678833</v>
      </c>
      <c r="AP7" s="98">
        <v>1</v>
      </c>
      <c r="AQ7" s="98">
        <v>1476.4819667392817</v>
      </c>
      <c r="AR7" s="98">
        <v>1410.4580287024148</v>
      </c>
      <c r="AS7" s="98">
        <v>1348.3207482005753</v>
      </c>
      <c r="AT7" s="98">
        <v>1673.0691434481512</v>
      </c>
      <c r="AU7" s="98">
        <v>1506.8095366713274</v>
      </c>
      <c r="AV7" s="98">
        <v>1755.0316757720666</v>
      </c>
      <c r="AW7" s="90">
        <f t="shared" ref="AW7:AW9" si="19">AVERAGE(AQ7:AS7)</f>
        <v>1411.7535812140907</v>
      </c>
      <c r="AX7" s="90">
        <f t="shared" ref="AX7:AX9" si="20">STDEV(AQ7:AS7)</f>
        <v>64.090430850201017</v>
      </c>
      <c r="AY7" s="90">
        <f t="shared" si="7"/>
        <v>37.002627503842653</v>
      </c>
      <c r="AZ7" s="90">
        <f t="shared" si="13"/>
        <v>1644.9701186305149</v>
      </c>
      <c r="BA7" s="90">
        <f t="shared" ref="BA7:BA9" si="21">STDEV(AT7:AV7)</f>
        <v>126.47420283090653</v>
      </c>
      <c r="BB7" s="90">
        <f t="shared" si="14"/>
        <v>73.019915049967224</v>
      </c>
      <c r="BC7" s="99">
        <v>0.1522</v>
      </c>
    </row>
    <row r="8" spans="1:55">
      <c r="C8" s="58"/>
      <c r="D8" s="58" t="s">
        <v>37</v>
      </c>
      <c r="E8" s="58" t="s">
        <v>34</v>
      </c>
      <c r="F8" s="58">
        <v>16.116</v>
      </c>
      <c r="G8" s="58">
        <f t="shared" ref="G8" si="22">AVERAGE(F6:F8)</f>
        <v>16.061</v>
      </c>
      <c r="H8" s="58" t="s">
        <v>37</v>
      </c>
      <c r="I8" s="58" t="s">
        <v>35</v>
      </c>
      <c r="J8" s="58">
        <v>24.288</v>
      </c>
      <c r="K8" s="58">
        <f t="shared" ref="K8" si="23">J8-G8</f>
        <v>8.2270000000000003</v>
      </c>
      <c r="L8" s="58">
        <f t="shared" si="0"/>
        <v>3.3375380503505203E-3</v>
      </c>
      <c r="M8" s="58"/>
      <c r="N8" s="58">
        <f t="shared" si="1"/>
        <v>0.89543286267423883</v>
      </c>
      <c r="O8" s="98">
        <v>3</v>
      </c>
      <c r="P8" s="90">
        <v>109.49014200176343</v>
      </c>
      <c r="Q8" s="90">
        <v>114.21886724020406</v>
      </c>
      <c r="R8" s="90">
        <v>108.05763275293084</v>
      </c>
      <c r="S8" s="90">
        <v>141.30387034171531</v>
      </c>
      <c r="T8" s="90">
        <v>136.5851826111805</v>
      </c>
      <c r="U8" s="90">
        <v>183.88464081161405</v>
      </c>
      <c r="V8" s="90">
        <f t="shared" si="16"/>
        <v>110.58888066496611</v>
      </c>
      <c r="W8" s="90">
        <f t="shared" si="17"/>
        <v>3.2242243391711338</v>
      </c>
      <c r="X8" s="90">
        <f t="shared" si="4"/>
        <v>1.8615067901481974</v>
      </c>
      <c r="Y8" s="90">
        <f t="shared" si="10"/>
        <v>153.92456458816994</v>
      </c>
      <c r="Z8" s="90">
        <f t="shared" si="5"/>
        <v>26.053236439270151</v>
      </c>
      <c r="AA8" s="90">
        <f t="shared" si="11"/>
        <v>15.04184307147359</v>
      </c>
      <c r="AB8" s="99">
        <v>2.9999999999999997E-4</v>
      </c>
      <c r="AD8" s="60"/>
      <c r="AE8" s="60" t="s">
        <v>37</v>
      </c>
      <c r="AF8" s="60" t="s">
        <v>34</v>
      </c>
      <c r="AG8" s="60">
        <v>15.381</v>
      </c>
      <c r="AH8" s="60">
        <f t="shared" ref="AH8:AH38" si="24">AVERAGE(AG6:AG8)</f>
        <v>15.519</v>
      </c>
      <c r="AI8" s="60" t="s">
        <v>37</v>
      </c>
      <c r="AJ8" s="60" t="s">
        <v>35</v>
      </c>
      <c r="AK8" s="60">
        <v>33.31</v>
      </c>
      <c r="AL8" s="60">
        <f t="shared" ref="AL8" si="25">AK8-AH8</f>
        <v>17.791000000000004</v>
      </c>
      <c r="AM8" s="60">
        <f t="shared" si="2"/>
        <v>4.4093578588668704E-6</v>
      </c>
      <c r="AN8" s="60"/>
      <c r="AO8" s="60">
        <f t="shared" si="3"/>
        <v>0.63887902802190399</v>
      </c>
      <c r="AP8" s="98">
        <v>3</v>
      </c>
      <c r="AQ8" s="98">
        <v>2975.5652119262591</v>
      </c>
      <c r="AR8" s="98">
        <v>2983.8266780066515</v>
      </c>
      <c r="AS8" s="98">
        <v>2707.8798664374062</v>
      </c>
      <c r="AT8" s="98">
        <v>3526.3208221190694</v>
      </c>
      <c r="AU8" s="98">
        <v>3926.2818361573281</v>
      </c>
      <c r="AV8" s="98">
        <v>3326.8659485159042</v>
      </c>
      <c r="AW8" s="90">
        <f t="shared" si="19"/>
        <v>2889.0905854567723</v>
      </c>
      <c r="AX8" s="90">
        <f t="shared" si="20"/>
        <v>156.98744048835908</v>
      </c>
      <c r="AY8" s="90">
        <f t="shared" si="7"/>
        <v>90.636741025344477</v>
      </c>
      <c r="AZ8" s="90">
        <f t="shared" si="13"/>
        <v>3593.1562022641006</v>
      </c>
      <c r="BA8" s="90">
        <f t="shared" si="21"/>
        <v>305.24592973303868</v>
      </c>
      <c r="BB8" s="90">
        <f t="shared" si="14"/>
        <v>176.23381970040748</v>
      </c>
      <c r="BC8" s="99" t="s">
        <v>666</v>
      </c>
    </row>
    <row r="9" spans="1:55">
      <c r="C9" s="58"/>
      <c r="D9" s="58" t="s">
        <v>39</v>
      </c>
      <c r="E9" s="58" t="s">
        <v>34</v>
      </c>
      <c r="F9" s="58">
        <v>16.13</v>
      </c>
      <c r="G9" s="58"/>
      <c r="H9" s="58" t="s">
        <v>39</v>
      </c>
      <c r="I9" s="58" t="s">
        <v>35</v>
      </c>
      <c r="J9" s="58">
        <v>19.54</v>
      </c>
      <c r="K9" s="58">
        <f t="shared" ref="K9" si="26">J9-G11</f>
        <v>3.3363333333333323</v>
      </c>
      <c r="L9" s="58">
        <f t="shared" si="0"/>
        <v>9.9006473370128772E-2</v>
      </c>
      <c r="M9" s="58"/>
      <c r="N9" s="58">
        <f t="shared" si="1"/>
        <v>26.56258851154805</v>
      </c>
      <c r="O9" s="98">
        <v>6</v>
      </c>
      <c r="P9" s="90">
        <v>88.298917022947933</v>
      </c>
      <c r="Q9" s="90">
        <v>82.729149094408541</v>
      </c>
      <c r="R9" s="90">
        <v>90.216776804269514</v>
      </c>
      <c r="S9" s="90">
        <v>168.31156557505639</v>
      </c>
      <c r="T9" s="90">
        <v>131.41539695060726</v>
      </c>
      <c r="U9" s="90">
        <v>131.41539695060726</v>
      </c>
      <c r="V9" s="90">
        <f t="shared" si="16"/>
        <v>87.081614307208667</v>
      </c>
      <c r="W9" s="90">
        <f t="shared" si="17"/>
        <v>3.8894101875064711</v>
      </c>
      <c r="X9" s="90">
        <f t="shared" si="4"/>
        <v>2.2455520187457338</v>
      </c>
      <c r="Y9" s="90">
        <f t="shared" si="10"/>
        <v>143.71411982542364</v>
      </c>
      <c r="Z9" s="90">
        <f t="shared" si="5"/>
        <v>21.302012887391406</v>
      </c>
      <c r="AA9" s="90">
        <f t="shared" si="11"/>
        <v>12.298722874816306</v>
      </c>
      <c r="AB9" s="99" t="s">
        <v>666</v>
      </c>
      <c r="AD9" s="60"/>
      <c r="AE9" s="60" t="s">
        <v>39</v>
      </c>
      <c r="AF9" s="60" t="s">
        <v>34</v>
      </c>
      <c r="AG9" s="60">
        <v>15.827999999999999</v>
      </c>
      <c r="AH9" s="60"/>
      <c r="AI9" s="60" t="s">
        <v>39</v>
      </c>
      <c r="AJ9" s="60" t="s">
        <v>35</v>
      </c>
      <c r="AK9" s="60">
        <v>30.896999999999998</v>
      </c>
      <c r="AL9" s="60">
        <f t="shared" ref="AL9" si="27">AK9-AH11</f>
        <v>15.096333333333332</v>
      </c>
      <c r="AM9" s="60">
        <f t="shared" si="2"/>
        <v>2.8546366817417066E-5</v>
      </c>
      <c r="AN9" s="60"/>
      <c r="AO9" s="60">
        <f>AM9/6.90171012894118E-06</f>
        <v>4.1361294931400554</v>
      </c>
      <c r="AP9" s="98">
        <v>6</v>
      </c>
      <c r="AQ9" s="98">
        <v>2995.5697011772577</v>
      </c>
      <c r="AR9" s="98">
        <v>2889.5210955508333</v>
      </c>
      <c r="AS9" s="98">
        <v>2909.6193041708839</v>
      </c>
      <c r="AT9" s="98">
        <v>3176.6300182758823</v>
      </c>
      <c r="AU9" s="98">
        <v>3355.4286253660239</v>
      </c>
      <c r="AV9" s="98">
        <v>3554.131520710805</v>
      </c>
      <c r="AW9" s="90">
        <f t="shared" si="19"/>
        <v>2931.5700336329915</v>
      </c>
      <c r="AX9" s="90">
        <f t="shared" si="20"/>
        <v>56.328967519085666</v>
      </c>
      <c r="AY9" s="90">
        <f t="shared" si="7"/>
        <v>32.5215445603178</v>
      </c>
      <c r="AZ9" s="90">
        <f t="shared" si="13"/>
        <v>3362.0633881175704</v>
      </c>
      <c r="BA9" s="90">
        <f t="shared" si="21"/>
        <v>188.83818772359837</v>
      </c>
      <c r="BB9" s="90">
        <f t="shared" si="14"/>
        <v>109.0257785155006</v>
      </c>
      <c r="BC9" s="99">
        <v>1.2999999999999999E-3</v>
      </c>
    </row>
    <row r="10" spans="1:55">
      <c r="C10" s="58"/>
      <c r="D10" s="58" t="s">
        <v>39</v>
      </c>
      <c r="E10" s="58" t="s">
        <v>34</v>
      </c>
      <c r="F10" s="58">
        <v>16.288</v>
      </c>
      <c r="G10" s="58"/>
      <c r="H10" s="58" t="s">
        <v>39</v>
      </c>
      <c r="I10" s="58" t="s">
        <v>35</v>
      </c>
      <c r="J10" s="58">
        <v>19.405999999999999</v>
      </c>
      <c r="K10" s="58">
        <f t="shared" ref="K10" si="28">J10-G11</f>
        <v>3.2023333333333319</v>
      </c>
      <c r="L10" s="58">
        <f t="shared" si="0"/>
        <v>0.10864296525613115</v>
      </c>
      <c r="M10" s="58"/>
      <c r="N10" s="58">
        <f t="shared" si="1"/>
        <v>29.147976718497166</v>
      </c>
      <c r="O10" s="90"/>
      <c r="P10" s="90"/>
      <c r="Q10" s="90"/>
      <c r="R10" s="90"/>
      <c r="S10" s="90"/>
      <c r="T10" s="90"/>
      <c r="U10" s="90"/>
      <c r="V10" s="90"/>
      <c r="W10" s="90"/>
      <c r="X10" s="90"/>
      <c r="Y10" s="90"/>
      <c r="Z10" s="90"/>
      <c r="AA10" s="90"/>
      <c r="AB10" s="90"/>
      <c r="AD10" s="60"/>
      <c r="AE10" s="60" t="s">
        <v>39</v>
      </c>
      <c r="AF10" s="60" t="s">
        <v>34</v>
      </c>
      <c r="AG10" s="60">
        <v>15.731</v>
      </c>
      <c r="AH10" s="60"/>
      <c r="AI10" s="60" t="s">
        <v>39</v>
      </c>
      <c r="AJ10" s="60" t="s">
        <v>35</v>
      </c>
      <c r="AK10" s="60">
        <v>31.501999999999999</v>
      </c>
      <c r="AL10" s="60">
        <f t="shared" ref="AL10" si="29">AK10-AH11</f>
        <v>15.701333333333332</v>
      </c>
      <c r="AM10" s="60">
        <f t="shared" si="2"/>
        <v>1.8768419188360409E-5</v>
      </c>
      <c r="AN10" s="60"/>
      <c r="AO10" s="60">
        <f t="shared" si="3"/>
        <v>2.7193867661375908</v>
      </c>
      <c r="AP10" s="90"/>
      <c r="AQ10" s="90"/>
      <c r="AR10" s="90"/>
      <c r="AS10" s="90"/>
      <c r="AT10" s="90"/>
      <c r="AU10" s="90"/>
      <c r="AV10" s="90"/>
      <c r="AW10" s="90"/>
      <c r="AX10" s="90"/>
      <c r="AY10" s="90"/>
      <c r="AZ10" s="90"/>
      <c r="BA10" s="90"/>
      <c r="BB10" s="90"/>
      <c r="BC10" s="90"/>
    </row>
    <row r="11" spans="1:55">
      <c r="C11" s="58"/>
      <c r="D11" s="58" t="s">
        <v>39</v>
      </c>
      <c r="E11" s="58" t="s">
        <v>34</v>
      </c>
      <c r="F11" s="58">
        <v>16.193000000000001</v>
      </c>
      <c r="G11" s="58">
        <f t="shared" ref="G11" si="30">AVERAGE(F9:F11)</f>
        <v>16.203666666666667</v>
      </c>
      <c r="H11" s="58" t="s">
        <v>39</v>
      </c>
      <c r="I11" s="58" t="s">
        <v>35</v>
      </c>
      <c r="J11" s="58">
        <v>19.273</v>
      </c>
      <c r="K11" s="58">
        <f t="shared" ref="K11" si="31">J11-G11</f>
        <v>3.0693333333333328</v>
      </c>
      <c r="L11" s="58">
        <f t="shared" si="0"/>
        <v>0.11913478899981506</v>
      </c>
      <c r="M11" s="58"/>
      <c r="N11" s="58">
        <f t="shared" si="1"/>
        <v>31.962843134325372</v>
      </c>
      <c r="O11" s="58"/>
      <c r="P11" s="58"/>
      <c r="Q11" s="58"/>
      <c r="R11" s="58"/>
      <c r="S11" s="58"/>
      <c r="T11" s="58"/>
      <c r="U11" s="58"/>
      <c r="AD11" s="60"/>
      <c r="AE11" s="60" t="s">
        <v>39</v>
      </c>
      <c r="AF11" s="60" t="s">
        <v>34</v>
      </c>
      <c r="AG11" s="60">
        <v>15.843</v>
      </c>
      <c r="AH11" s="60">
        <f t="shared" si="24"/>
        <v>15.800666666666666</v>
      </c>
      <c r="AI11" s="60" t="s">
        <v>39</v>
      </c>
      <c r="AJ11" s="60" t="s">
        <v>35</v>
      </c>
      <c r="AK11" s="60">
        <v>31.552</v>
      </c>
      <c r="AL11" s="60">
        <f t="shared" ref="AL11" si="32">AK11-AH11</f>
        <v>15.751333333333333</v>
      </c>
      <c r="AM11" s="60">
        <f t="shared" si="2"/>
        <v>1.8129097930527473E-5</v>
      </c>
      <c r="AN11" s="60"/>
      <c r="AO11" s="60">
        <f t="shared" si="3"/>
        <v>2.6267544698097502</v>
      </c>
      <c r="AP11" s="60"/>
      <c r="AQ11" s="60"/>
      <c r="AR11" s="60"/>
      <c r="AS11" s="60"/>
      <c r="AT11" s="60"/>
      <c r="AU11" s="60"/>
      <c r="AV11" s="60"/>
    </row>
    <row r="12" spans="1:55">
      <c r="C12" s="58"/>
      <c r="D12" s="58" t="s">
        <v>40</v>
      </c>
      <c r="E12" s="58" t="s">
        <v>34</v>
      </c>
      <c r="F12" s="58">
        <v>17.018000000000001</v>
      </c>
      <c r="G12" s="58"/>
      <c r="H12" s="58" t="s">
        <v>40</v>
      </c>
      <c r="I12" s="58" t="s">
        <v>35</v>
      </c>
      <c r="J12" s="58">
        <v>19.488</v>
      </c>
      <c r="K12" s="58">
        <f t="shared" ref="K12" si="33">J12-G14</f>
        <v>2.4346666666666685</v>
      </c>
      <c r="L12" s="58">
        <f t="shared" si="0"/>
        <v>0.18496616997913834</v>
      </c>
      <c r="M12" s="58"/>
      <c r="N12" s="58">
        <f t="shared" si="1"/>
        <v>49.624838603687287</v>
      </c>
      <c r="O12" s="58"/>
      <c r="P12" s="58"/>
      <c r="Q12" s="58"/>
      <c r="R12" s="58"/>
      <c r="S12" s="58"/>
      <c r="T12" s="58"/>
      <c r="U12" s="58"/>
      <c r="AD12" s="60"/>
      <c r="AE12" s="60" t="s">
        <v>40</v>
      </c>
      <c r="AF12" s="60" t="s">
        <v>34</v>
      </c>
      <c r="AG12" s="60">
        <v>16.3</v>
      </c>
      <c r="AH12" s="60"/>
      <c r="AI12" s="60" t="s">
        <v>40</v>
      </c>
      <c r="AJ12" s="60" t="s">
        <v>35</v>
      </c>
      <c r="AK12" s="60">
        <v>30.841000000000001</v>
      </c>
      <c r="AL12" s="60">
        <f t="shared" ref="AL12" si="34">AK12-AH14</f>
        <v>14.720000000000002</v>
      </c>
      <c r="AM12" s="60">
        <f t="shared" si="2"/>
        <v>3.7054287243501149E-5</v>
      </c>
      <c r="AN12" s="60"/>
      <c r="AO12" s="60">
        <f t="shared" si="3"/>
        <v>5.3688559141480203</v>
      </c>
      <c r="AP12" s="60"/>
      <c r="AQ12" s="60"/>
      <c r="AR12" s="60"/>
      <c r="AS12" s="60"/>
      <c r="AT12" s="60"/>
      <c r="AU12" s="60"/>
      <c r="AV12" s="60"/>
    </row>
    <row r="13" spans="1:55">
      <c r="C13" s="58"/>
      <c r="D13" s="58" t="s">
        <v>40</v>
      </c>
      <c r="E13" s="58" t="s">
        <v>34</v>
      </c>
      <c r="F13" s="58">
        <v>17.073</v>
      </c>
      <c r="G13" s="58"/>
      <c r="H13" s="58" t="s">
        <v>40</v>
      </c>
      <c r="I13" s="58" t="s">
        <v>35</v>
      </c>
      <c r="J13" s="58">
        <v>19.425000000000001</v>
      </c>
      <c r="K13" s="58">
        <f t="shared" ref="K13" si="35">J13-G14</f>
        <v>2.3716666666666697</v>
      </c>
      <c r="L13" s="58">
        <f t="shared" si="0"/>
        <v>0.19322227608023218</v>
      </c>
      <c r="M13" s="58"/>
      <c r="N13" s="58">
        <f t="shared" si="1"/>
        <v>51.839881131777204</v>
      </c>
      <c r="O13" s="58"/>
      <c r="P13" s="58"/>
      <c r="Q13" s="58"/>
      <c r="R13" s="58"/>
      <c r="S13" s="58"/>
      <c r="T13" s="58"/>
      <c r="U13" s="58"/>
      <c r="AD13" s="60"/>
      <c r="AE13" s="60" t="s">
        <v>40</v>
      </c>
      <c r="AF13" s="60" t="s">
        <v>34</v>
      </c>
      <c r="AG13" s="60">
        <v>16.170999999999999</v>
      </c>
      <c r="AH13" s="60"/>
      <c r="AI13" s="60" t="s">
        <v>40</v>
      </c>
      <c r="AJ13" s="60" t="s">
        <v>35</v>
      </c>
      <c r="AK13" s="60">
        <v>30.433</v>
      </c>
      <c r="AL13" s="60">
        <f t="shared" ref="AL13" si="36">AK13-AH14</f>
        <v>14.312000000000001</v>
      </c>
      <c r="AM13" s="60">
        <f t="shared" si="2"/>
        <v>4.9165300967330926E-5</v>
      </c>
      <c r="AN13" s="60"/>
      <c r="AO13" s="60">
        <f t="shared" si="3"/>
        <v>7.1236403802536374</v>
      </c>
      <c r="AP13" s="60"/>
      <c r="AQ13" s="60"/>
      <c r="AR13" s="60"/>
      <c r="AS13" s="60"/>
      <c r="AT13" s="60"/>
      <c r="AU13" s="60"/>
      <c r="AV13" s="60"/>
    </row>
    <row r="14" spans="1:55">
      <c r="C14" s="58"/>
      <c r="D14" s="58" t="s">
        <v>40</v>
      </c>
      <c r="E14" s="58" t="s">
        <v>34</v>
      </c>
      <c r="F14" s="58">
        <v>17.068999999999999</v>
      </c>
      <c r="G14" s="58">
        <f t="shared" ref="G14" si="37">AVERAGE(F12:F14)</f>
        <v>17.053333333333331</v>
      </c>
      <c r="H14" s="58" t="s">
        <v>40</v>
      </c>
      <c r="I14" s="58" t="s">
        <v>35</v>
      </c>
      <c r="J14" s="58">
        <v>19.292000000000002</v>
      </c>
      <c r="K14" s="58">
        <f t="shared" ref="K14" si="38">J14-G14</f>
        <v>2.2386666666666706</v>
      </c>
      <c r="L14" s="58">
        <f t="shared" si="0"/>
        <v>0.21188205823186868</v>
      </c>
      <c r="M14" s="58"/>
      <c r="N14" s="58">
        <f t="shared" si="1"/>
        <v>56.846140804880477</v>
      </c>
      <c r="O14" s="58"/>
      <c r="P14" s="58"/>
      <c r="Q14" s="58"/>
      <c r="R14" s="58"/>
      <c r="S14" s="58"/>
      <c r="T14" s="58"/>
      <c r="U14" s="58"/>
      <c r="AD14" s="60"/>
      <c r="AE14" s="60" t="s">
        <v>40</v>
      </c>
      <c r="AF14" s="60" t="s">
        <v>34</v>
      </c>
      <c r="AG14" s="60">
        <v>15.891999999999999</v>
      </c>
      <c r="AH14" s="60">
        <f t="shared" si="24"/>
        <v>16.120999999999999</v>
      </c>
      <c r="AI14" s="60" t="s">
        <v>40</v>
      </c>
      <c r="AJ14" s="60" t="s">
        <v>35</v>
      </c>
      <c r="AK14" s="60">
        <v>30.469000000000001</v>
      </c>
      <c r="AL14" s="60">
        <f t="shared" ref="AL14" si="39">AK14-AH14</f>
        <v>14.348000000000003</v>
      </c>
      <c r="AM14" s="60">
        <f t="shared" si="2"/>
        <v>4.7953644816136392E-5</v>
      </c>
      <c r="AN14" s="60"/>
      <c r="AO14" s="60">
        <f t="shared" si="3"/>
        <v>6.9480815508392215</v>
      </c>
      <c r="AP14" s="60"/>
      <c r="AQ14" s="60"/>
      <c r="AR14" s="60"/>
      <c r="AS14" s="60"/>
      <c r="AT14" s="60"/>
      <c r="AU14" s="60"/>
      <c r="AV14" s="60"/>
    </row>
    <row r="15" spans="1:55">
      <c r="C15" s="58"/>
      <c r="D15" s="58" t="s">
        <v>41</v>
      </c>
      <c r="E15" s="58" t="s">
        <v>34</v>
      </c>
      <c r="F15" s="58">
        <v>15.981999999999999</v>
      </c>
      <c r="G15" s="58"/>
      <c r="H15" s="58" t="s">
        <v>41</v>
      </c>
      <c r="I15" s="58" t="s">
        <v>35</v>
      </c>
      <c r="J15" s="58">
        <v>19.216999999999999</v>
      </c>
      <c r="K15" s="58">
        <f t="shared" ref="K15" si="40">J15-G17</f>
        <v>3.266</v>
      </c>
      <c r="L15" s="58">
        <f t="shared" si="0"/>
        <v>0.10395276229686329</v>
      </c>
      <c r="M15" s="58"/>
      <c r="N15" s="58">
        <f t="shared" si="1"/>
        <v>27.889635450477964</v>
      </c>
      <c r="O15" s="58"/>
      <c r="P15" s="58"/>
      <c r="Q15" s="58"/>
      <c r="R15" s="58"/>
      <c r="S15" s="58"/>
      <c r="T15" s="58"/>
      <c r="U15" s="58"/>
      <c r="AD15" s="60"/>
      <c r="AE15" s="60" t="s">
        <v>41</v>
      </c>
      <c r="AF15" s="60" t="s">
        <v>34</v>
      </c>
      <c r="AG15" s="60">
        <v>15.49</v>
      </c>
      <c r="AH15" s="60"/>
      <c r="AI15" s="60" t="s">
        <v>41</v>
      </c>
      <c r="AJ15" s="60" t="s">
        <v>35</v>
      </c>
      <c r="AK15" s="60">
        <v>26.849</v>
      </c>
      <c r="AL15" s="60">
        <f t="shared" ref="AL15" si="41">AK15-AH17</f>
        <v>11.164333333333333</v>
      </c>
      <c r="AM15" s="60">
        <f t="shared" si="2"/>
        <v>4.3571326814254214E-4</v>
      </c>
      <c r="AN15" s="60"/>
      <c r="AO15" s="60">
        <f t="shared" si="3"/>
        <v>63.131203716518115</v>
      </c>
      <c r="AP15" s="60"/>
      <c r="AQ15" s="60"/>
      <c r="AR15" s="60"/>
      <c r="AS15" s="60"/>
      <c r="AT15" s="60"/>
      <c r="AU15" s="60"/>
      <c r="AV15" s="60"/>
    </row>
    <row r="16" spans="1:55">
      <c r="C16" s="58"/>
      <c r="D16" s="58" t="s">
        <v>41</v>
      </c>
      <c r="E16" s="58" t="s">
        <v>34</v>
      </c>
      <c r="F16" s="58">
        <v>15.824999999999999</v>
      </c>
      <c r="G16" s="58"/>
      <c r="H16" s="58" t="s">
        <v>41</v>
      </c>
      <c r="I16" s="58" t="s">
        <v>35</v>
      </c>
      <c r="J16" s="58">
        <v>19.251999999999999</v>
      </c>
      <c r="K16" s="58">
        <f t="shared" ref="K16" si="42">J16-G17</f>
        <v>3.3010000000000002</v>
      </c>
      <c r="L16" s="58">
        <f t="shared" si="0"/>
        <v>0.1014611976221598</v>
      </c>
      <c r="M16" s="58"/>
      <c r="N16" s="58">
        <f t="shared" si="1"/>
        <v>27.221169996137018</v>
      </c>
      <c r="O16" s="59"/>
      <c r="P16" s="58"/>
      <c r="Q16" s="58"/>
      <c r="R16" s="58"/>
      <c r="S16" s="58"/>
      <c r="T16" s="58"/>
      <c r="U16" s="58"/>
      <c r="AD16" s="60"/>
      <c r="AE16" s="60" t="s">
        <v>41</v>
      </c>
      <c r="AF16" s="60" t="s">
        <v>34</v>
      </c>
      <c r="AG16" s="60">
        <v>15.766</v>
      </c>
      <c r="AH16" s="60"/>
      <c r="AI16" s="60" t="s">
        <v>41</v>
      </c>
      <c r="AJ16" s="60" t="s">
        <v>35</v>
      </c>
      <c r="AK16" s="60">
        <v>26.901</v>
      </c>
      <c r="AL16" s="60">
        <f t="shared" ref="AL16" si="43">AK16-AH17</f>
        <v>11.216333333333333</v>
      </c>
      <c r="AM16" s="60">
        <f t="shared" si="2"/>
        <v>4.2028822744951837E-4</v>
      </c>
      <c r="AN16" s="60"/>
      <c r="AO16" s="60">
        <f t="shared" si="3"/>
        <v>60.896244495564837</v>
      </c>
      <c r="AP16" s="60"/>
      <c r="AQ16" s="60"/>
      <c r="AR16" s="60"/>
      <c r="AS16" s="60"/>
      <c r="AT16" s="60"/>
      <c r="AU16" s="60"/>
      <c r="AV16" s="60"/>
    </row>
    <row r="17" spans="3:48">
      <c r="C17" s="58"/>
      <c r="D17" s="58" t="s">
        <v>41</v>
      </c>
      <c r="E17" s="58" t="s">
        <v>34</v>
      </c>
      <c r="F17" s="58">
        <v>16.045999999999999</v>
      </c>
      <c r="G17" s="58">
        <f t="shared" ref="G17" si="44">AVERAGE(F15:F17)</f>
        <v>15.950999999999999</v>
      </c>
      <c r="H17" s="58" t="s">
        <v>41</v>
      </c>
      <c r="I17" s="58" t="s">
        <v>35</v>
      </c>
      <c r="J17" s="58">
        <v>19.187000000000001</v>
      </c>
      <c r="K17" s="58">
        <f t="shared" ref="K17" si="45">J17-G17</f>
        <v>3.2360000000000024</v>
      </c>
      <c r="L17" s="58">
        <f t="shared" si="0"/>
        <v>0.10613703080585481</v>
      </c>
      <c r="M17" s="58"/>
      <c r="N17" s="58">
        <f t="shared" si="1"/>
        <v>28.475655976491158</v>
      </c>
      <c r="O17" s="59"/>
      <c r="P17" s="58"/>
      <c r="Q17" s="58"/>
      <c r="R17" s="58"/>
      <c r="S17" s="58"/>
      <c r="T17" s="58"/>
      <c r="U17" s="58"/>
      <c r="AD17" s="60"/>
      <c r="AE17" s="60" t="s">
        <v>41</v>
      </c>
      <c r="AF17" s="60" t="s">
        <v>34</v>
      </c>
      <c r="AG17" s="60">
        <v>15.798</v>
      </c>
      <c r="AH17" s="60">
        <f t="shared" si="24"/>
        <v>15.684666666666667</v>
      </c>
      <c r="AI17" s="60" t="s">
        <v>41</v>
      </c>
      <c r="AJ17" s="60" t="s">
        <v>35</v>
      </c>
      <c r="AK17" s="60">
        <v>26.763999999999999</v>
      </c>
      <c r="AL17" s="60">
        <f t="shared" ref="AL17" si="46">AK17-AH17</f>
        <v>11.079333333333333</v>
      </c>
      <c r="AM17" s="60">
        <f t="shared" si="2"/>
        <v>4.6215572227027772E-4</v>
      </c>
      <c r="AN17" s="60"/>
      <c r="AO17" s="60">
        <f t="shared" si="3"/>
        <v>66.962493879930449</v>
      </c>
      <c r="AP17" s="60"/>
      <c r="AQ17" s="60"/>
      <c r="AR17" s="60"/>
      <c r="AS17" s="60"/>
      <c r="AT17" s="60"/>
      <c r="AU17" s="60"/>
      <c r="AV17" s="60"/>
    </row>
    <row r="18" spans="3:48">
      <c r="C18" s="58"/>
      <c r="D18" s="58" t="s">
        <v>42</v>
      </c>
      <c r="E18" s="58" t="s">
        <v>34</v>
      </c>
      <c r="F18" s="58">
        <v>17.042999999999999</v>
      </c>
      <c r="G18" s="58"/>
      <c r="H18" s="58" t="s">
        <v>42</v>
      </c>
      <c r="I18" s="58" t="s">
        <v>35</v>
      </c>
      <c r="J18" s="58">
        <v>18.959</v>
      </c>
      <c r="K18" s="58">
        <f t="shared" ref="K18" si="47">J18-G20</f>
        <v>1.9439999999999991</v>
      </c>
      <c r="L18" s="58">
        <f t="shared" si="0"/>
        <v>0.25989485879381985</v>
      </c>
      <c r="M18" s="58"/>
      <c r="N18" s="58">
        <f t="shared" si="1"/>
        <v>69.727563818973167</v>
      </c>
      <c r="O18" s="59"/>
      <c r="P18" s="58"/>
      <c r="Q18" s="58"/>
      <c r="R18" s="58"/>
      <c r="S18" s="58"/>
      <c r="T18" s="58"/>
      <c r="U18" s="58"/>
      <c r="AD18" s="60"/>
      <c r="AE18" s="60" t="s">
        <v>42</v>
      </c>
      <c r="AF18" s="60" t="s">
        <v>34</v>
      </c>
      <c r="AG18" s="60">
        <v>15.654</v>
      </c>
      <c r="AH18" s="60"/>
      <c r="AI18" s="60" t="s">
        <v>42</v>
      </c>
      <c r="AJ18" s="60" t="s">
        <v>35</v>
      </c>
      <c r="AK18" s="60">
        <v>25.783000000000001</v>
      </c>
      <c r="AL18" s="60">
        <f t="shared" ref="AL18" si="48">AK18-AH20</f>
        <v>10.130000000000003</v>
      </c>
      <c r="AM18" s="60">
        <f t="shared" si="2"/>
        <v>8.924135256146474E-4</v>
      </c>
      <c r="AN18" s="60"/>
      <c r="AO18" s="60">
        <f t="shared" si="3"/>
        <v>129.30324643343957</v>
      </c>
      <c r="AP18" s="60"/>
      <c r="AQ18" s="60"/>
      <c r="AR18" s="60"/>
      <c r="AS18" s="60"/>
      <c r="AT18" s="60"/>
      <c r="AU18" s="60"/>
      <c r="AV18" s="60"/>
    </row>
    <row r="19" spans="3:48">
      <c r="C19" s="58"/>
      <c r="D19" s="58" t="s">
        <v>42</v>
      </c>
      <c r="E19" s="58" t="s">
        <v>34</v>
      </c>
      <c r="F19" s="58">
        <v>16.882999999999999</v>
      </c>
      <c r="G19" s="58"/>
      <c r="H19" s="58" t="s">
        <v>42</v>
      </c>
      <c r="I19" s="58" t="s">
        <v>35</v>
      </c>
      <c r="J19" s="58">
        <v>19.239999999999998</v>
      </c>
      <c r="K19" s="58">
        <f t="shared" ref="K19" si="49">J19-G20</f>
        <v>2.2249999999999979</v>
      </c>
      <c r="L19" s="58">
        <f t="shared" si="0"/>
        <v>0.21389875642065087</v>
      </c>
      <c r="M19" s="58"/>
      <c r="N19" s="58">
        <f t="shared" si="1"/>
        <v>57.387203649734495</v>
      </c>
      <c r="O19" s="59"/>
      <c r="P19" s="58"/>
      <c r="Q19" s="58"/>
      <c r="R19" s="58"/>
      <c r="S19" s="58"/>
      <c r="T19" s="58"/>
      <c r="U19" s="58"/>
      <c r="AD19" s="60"/>
      <c r="AE19" s="60" t="s">
        <v>42</v>
      </c>
      <c r="AF19" s="60" t="s">
        <v>34</v>
      </c>
      <c r="AG19" s="60">
        <v>15.651999999999999</v>
      </c>
      <c r="AH19" s="60"/>
      <c r="AI19" s="60" t="s">
        <v>42</v>
      </c>
      <c r="AJ19" s="60" t="s">
        <v>35</v>
      </c>
      <c r="AK19" s="60">
        <v>25.867999999999999</v>
      </c>
      <c r="AL19" s="60">
        <f t="shared" ref="AL19" si="50">AK19-AH20</f>
        <v>10.215</v>
      </c>
      <c r="AM19" s="60">
        <f t="shared" si="2"/>
        <v>8.4135367159376669E-4</v>
      </c>
      <c r="AN19" s="60"/>
      <c r="AO19" s="60">
        <f t="shared" si="3"/>
        <v>121.90510118147229</v>
      </c>
      <c r="AP19" s="60"/>
      <c r="AQ19" s="60"/>
      <c r="AR19" s="60"/>
      <c r="AS19" s="60"/>
      <c r="AT19" s="60"/>
      <c r="AU19" s="60"/>
      <c r="AV19" s="60"/>
    </row>
    <row r="20" spans="3:48">
      <c r="C20" s="58"/>
      <c r="D20" s="58" t="s">
        <v>42</v>
      </c>
      <c r="E20" s="58" t="s">
        <v>34</v>
      </c>
      <c r="F20" s="58">
        <v>17.119</v>
      </c>
      <c r="G20" s="58">
        <f t="shared" ref="G20" si="51">AVERAGE(F18:F20)</f>
        <v>17.015000000000001</v>
      </c>
      <c r="H20" s="58" t="s">
        <v>42</v>
      </c>
      <c r="I20" s="58" t="s">
        <v>35</v>
      </c>
      <c r="J20" s="58">
        <v>19.209</v>
      </c>
      <c r="K20" s="58">
        <f t="shared" ref="K20" si="52">J20-G20</f>
        <v>2.1939999999999991</v>
      </c>
      <c r="L20" s="58">
        <f t="shared" si="0"/>
        <v>0.21854465510259344</v>
      </c>
      <c r="M20" s="58"/>
      <c r="N20" s="58">
        <f t="shared" si="1"/>
        <v>58.633658459749142</v>
      </c>
      <c r="O20" s="59"/>
      <c r="P20" s="58"/>
      <c r="Q20" s="58"/>
      <c r="R20" s="58"/>
      <c r="S20" s="58"/>
      <c r="T20" s="58"/>
      <c r="U20" s="58"/>
      <c r="AD20" s="60"/>
      <c r="AE20" s="60" t="s">
        <v>42</v>
      </c>
      <c r="AF20" s="60" t="s">
        <v>34</v>
      </c>
      <c r="AG20" s="60">
        <v>15.653</v>
      </c>
      <c r="AH20" s="60">
        <f t="shared" si="24"/>
        <v>15.652999999999999</v>
      </c>
      <c r="AI20" s="60" t="s">
        <v>42</v>
      </c>
      <c r="AJ20" s="60" t="s">
        <v>35</v>
      </c>
      <c r="AK20" s="60">
        <v>25.771000000000001</v>
      </c>
      <c r="AL20" s="60">
        <f t="shared" ref="AL20" si="53">AK20-AH20</f>
        <v>10.118000000000002</v>
      </c>
      <c r="AM20" s="60">
        <f t="shared" si="2"/>
        <v>8.9986736933467108E-4</v>
      </c>
      <c r="AN20" s="60"/>
      <c r="AO20" s="60">
        <f t="shared" si="3"/>
        <v>130.38324596699971</v>
      </c>
      <c r="AP20" s="60"/>
      <c r="AQ20" s="60"/>
      <c r="AR20" s="60"/>
      <c r="AS20" s="60"/>
      <c r="AT20" s="60"/>
      <c r="AU20" s="60"/>
      <c r="AV20" s="60"/>
    </row>
    <row r="21" spans="3:48">
      <c r="C21" s="58"/>
      <c r="D21" s="58" t="s">
        <v>43</v>
      </c>
      <c r="E21" s="58" t="s">
        <v>34</v>
      </c>
      <c r="F21" s="58">
        <v>16.722999999999999</v>
      </c>
      <c r="G21" s="58"/>
      <c r="H21" s="58" t="s">
        <v>43</v>
      </c>
      <c r="I21" s="58" t="s">
        <v>35</v>
      </c>
      <c r="J21" s="58">
        <v>18.489000000000001</v>
      </c>
      <c r="K21" s="58">
        <f t="shared" ref="K21" si="54">J21-G23</f>
        <v>1.8223333333333329</v>
      </c>
      <c r="L21" s="58">
        <f t="shared" si="0"/>
        <v>0.28276327597425421</v>
      </c>
      <c r="M21" s="58"/>
      <c r="N21" s="58">
        <f t="shared" si="1"/>
        <v>75.862964210454692</v>
      </c>
      <c r="O21" s="59"/>
      <c r="P21" s="58"/>
      <c r="Q21" s="58"/>
      <c r="R21" s="58"/>
      <c r="S21" s="58"/>
      <c r="T21" s="58"/>
      <c r="U21" s="58"/>
      <c r="AD21" s="60"/>
      <c r="AE21" s="60" t="s">
        <v>43</v>
      </c>
      <c r="AF21" s="60" t="s">
        <v>34</v>
      </c>
      <c r="AG21" s="60">
        <v>16.417999999999999</v>
      </c>
      <c r="AH21" s="60"/>
      <c r="AI21" s="60" t="s">
        <v>43</v>
      </c>
      <c r="AJ21" s="60" t="s">
        <v>35</v>
      </c>
      <c r="AK21" s="60">
        <v>23.088999999999999</v>
      </c>
      <c r="AL21" s="60">
        <f t="shared" ref="AL21" si="55">AK21-AH23</f>
        <v>6.6166666666666636</v>
      </c>
      <c r="AM21" s="60">
        <f t="shared" si="2"/>
        <v>1.0190250545043494E-2</v>
      </c>
      <c r="AN21" s="60"/>
      <c r="AO21" s="60">
        <f t="shared" si="3"/>
        <v>1476.4819667392817</v>
      </c>
      <c r="AP21" s="60"/>
      <c r="AQ21" s="60"/>
      <c r="AR21" s="60"/>
      <c r="AS21" s="60"/>
      <c r="AT21" s="60"/>
      <c r="AU21" s="60"/>
      <c r="AV21" s="60"/>
    </row>
    <row r="22" spans="3:48">
      <c r="C22" s="58"/>
      <c r="D22" s="58" t="s">
        <v>43</v>
      </c>
      <c r="E22" s="58" t="s">
        <v>34</v>
      </c>
      <c r="F22" s="58">
        <v>16.625</v>
      </c>
      <c r="G22" s="58"/>
      <c r="H22" s="58" t="s">
        <v>43</v>
      </c>
      <c r="I22" s="58" t="s">
        <v>35</v>
      </c>
      <c r="J22" s="58">
        <v>18.535</v>
      </c>
      <c r="K22" s="58">
        <f t="shared" ref="K22" si="56">J22-G23</f>
        <v>1.8683333333333323</v>
      </c>
      <c r="L22" s="58">
        <f t="shared" si="0"/>
        <v>0.27388965235397145</v>
      </c>
      <c r="M22" s="58"/>
      <c r="N22" s="58">
        <f t="shared" si="1"/>
        <v>73.482247022895123</v>
      </c>
      <c r="O22" s="58"/>
      <c r="P22" s="58"/>
      <c r="Q22" s="58"/>
      <c r="R22" s="58"/>
      <c r="S22" s="58"/>
      <c r="T22" s="58"/>
      <c r="U22" s="58"/>
      <c r="AD22" s="60"/>
      <c r="AE22" s="60" t="s">
        <v>43</v>
      </c>
      <c r="AF22" s="60" t="s">
        <v>34</v>
      </c>
      <c r="AG22" s="60">
        <v>16.619</v>
      </c>
      <c r="AH22" s="60"/>
      <c r="AI22" s="60" t="s">
        <v>43</v>
      </c>
      <c r="AJ22" s="60" t="s">
        <v>35</v>
      </c>
      <c r="AK22" s="60">
        <v>23.155000000000001</v>
      </c>
      <c r="AL22" s="60">
        <f t="shared" ref="AL22" si="57">AK22-AH23</f>
        <v>6.6826666666666661</v>
      </c>
      <c r="AM22" s="60">
        <f t="shared" si="2"/>
        <v>9.7345724631418655E-3</v>
      </c>
      <c r="AN22" s="60"/>
      <c r="AO22" s="60">
        <f t="shared" si="3"/>
        <v>1410.4580287024148</v>
      </c>
      <c r="AP22" s="60"/>
      <c r="AQ22" s="60"/>
      <c r="AR22" s="60"/>
      <c r="AS22" s="60"/>
      <c r="AT22" s="60"/>
      <c r="AU22" s="60"/>
      <c r="AV22" s="60"/>
    </row>
    <row r="23" spans="3:48">
      <c r="C23" s="58"/>
      <c r="D23" s="58" t="s">
        <v>43</v>
      </c>
      <c r="E23" s="58" t="s">
        <v>34</v>
      </c>
      <c r="F23" s="58">
        <v>16.652000000000001</v>
      </c>
      <c r="G23" s="58">
        <f t="shared" ref="G23" si="58">AVERAGE(F21:F23)</f>
        <v>16.666666666666668</v>
      </c>
      <c r="H23" s="58" t="s">
        <v>43</v>
      </c>
      <c r="I23" s="58" t="s">
        <v>35</v>
      </c>
      <c r="J23" s="58">
        <v>18.529</v>
      </c>
      <c r="K23" s="58">
        <f t="shared" ref="K23" si="59">J23-G23</f>
        <v>1.8623333333333321</v>
      </c>
      <c r="L23" s="58">
        <f t="shared" si="0"/>
        <v>0.27503109932286401</v>
      </c>
      <c r="M23" s="58"/>
      <c r="N23" s="58">
        <f t="shared" si="1"/>
        <v>73.788487464659966</v>
      </c>
      <c r="O23" s="58"/>
      <c r="P23" s="58"/>
      <c r="Q23" s="58"/>
      <c r="R23" s="58"/>
      <c r="S23" s="58"/>
      <c r="T23" s="58"/>
      <c r="U23" s="58"/>
      <c r="AD23" s="60"/>
      <c r="AE23" s="60" t="s">
        <v>43</v>
      </c>
      <c r="AF23" s="60" t="s">
        <v>34</v>
      </c>
      <c r="AG23" s="60">
        <v>16.38</v>
      </c>
      <c r="AH23" s="60">
        <f t="shared" si="24"/>
        <v>16.472333333333335</v>
      </c>
      <c r="AI23" s="60" t="s">
        <v>43</v>
      </c>
      <c r="AJ23" s="60" t="s">
        <v>35</v>
      </c>
      <c r="AK23" s="60">
        <v>23.22</v>
      </c>
      <c r="AL23" s="60">
        <f t="shared" ref="AL23" si="60">AK23-AH23</f>
        <v>6.7476666666666638</v>
      </c>
      <c r="AM23" s="60">
        <f t="shared" si="2"/>
        <v>9.3057189649174595E-3</v>
      </c>
      <c r="AN23" s="60"/>
      <c r="AO23" s="60">
        <f t="shared" si="3"/>
        <v>1348.3207482005753</v>
      </c>
      <c r="AP23" s="60"/>
      <c r="AQ23" s="60"/>
      <c r="AR23" s="60"/>
      <c r="AS23" s="60"/>
      <c r="AT23" s="60"/>
      <c r="AU23" s="60"/>
      <c r="AV23" s="60"/>
    </row>
    <row r="24" spans="3:48">
      <c r="C24" s="58"/>
      <c r="D24" s="58" t="s">
        <v>44</v>
      </c>
      <c r="E24" s="58" t="s">
        <v>34</v>
      </c>
      <c r="F24" s="58">
        <v>17.332999999999998</v>
      </c>
      <c r="G24" s="58"/>
      <c r="H24" s="58" t="s">
        <v>44</v>
      </c>
      <c r="I24" s="58" t="s">
        <v>35</v>
      </c>
      <c r="J24" s="58">
        <v>18.481999999999999</v>
      </c>
      <c r="K24" s="58">
        <f t="shared" ref="K24" si="61">J24-G26</f>
        <v>1.1376666666666644</v>
      </c>
      <c r="L24" s="58">
        <f t="shared" si="0"/>
        <v>0.45449405651853403</v>
      </c>
      <c r="M24" s="58"/>
      <c r="N24" s="58">
        <f t="shared" si="1"/>
        <v>121.93686123041411</v>
      </c>
      <c r="O24" s="58"/>
      <c r="P24" s="58"/>
      <c r="Q24" s="58"/>
      <c r="R24" s="58"/>
      <c r="S24" s="58"/>
      <c r="T24" s="58"/>
      <c r="U24" s="58"/>
      <c r="AD24" s="60"/>
      <c r="AE24" s="60" t="s">
        <v>44</v>
      </c>
      <c r="AF24" s="60" t="s">
        <v>34</v>
      </c>
      <c r="AG24" s="60">
        <v>16.939</v>
      </c>
      <c r="AH24" s="60"/>
      <c r="AI24" s="60" t="s">
        <v>44</v>
      </c>
      <c r="AJ24" s="60" t="s">
        <v>35</v>
      </c>
      <c r="AK24" s="60">
        <v>23.355</v>
      </c>
      <c r="AL24" s="60">
        <f t="shared" ref="AL24" si="62">AK24-AH26</f>
        <v>6.4363333333333337</v>
      </c>
      <c r="AM24" s="60">
        <f t="shared" si="2"/>
        <v>1.1547038253755049E-2</v>
      </c>
      <c r="AN24" s="60"/>
      <c r="AO24" s="60">
        <f t="shared" si="3"/>
        <v>1673.0691434481512</v>
      </c>
      <c r="AP24" s="60"/>
      <c r="AQ24" s="60"/>
      <c r="AR24" s="60"/>
      <c r="AS24" s="60"/>
      <c r="AT24" s="60"/>
      <c r="AU24" s="60"/>
      <c r="AV24" s="60"/>
    </row>
    <row r="25" spans="3:48">
      <c r="C25" s="58"/>
      <c r="D25" s="58" t="s">
        <v>44</v>
      </c>
      <c r="E25" s="58" t="s">
        <v>34</v>
      </c>
      <c r="F25" s="58">
        <v>17.324000000000002</v>
      </c>
      <c r="G25" s="58"/>
      <c r="H25" s="58" t="s">
        <v>44</v>
      </c>
      <c r="I25" s="58" t="s">
        <v>35</v>
      </c>
      <c r="J25" s="58">
        <v>18.492999999999999</v>
      </c>
      <c r="K25" s="58">
        <f t="shared" ref="K25" si="63">J25-G26</f>
        <v>1.1486666666666636</v>
      </c>
      <c r="L25" s="58">
        <f t="shared" si="0"/>
        <v>0.45104188995769712</v>
      </c>
      <c r="M25" s="58"/>
      <c r="N25" s="58">
        <f t="shared" si="1"/>
        <v>121.01067452052061</v>
      </c>
      <c r="O25" s="58"/>
      <c r="P25" s="58"/>
      <c r="Q25" s="58"/>
      <c r="R25" s="58"/>
      <c r="S25" s="58"/>
      <c r="T25" s="58"/>
      <c r="U25" s="58"/>
      <c r="AD25" s="60"/>
      <c r="AE25" s="60" t="s">
        <v>44</v>
      </c>
      <c r="AF25" s="60" t="s">
        <v>34</v>
      </c>
      <c r="AG25" s="60">
        <v>16.911999999999999</v>
      </c>
      <c r="AH25" s="60"/>
      <c r="AI25" s="60" t="s">
        <v>44</v>
      </c>
      <c r="AJ25" s="60" t="s">
        <v>35</v>
      </c>
      <c r="AK25" s="60">
        <v>23.506</v>
      </c>
      <c r="AL25" s="60">
        <f t="shared" ref="AL25" si="64">AK25-AH26</f>
        <v>6.5873333333333335</v>
      </c>
      <c r="AM25" s="60">
        <f t="shared" si="2"/>
        <v>1.0399562641629665E-2</v>
      </c>
      <c r="AN25" s="60"/>
      <c r="AO25" s="60">
        <f t="shared" si="3"/>
        <v>1506.8095366713274</v>
      </c>
      <c r="AP25" s="60"/>
      <c r="AQ25" s="60"/>
      <c r="AR25" s="60"/>
      <c r="AS25" s="60"/>
      <c r="AT25" s="60"/>
      <c r="AU25" s="60"/>
      <c r="AV25" s="60"/>
    </row>
    <row r="26" spans="3:48">
      <c r="C26" s="58"/>
      <c r="D26" s="58" t="s">
        <v>44</v>
      </c>
      <c r="E26" s="58" t="s">
        <v>34</v>
      </c>
      <c r="F26" s="58">
        <v>17.376000000000001</v>
      </c>
      <c r="G26" s="58">
        <f t="shared" ref="G26" si="65">AVERAGE(F24:F26)</f>
        <v>17.344333333333335</v>
      </c>
      <c r="H26" s="58" t="s">
        <v>44</v>
      </c>
      <c r="I26" s="58" t="s">
        <v>35</v>
      </c>
      <c r="J26" s="58">
        <v>18.268000000000001</v>
      </c>
      <c r="K26" s="58">
        <f t="shared" ref="K26" si="66">J26-G26</f>
        <v>0.92366666666666575</v>
      </c>
      <c r="L26" s="58">
        <f t="shared" si="0"/>
        <v>0.52716749913062055</v>
      </c>
      <c r="M26" s="58"/>
      <c r="N26" s="58">
        <f t="shared" si="1"/>
        <v>141.4345232126343</v>
      </c>
      <c r="O26" s="58"/>
      <c r="P26" s="58"/>
      <c r="Q26" s="58"/>
      <c r="R26" s="58"/>
      <c r="S26" s="58"/>
      <c r="T26" s="58"/>
      <c r="U26" s="58"/>
      <c r="AD26" s="60"/>
      <c r="AE26" s="60" t="s">
        <v>44</v>
      </c>
      <c r="AF26" s="60" t="s">
        <v>34</v>
      </c>
      <c r="AG26" s="60">
        <v>16.905000000000001</v>
      </c>
      <c r="AH26" s="60">
        <f t="shared" si="24"/>
        <v>16.918666666666667</v>
      </c>
      <c r="AI26" s="60" t="s">
        <v>44</v>
      </c>
      <c r="AJ26" s="60" t="s">
        <v>35</v>
      </c>
      <c r="AK26" s="60">
        <v>23.286000000000001</v>
      </c>
      <c r="AL26" s="60">
        <f t="shared" ref="AL26" si="67">AK26-AH26</f>
        <v>6.3673333333333346</v>
      </c>
      <c r="AM26" s="60">
        <f t="shared" si="2"/>
        <v>1.2112719893288684E-2</v>
      </c>
      <c r="AN26" s="60"/>
      <c r="AO26" s="60">
        <f t="shared" si="3"/>
        <v>1755.0316757720666</v>
      </c>
      <c r="AP26" s="60"/>
      <c r="AQ26" s="60"/>
      <c r="AR26" s="60"/>
      <c r="AS26" s="60"/>
      <c r="AT26" s="61"/>
      <c r="AU26" s="60"/>
      <c r="AV26" s="60"/>
    </row>
    <row r="27" spans="3:48">
      <c r="C27" s="58"/>
      <c r="D27" s="58" t="s">
        <v>45</v>
      </c>
      <c r="E27" s="58" t="s">
        <v>34</v>
      </c>
      <c r="F27" s="58">
        <v>16.253</v>
      </c>
      <c r="G27" s="58"/>
      <c r="H27" s="58" t="s">
        <v>45</v>
      </c>
      <c r="I27" s="58" t="s">
        <v>35</v>
      </c>
      <c r="J27" s="58">
        <v>17.466000000000001</v>
      </c>
      <c r="K27" s="58">
        <f t="shared" ref="K27" si="68">J27-G29</f>
        <v>1.2930000000000028</v>
      </c>
      <c r="L27" s="58">
        <f t="shared" si="0"/>
        <v>0.40810152307545</v>
      </c>
      <c r="M27" s="58"/>
      <c r="N27" s="58">
        <f t="shared" si="1"/>
        <v>109.49014200176343</v>
      </c>
      <c r="O27" s="58"/>
      <c r="P27" s="58"/>
      <c r="Q27" s="58"/>
      <c r="R27" s="58"/>
      <c r="S27" s="58"/>
      <c r="T27" s="58"/>
      <c r="U27" s="58"/>
      <c r="AD27" s="60"/>
      <c r="AE27" s="60" t="s">
        <v>45</v>
      </c>
      <c r="AF27" s="60" t="s">
        <v>34</v>
      </c>
      <c r="AG27" s="60">
        <v>16.542999999999999</v>
      </c>
      <c r="AH27" s="60"/>
      <c r="AI27" s="60" t="s">
        <v>45</v>
      </c>
      <c r="AJ27" s="60" t="s">
        <v>35</v>
      </c>
      <c r="AK27" s="60">
        <v>22.186</v>
      </c>
      <c r="AL27" s="60">
        <f t="shared" ref="AL27" si="69">AK27-AH29</f>
        <v>5.6056666666666679</v>
      </c>
      <c r="AM27" s="60">
        <f t="shared" si="2"/>
        <v>2.053648856247647E-2</v>
      </c>
      <c r="AN27" s="60"/>
      <c r="AO27" s="60">
        <f t="shared" si="3"/>
        <v>2975.5652119262591</v>
      </c>
      <c r="AP27" s="60"/>
      <c r="AQ27" s="60"/>
      <c r="AR27" s="60"/>
      <c r="AS27" s="60"/>
      <c r="AT27" s="61"/>
      <c r="AU27" s="60"/>
      <c r="AV27" s="60"/>
    </row>
    <row r="28" spans="3:48">
      <c r="C28" s="58"/>
      <c r="D28" s="58" t="s">
        <v>45</v>
      </c>
      <c r="E28" s="58" t="s">
        <v>34</v>
      </c>
      <c r="F28" s="58">
        <v>16.29</v>
      </c>
      <c r="G28" s="58"/>
      <c r="H28" s="58" t="s">
        <v>45</v>
      </c>
      <c r="I28" s="58" t="s">
        <v>35</v>
      </c>
      <c r="J28" s="58">
        <v>17.405000000000001</v>
      </c>
      <c r="K28" s="58">
        <f t="shared" ref="K28" si="70">J28-G29</f>
        <v>1.2320000000000029</v>
      </c>
      <c r="L28" s="58">
        <f t="shared" si="0"/>
        <v>0.42572685387447173</v>
      </c>
      <c r="M28" s="58"/>
      <c r="N28" s="58">
        <f t="shared" si="1"/>
        <v>114.21886724020406</v>
      </c>
      <c r="O28" s="58"/>
      <c r="P28" s="58"/>
      <c r="Q28" s="58"/>
      <c r="R28" s="58"/>
      <c r="S28" s="58"/>
      <c r="T28" s="58"/>
      <c r="U28" s="58"/>
      <c r="AD28" s="60"/>
      <c r="AE28" s="60" t="s">
        <v>45</v>
      </c>
      <c r="AF28" s="60" t="s">
        <v>34</v>
      </c>
      <c r="AG28" s="60">
        <v>16.434999999999999</v>
      </c>
      <c r="AH28" s="60"/>
      <c r="AI28" s="60" t="s">
        <v>45</v>
      </c>
      <c r="AJ28" s="60" t="s">
        <v>35</v>
      </c>
      <c r="AK28" s="60">
        <v>22.181999999999999</v>
      </c>
      <c r="AL28" s="60">
        <f t="shared" ref="AL28" si="71">AK28-AH29</f>
        <v>5.6016666666666666</v>
      </c>
      <c r="AM28" s="60">
        <f t="shared" si="2"/>
        <v>2.0593506806603417E-2</v>
      </c>
      <c r="AN28" s="60"/>
      <c r="AO28" s="60">
        <f t="shared" si="3"/>
        <v>2983.8266780066515</v>
      </c>
      <c r="AP28" s="60"/>
      <c r="AQ28" s="60"/>
      <c r="AR28" s="60"/>
      <c r="AS28" s="60"/>
      <c r="AT28" s="61"/>
      <c r="AU28" s="60"/>
      <c r="AV28" s="60"/>
    </row>
    <row r="29" spans="3:48">
      <c r="C29" s="58"/>
      <c r="D29" s="58" t="s">
        <v>45</v>
      </c>
      <c r="E29" s="58" t="s">
        <v>34</v>
      </c>
      <c r="F29" s="58">
        <v>15.976000000000001</v>
      </c>
      <c r="G29" s="58">
        <f t="shared" ref="G29" si="72">AVERAGE(F27:F29)</f>
        <v>16.172999999999998</v>
      </c>
      <c r="H29" s="58" t="s">
        <v>45</v>
      </c>
      <c r="I29" s="58" t="s">
        <v>35</v>
      </c>
      <c r="J29" s="58">
        <v>17.484999999999999</v>
      </c>
      <c r="K29" s="58">
        <f t="shared" ref="K29" si="73">J29-G29</f>
        <v>1.3120000000000012</v>
      </c>
      <c r="L29" s="58">
        <f t="shared" si="0"/>
        <v>0.40276214552437484</v>
      </c>
      <c r="M29" s="58"/>
      <c r="N29" s="58">
        <f t="shared" si="1"/>
        <v>108.05763275293084</v>
      </c>
      <c r="O29" s="58"/>
      <c r="P29" s="58"/>
      <c r="Q29" s="58"/>
      <c r="R29" s="58"/>
      <c r="S29" s="58"/>
      <c r="T29" s="58"/>
      <c r="U29" s="58"/>
      <c r="AD29" s="60"/>
      <c r="AE29" s="60" t="s">
        <v>45</v>
      </c>
      <c r="AF29" s="60" t="s">
        <v>34</v>
      </c>
      <c r="AG29" s="60">
        <v>16.763000000000002</v>
      </c>
      <c r="AH29" s="60">
        <f t="shared" si="24"/>
        <v>16.580333333333332</v>
      </c>
      <c r="AI29" s="60" t="s">
        <v>45</v>
      </c>
      <c r="AJ29" s="60" t="s">
        <v>35</v>
      </c>
      <c r="AK29" s="60">
        <v>22.321999999999999</v>
      </c>
      <c r="AL29" s="60">
        <f t="shared" ref="AL29" si="74">AK29-AH29</f>
        <v>5.7416666666666671</v>
      </c>
      <c r="AM29" s="60">
        <f t="shared" si="2"/>
        <v>1.8689001902146934E-2</v>
      </c>
      <c r="AN29" s="60"/>
      <c r="AO29" s="60">
        <f t="shared" si="3"/>
        <v>2707.8798664374062</v>
      </c>
      <c r="AP29" s="60"/>
      <c r="AQ29" s="60"/>
      <c r="AR29" s="60"/>
      <c r="AS29" s="60"/>
      <c r="AT29" s="61"/>
      <c r="AU29" s="60"/>
      <c r="AV29" s="60"/>
    </row>
    <row r="30" spans="3:48">
      <c r="C30" s="58"/>
      <c r="D30" s="58" t="s">
        <v>46</v>
      </c>
      <c r="E30" s="58" t="s">
        <v>34</v>
      </c>
      <c r="F30" s="58">
        <v>16.609000000000002</v>
      </c>
      <c r="G30" s="58"/>
      <c r="H30" s="58" t="s">
        <v>46</v>
      </c>
      <c r="I30" s="58" t="s">
        <v>35</v>
      </c>
      <c r="J30" s="58">
        <v>17.501999999999999</v>
      </c>
      <c r="K30" s="58">
        <f t="shared" ref="K30" si="75">J30-G32</f>
        <v>0.92499999999999716</v>
      </c>
      <c r="L30" s="58">
        <f t="shared" si="0"/>
        <v>0.52668051797741899</v>
      </c>
      <c r="M30" s="58"/>
      <c r="N30" s="58">
        <f t="shared" si="1"/>
        <v>141.30387034171531</v>
      </c>
      <c r="O30" s="58"/>
      <c r="P30" s="58"/>
      <c r="Q30" s="58"/>
      <c r="R30" s="58"/>
      <c r="S30" s="58"/>
      <c r="T30" s="58"/>
      <c r="U30" s="58"/>
      <c r="AD30" s="60"/>
      <c r="AE30" s="60" t="s">
        <v>46</v>
      </c>
      <c r="AF30" s="60" t="s">
        <v>34</v>
      </c>
      <c r="AG30" s="60">
        <v>18.260999999999999</v>
      </c>
      <c r="AH30" s="60"/>
      <c r="AI30" s="60" t="s">
        <v>46</v>
      </c>
      <c r="AJ30" s="60" t="s">
        <v>35</v>
      </c>
      <c r="AK30" s="60">
        <v>22.888000000000002</v>
      </c>
      <c r="AL30" s="60">
        <f t="shared" ref="AL30" si="76">AK30-AH32</f>
        <v>5.3606666666666669</v>
      </c>
      <c r="AM30" s="60">
        <f t="shared" si="2"/>
        <v>2.4337644135915368E-2</v>
      </c>
      <c r="AN30" s="60"/>
      <c r="AO30" s="60">
        <f t="shared" si="3"/>
        <v>3526.3208221190694</v>
      </c>
      <c r="AP30" s="60"/>
      <c r="AQ30" s="60"/>
      <c r="AR30" s="60"/>
      <c r="AS30" s="60"/>
      <c r="AT30" s="61"/>
      <c r="AU30" s="60"/>
      <c r="AV30" s="60"/>
    </row>
    <row r="31" spans="3:48">
      <c r="C31" s="58"/>
      <c r="D31" s="58" t="s">
        <v>46</v>
      </c>
      <c r="E31" s="58" t="s">
        <v>34</v>
      </c>
      <c r="F31" s="58">
        <v>16.515000000000001</v>
      </c>
      <c r="G31" s="58"/>
      <c r="H31" s="58" t="s">
        <v>46</v>
      </c>
      <c r="I31" s="58" t="s">
        <v>35</v>
      </c>
      <c r="J31" s="58">
        <v>17.550999999999998</v>
      </c>
      <c r="K31" s="58">
        <f t="shared" ref="K31" si="77">J31-G32</f>
        <v>0.97399999999999665</v>
      </c>
      <c r="L31" s="58">
        <f t="shared" si="0"/>
        <v>0.50909259988231159</v>
      </c>
      <c r="M31" s="58"/>
      <c r="N31" s="58">
        <f t="shared" si="1"/>
        <v>136.5851826111805</v>
      </c>
      <c r="O31" s="58"/>
      <c r="P31" s="58"/>
      <c r="Q31" s="58"/>
      <c r="R31" s="58"/>
      <c r="S31" s="58"/>
      <c r="T31" s="58"/>
      <c r="U31" s="58"/>
      <c r="AD31" s="60"/>
      <c r="AE31" s="60" t="s">
        <v>46</v>
      </c>
      <c r="AF31" s="60" t="s">
        <v>34</v>
      </c>
      <c r="AG31" s="60">
        <v>17.073</v>
      </c>
      <c r="AH31" s="60"/>
      <c r="AI31" s="60" t="s">
        <v>46</v>
      </c>
      <c r="AJ31" s="60" t="s">
        <v>35</v>
      </c>
      <c r="AK31" s="60">
        <v>22.733000000000001</v>
      </c>
      <c r="AL31" s="60">
        <f t="shared" ref="AL31" si="78">AK31-AH32</f>
        <v>5.2056666666666658</v>
      </c>
      <c r="AM31" s="60">
        <f t="shared" si="2"/>
        <v>2.7098059117684804E-2</v>
      </c>
      <c r="AN31" s="60"/>
      <c r="AO31" s="60">
        <f t="shared" si="3"/>
        <v>3926.2818361573281</v>
      </c>
      <c r="AP31" s="60"/>
      <c r="AQ31" s="60"/>
      <c r="AR31" s="60"/>
      <c r="AS31" s="60"/>
      <c r="AT31" s="61"/>
      <c r="AU31" s="60"/>
      <c r="AV31" s="60"/>
    </row>
    <row r="32" spans="3:48">
      <c r="C32" s="58"/>
      <c r="D32" s="58" t="s">
        <v>46</v>
      </c>
      <c r="E32" s="58" t="s">
        <v>34</v>
      </c>
      <c r="F32" s="58">
        <v>16.606999999999999</v>
      </c>
      <c r="G32" s="58">
        <f t="shared" ref="G32" si="79">AVERAGE(F30:F32)</f>
        <v>16.577000000000002</v>
      </c>
      <c r="H32" s="58" t="s">
        <v>46</v>
      </c>
      <c r="I32" s="58" t="s">
        <v>35</v>
      </c>
      <c r="J32" s="58">
        <v>17.122</v>
      </c>
      <c r="K32" s="58">
        <f t="shared" ref="K32" si="80">J32-G32</f>
        <v>0.54499999999999815</v>
      </c>
      <c r="L32" s="58">
        <f t="shared" si="0"/>
        <v>0.68539140248985253</v>
      </c>
      <c r="M32" s="58"/>
      <c r="N32" s="58">
        <f t="shared" si="1"/>
        <v>183.88464081161405</v>
      </c>
      <c r="O32" s="58"/>
      <c r="P32" s="58"/>
      <c r="Q32" s="58"/>
      <c r="R32" s="58"/>
      <c r="S32" s="58"/>
      <c r="T32" s="58"/>
      <c r="U32" s="58"/>
      <c r="AD32" s="60"/>
      <c r="AE32" s="60" t="s">
        <v>46</v>
      </c>
      <c r="AF32" s="60" t="s">
        <v>34</v>
      </c>
      <c r="AG32" s="60">
        <v>17.248000000000001</v>
      </c>
      <c r="AH32" s="60">
        <f t="shared" si="24"/>
        <v>17.527333333333335</v>
      </c>
      <c r="AI32" s="60" t="s">
        <v>46</v>
      </c>
      <c r="AJ32" s="60" t="s">
        <v>35</v>
      </c>
      <c r="AK32" s="60">
        <v>22.972000000000001</v>
      </c>
      <c r="AL32" s="60">
        <f t="shared" ref="AL32" si="81">AK32-AH32</f>
        <v>5.4446666666666665</v>
      </c>
      <c r="AM32" s="60">
        <f t="shared" si="2"/>
        <v>2.2961064414501721E-2</v>
      </c>
      <c r="AN32" s="60"/>
      <c r="AO32" s="60">
        <f t="shared" si="3"/>
        <v>3326.8659485159042</v>
      </c>
      <c r="AP32" s="60"/>
      <c r="AQ32" s="60"/>
      <c r="AR32" s="60"/>
      <c r="AS32" s="60"/>
      <c r="AT32" s="60"/>
      <c r="AU32" s="60"/>
      <c r="AV32" s="60"/>
    </row>
    <row r="33" spans="3:55">
      <c r="C33" s="58"/>
      <c r="D33" s="58" t="s">
        <v>47</v>
      </c>
      <c r="E33" s="58" t="s">
        <v>34</v>
      </c>
      <c r="F33" s="58">
        <v>16.385000000000002</v>
      </c>
      <c r="G33" s="58"/>
      <c r="H33" s="58" t="s">
        <v>47</v>
      </c>
      <c r="I33" s="58" t="s">
        <v>35</v>
      </c>
      <c r="J33" s="58">
        <v>17.97</v>
      </c>
      <c r="K33" s="58">
        <f t="shared" ref="K33" si="82">J33-G35</f>
        <v>1.6033333333333317</v>
      </c>
      <c r="L33" s="58">
        <f t="shared" si="0"/>
        <v>0.32911567986090889</v>
      </c>
      <c r="M33" s="58"/>
      <c r="N33" s="58">
        <f t="shared" si="1"/>
        <v>88.298917022947933</v>
      </c>
      <c r="O33" s="58"/>
      <c r="P33" s="58"/>
      <c r="Q33" s="58"/>
      <c r="R33" s="58"/>
      <c r="S33" s="58"/>
      <c r="T33" s="58"/>
      <c r="U33" s="58"/>
      <c r="AD33" s="60"/>
      <c r="AE33" s="60" t="s">
        <v>47</v>
      </c>
      <c r="AF33" s="60" t="s">
        <v>34</v>
      </c>
      <c r="AG33" s="60">
        <v>16.151</v>
      </c>
      <c r="AH33" s="60"/>
      <c r="AI33" s="60" t="s">
        <v>47</v>
      </c>
      <c r="AJ33" s="60" t="s">
        <v>35</v>
      </c>
      <c r="AK33" s="60">
        <v>21.739000000000001</v>
      </c>
      <c r="AL33" s="60">
        <f t="shared" ref="AL33" si="83">AK33-AH35</f>
        <v>5.5960000000000001</v>
      </c>
      <c r="AM33" s="60">
        <f t="shared" si="2"/>
        <v>2.0674553748564382E-2</v>
      </c>
      <c r="AN33" s="60"/>
      <c r="AO33" s="60">
        <f t="shared" si="3"/>
        <v>2995.5697011772577</v>
      </c>
      <c r="AP33" s="60"/>
      <c r="AQ33" s="60"/>
      <c r="AR33" s="60"/>
      <c r="AS33" s="60"/>
      <c r="AT33" s="60"/>
      <c r="AU33" s="60"/>
      <c r="AV33" s="60"/>
    </row>
    <row r="34" spans="3:55">
      <c r="C34" s="58"/>
      <c r="D34" s="58" t="s">
        <v>47</v>
      </c>
      <c r="E34" s="58" t="s">
        <v>34</v>
      </c>
      <c r="F34" s="58">
        <v>16.315999999999999</v>
      </c>
      <c r="G34" s="58"/>
      <c r="H34" s="58" t="s">
        <v>47</v>
      </c>
      <c r="I34" s="58" t="s">
        <v>35</v>
      </c>
      <c r="J34" s="58">
        <v>18.064</v>
      </c>
      <c r="K34" s="58">
        <f t="shared" ref="K34" si="84">J34-G35</f>
        <v>1.6973333333333329</v>
      </c>
      <c r="L34" s="58">
        <f t="shared" si="0"/>
        <v>0.30835553896368451</v>
      </c>
      <c r="M34" s="58"/>
      <c r="N34" s="58">
        <f t="shared" si="1"/>
        <v>82.729149094408541</v>
      </c>
      <c r="O34" s="58"/>
      <c r="P34" s="58"/>
      <c r="Q34" s="58"/>
      <c r="R34" s="58"/>
      <c r="S34" s="58"/>
      <c r="T34" s="58"/>
      <c r="U34" s="58"/>
      <c r="AD34" s="60"/>
      <c r="AE34" s="60" t="s">
        <v>47</v>
      </c>
      <c r="AF34" s="60" t="s">
        <v>34</v>
      </c>
      <c r="AG34" s="60">
        <v>16.233000000000001</v>
      </c>
      <c r="AH34" s="60"/>
      <c r="AI34" s="60" t="s">
        <v>47</v>
      </c>
      <c r="AJ34" s="60" t="s">
        <v>35</v>
      </c>
      <c r="AK34" s="60">
        <v>21.791</v>
      </c>
      <c r="AL34" s="60">
        <f t="shared" ref="AL34" si="85">AK34-AH35</f>
        <v>5.6479999999999997</v>
      </c>
      <c r="AM34" s="60">
        <f t="shared" si="2"/>
        <v>1.9942637012952399E-2</v>
      </c>
      <c r="AN34" s="60"/>
      <c r="AO34" s="60">
        <f t="shared" si="3"/>
        <v>2889.5210955508333</v>
      </c>
      <c r="AP34" s="60"/>
      <c r="AQ34" s="60"/>
      <c r="AR34" s="60"/>
      <c r="AS34" s="60"/>
      <c r="AT34" s="60"/>
      <c r="AU34" s="60"/>
      <c r="AV34" s="60"/>
    </row>
    <row r="35" spans="3:55">
      <c r="C35" s="58"/>
      <c r="D35" s="58" t="s">
        <v>47</v>
      </c>
      <c r="E35" s="58" t="s">
        <v>34</v>
      </c>
      <c r="F35" s="58">
        <v>16.399000000000001</v>
      </c>
      <c r="G35" s="58">
        <f t="shared" ref="G35" si="86">AVERAGE(F33:F35)</f>
        <v>16.366666666666667</v>
      </c>
      <c r="H35" s="58" t="s">
        <v>47</v>
      </c>
      <c r="I35" s="58" t="s">
        <v>35</v>
      </c>
      <c r="J35" s="58">
        <v>17.939</v>
      </c>
      <c r="K35" s="58">
        <f t="shared" ref="K35" si="87">J35-G35</f>
        <v>1.5723333333333329</v>
      </c>
      <c r="L35" s="58">
        <f t="shared" si="0"/>
        <v>0.3362640996500611</v>
      </c>
      <c r="M35" s="58"/>
      <c r="N35" s="58">
        <f t="shared" si="1"/>
        <v>90.216776804269514</v>
      </c>
      <c r="O35" s="58"/>
      <c r="P35" s="58"/>
      <c r="Q35" s="58"/>
      <c r="R35" s="58"/>
      <c r="S35" s="58"/>
      <c r="T35" s="58"/>
      <c r="U35" s="58"/>
      <c r="AD35" s="60"/>
      <c r="AE35" s="60" t="s">
        <v>47</v>
      </c>
      <c r="AF35" s="60" t="s">
        <v>34</v>
      </c>
      <c r="AG35" s="60">
        <v>16.045000000000002</v>
      </c>
      <c r="AH35" s="60">
        <f t="shared" si="24"/>
        <v>16.143000000000001</v>
      </c>
      <c r="AI35" s="60" t="s">
        <v>47</v>
      </c>
      <c r="AJ35" s="60" t="s">
        <v>35</v>
      </c>
      <c r="AK35" s="60">
        <v>21.780999999999999</v>
      </c>
      <c r="AL35" s="60">
        <f t="shared" ref="AL35" si="88">AK35-AH35</f>
        <v>5.6379999999999981</v>
      </c>
      <c r="AM35" s="60">
        <f t="shared" si="2"/>
        <v>2.0081349022958977E-2</v>
      </c>
      <c r="AN35" s="60"/>
      <c r="AO35" s="60">
        <f t="shared" si="3"/>
        <v>2909.6193041708839</v>
      </c>
      <c r="AP35" s="60"/>
      <c r="AQ35" s="60"/>
      <c r="AR35" s="60"/>
      <c r="AS35" s="60"/>
      <c r="AT35" s="60"/>
      <c r="AU35" s="60"/>
      <c r="AV35" s="60"/>
    </row>
    <row r="36" spans="3:55">
      <c r="C36" s="58"/>
      <c r="D36" s="58" t="s">
        <v>48</v>
      </c>
      <c r="E36" s="58" t="s">
        <v>34</v>
      </c>
      <c r="F36" s="58">
        <v>16.890999999999998</v>
      </c>
      <c r="G36" s="58"/>
      <c r="H36" s="58" t="s">
        <v>48</v>
      </c>
      <c r="I36" s="58" t="s">
        <v>35</v>
      </c>
      <c r="J36" s="58">
        <v>17.565000000000001</v>
      </c>
      <c r="K36" s="58">
        <f t="shared" ref="K36" si="89">J36-G38</f>
        <v>0.67266666666667163</v>
      </c>
      <c r="L36" s="58">
        <f t="shared" si="0"/>
        <v>0.62734603322815774</v>
      </c>
      <c r="M36" s="58"/>
      <c r="N36" s="58">
        <f t="shared" si="1"/>
        <v>168.31156557505639</v>
      </c>
      <c r="O36" s="58"/>
      <c r="P36" s="58"/>
      <c r="Q36" s="58"/>
      <c r="R36" s="58"/>
      <c r="S36" s="58"/>
      <c r="T36" s="58"/>
      <c r="U36" s="58"/>
      <c r="AD36" s="60"/>
      <c r="AE36" s="60" t="s">
        <v>48</v>
      </c>
      <c r="AF36" s="60" t="s">
        <v>34</v>
      </c>
      <c r="AG36" s="60">
        <v>16.297000000000001</v>
      </c>
      <c r="AH36" s="60"/>
      <c r="AI36" s="60" t="s">
        <v>48</v>
      </c>
      <c r="AJ36" s="60" t="s">
        <v>35</v>
      </c>
      <c r="AK36" s="60">
        <v>21.756</v>
      </c>
      <c r="AL36" s="60">
        <f t="shared" ref="AL36" si="90">AK36-AH38</f>
        <v>5.5113333333333294</v>
      </c>
      <c r="AM36" s="60">
        <f t="shared" si="2"/>
        <v>2.1924179573033262E-2</v>
      </c>
      <c r="AN36" s="60"/>
      <c r="AO36" s="60">
        <f t="shared" si="3"/>
        <v>3176.6300182758823</v>
      </c>
      <c r="AP36" s="60"/>
      <c r="AQ36" s="60"/>
      <c r="AR36" s="60"/>
      <c r="AS36" s="60"/>
      <c r="AT36" s="60"/>
      <c r="AU36" s="60"/>
      <c r="AV36" s="60"/>
    </row>
    <row r="37" spans="3:55">
      <c r="C37" s="58"/>
      <c r="D37" s="58" t="s">
        <v>48</v>
      </c>
      <c r="E37" s="58" t="s">
        <v>34</v>
      </c>
      <c r="F37" s="58">
        <v>16.974</v>
      </c>
      <c r="G37" s="58"/>
      <c r="H37" s="58" t="s">
        <v>48</v>
      </c>
      <c r="I37" s="58" t="s">
        <v>35</v>
      </c>
      <c r="J37" s="58">
        <v>17.922000000000001</v>
      </c>
      <c r="K37" s="58">
        <f t="shared" ref="K37" si="91">J37-G38</f>
        <v>1.0296666666666709</v>
      </c>
      <c r="L37" s="58">
        <f t="shared" si="0"/>
        <v>0.4898233089353734</v>
      </c>
      <c r="M37" s="58"/>
      <c r="N37" s="58">
        <f t="shared" si="1"/>
        <v>131.41539695060726</v>
      </c>
      <c r="O37" s="58"/>
      <c r="P37" s="58"/>
      <c r="Q37" s="58"/>
      <c r="R37" s="58"/>
      <c r="S37" s="58"/>
      <c r="T37" s="58"/>
      <c r="U37" s="58"/>
      <c r="AD37" s="60"/>
      <c r="AE37" s="60" t="s">
        <v>48</v>
      </c>
      <c r="AF37" s="60" t="s">
        <v>34</v>
      </c>
      <c r="AG37" s="60">
        <v>16.311</v>
      </c>
      <c r="AH37" s="60"/>
      <c r="AI37" s="60" t="s">
        <v>48</v>
      </c>
      <c r="AJ37" s="60" t="s">
        <v>35</v>
      </c>
      <c r="AK37" s="60">
        <v>21.677</v>
      </c>
      <c r="AL37" s="60">
        <f t="shared" ref="AL37" si="92">AK37-AH38</f>
        <v>5.4323333333333288</v>
      </c>
      <c r="AM37" s="60">
        <f t="shared" si="2"/>
        <v>2.3158195730627867E-2</v>
      </c>
      <c r="AN37" s="60"/>
      <c r="AO37" s="60">
        <f t="shared" si="3"/>
        <v>3355.4286253660239</v>
      </c>
      <c r="AP37" s="60"/>
      <c r="AQ37" s="60"/>
      <c r="AR37" s="60"/>
      <c r="AS37" s="60"/>
      <c r="AT37" s="60"/>
      <c r="AU37" s="60"/>
      <c r="AV37" s="60"/>
    </row>
    <row r="38" spans="3:55">
      <c r="C38" s="58"/>
      <c r="D38" s="58" t="s">
        <v>48</v>
      </c>
      <c r="E38" s="58" t="s">
        <v>34</v>
      </c>
      <c r="F38" s="58">
        <v>16.812000000000001</v>
      </c>
      <c r="G38" s="58">
        <f t="shared" ref="G38" si="93">AVERAGE(F36:F38)</f>
        <v>16.89233333333333</v>
      </c>
      <c r="H38" s="58" t="s">
        <v>48</v>
      </c>
      <c r="I38" s="58" t="s">
        <v>35</v>
      </c>
      <c r="J38" s="58">
        <v>17.922000000000001</v>
      </c>
      <c r="K38" s="58">
        <f t="shared" ref="K38" si="94">J38-G38</f>
        <v>1.0296666666666709</v>
      </c>
      <c r="L38" s="58">
        <f t="shared" si="0"/>
        <v>0.4898233089353734</v>
      </c>
      <c r="M38" s="58"/>
      <c r="N38" s="58">
        <f t="shared" si="1"/>
        <v>131.41539695060726</v>
      </c>
      <c r="O38" s="58"/>
      <c r="P38" s="58"/>
      <c r="Q38" s="58"/>
      <c r="R38" s="58"/>
      <c r="S38" s="58"/>
      <c r="T38" s="58"/>
      <c r="U38" s="58"/>
      <c r="AD38" s="60"/>
      <c r="AE38" s="60" t="s">
        <v>48</v>
      </c>
      <c r="AF38" s="60" t="s">
        <v>34</v>
      </c>
      <c r="AG38" s="60">
        <v>16.126000000000001</v>
      </c>
      <c r="AH38" s="60">
        <f t="shared" si="24"/>
        <v>16.244666666666671</v>
      </c>
      <c r="AI38" s="60" t="s">
        <v>48</v>
      </c>
      <c r="AJ38" s="60" t="s">
        <v>35</v>
      </c>
      <c r="AK38" s="60">
        <v>21.594000000000001</v>
      </c>
      <c r="AL38" s="60">
        <f t="shared" ref="AL38" si="95">AK38-AH38</f>
        <v>5.3493333333333304</v>
      </c>
      <c r="AM38" s="60">
        <f t="shared" si="2"/>
        <v>2.4529585516078881E-2</v>
      </c>
      <c r="AN38" s="60"/>
      <c r="AO38" s="60">
        <f t="shared" si="3"/>
        <v>3554.131520710805</v>
      </c>
      <c r="AP38" s="60"/>
      <c r="AQ38" s="60"/>
      <c r="AR38" s="60"/>
      <c r="AS38" s="60"/>
      <c r="AT38" s="60"/>
      <c r="AU38" s="60"/>
      <c r="AV38" s="60"/>
    </row>
    <row r="40" spans="3:55">
      <c r="C40" s="58" t="s">
        <v>50</v>
      </c>
      <c r="D40" s="58"/>
      <c r="E40" s="58"/>
      <c r="F40" s="58"/>
      <c r="G40" s="58"/>
      <c r="H40" s="58"/>
      <c r="I40" s="58"/>
      <c r="J40" s="58"/>
      <c r="K40" s="58"/>
      <c r="L40" s="58"/>
      <c r="M40" s="58"/>
      <c r="N40" s="58"/>
      <c r="O40" s="90"/>
      <c r="P40" s="90"/>
      <c r="Q40" s="90"/>
      <c r="R40" s="90"/>
      <c r="S40" s="90"/>
      <c r="T40" s="90"/>
      <c r="U40" s="90"/>
      <c r="V40" s="90"/>
      <c r="W40" s="90"/>
      <c r="X40" s="90"/>
      <c r="Y40" s="90"/>
      <c r="Z40" s="90"/>
      <c r="AA40" s="90"/>
      <c r="AB40" s="90"/>
      <c r="AD40" s="60" t="s">
        <v>50</v>
      </c>
      <c r="AE40" s="60"/>
      <c r="AF40" s="60"/>
      <c r="AG40" s="60"/>
      <c r="AH40" s="60"/>
      <c r="AI40" s="60"/>
      <c r="AJ40" s="60"/>
      <c r="AK40" s="60"/>
      <c r="AL40" s="60"/>
      <c r="AM40" s="60"/>
      <c r="AN40" s="60"/>
      <c r="AO40" s="60"/>
      <c r="AP40" s="90"/>
      <c r="AQ40" s="90"/>
      <c r="AR40" s="90"/>
      <c r="AS40" s="90"/>
      <c r="AT40" s="90"/>
      <c r="AU40" s="90"/>
      <c r="AV40" s="90"/>
      <c r="AW40" s="90"/>
      <c r="AX40" s="90"/>
      <c r="AY40" s="90"/>
      <c r="AZ40" s="90"/>
      <c r="BA40" s="90"/>
      <c r="BB40" s="90"/>
      <c r="BC40" s="90"/>
    </row>
    <row r="41" spans="3:55">
      <c r="C41" s="58"/>
      <c r="D41" s="58" t="s">
        <v>33</v>
      </c>
      <c r="E41" s="58" t="s">
        <v>34</v>
      </c>
      <c r="F41" s="58">
        <v>16.623999999999999</v>
      </c>
      <c r="G41" s="58"/>
      <c r="H41" s="58" t="s">
        <v>33</v>
      </c>
      <c r="I41" s="58" t="s">
        <v>49</v>
      </c>
      <c r="J41" s="58">
        <v>24.574000000000002</v>
      </c>
      <c r="K41" s="58">
        <f>J41-G43</f>
        <v>7.9966666666666697</v>
      </c>
      <c r="L41" s="58">
        <f t="shared" ref="L41:L76" si="96">POWER(2,-K41)</f>
        <v>3.9152857884459805E-3</v>
      </c>
      <c r="M41" s="58"/>
      <c r="N41" s="58">
        <f t="shared" ref="N41:N76" si="97">L41/0.0041036487347133</f>
        <v>0.95409866719976955</v>
      </c>
      <c r="O41" s="90"/>
      <c r="P41" s="90" t="s">
        <v>36</v>
      </c>
      <c r="Q41" s="90"/>
      <c r="R41" s="90"/>
      <c r="S41" s="90" t="s">
        <v>2</v>
      </c>
      <c r="T41" s="90"/>
      <c r="U41" s="90"/>
      <c r="V41" s="90" t="s">
        <v>663</v>
      </c>
      <c r="W41" s="90" t="s">
        <v>396</v>
      </c>
      <c r="X41" s="90" t="s">
        <v>664</v>
      </c>
      <c r="Y41" s="90" t="s">
        <v>663</v>
      </c>
      <c r="Z41" s="90" t="s">
        <v>396</v>
      </c>
      <c r="AA41" s="90" t="s">
        <v>664</v>
      </c>
      <c r="AB41" s="90" t="s">
        <v>665</v>
      </c>
      <c r="AD41" s="60"/>
      <c r="AE41" s="60" t="s">
        <v>33</v>
      </c>
      <c r="AF41" s="60" t="s">
        <v>34</v>
      </c>
      <c r="AG41" s="60">
        <v>15.752000000000001</v>
      </c>
      <c r="AH41" s="60"/>
      <c r="AI41" s="60" t="s">
        <v>33</v>
      </c>
      <c r="AJ41" s="60" t="s">
        <v>49</v>
      </c>
      <c r="AK41" s="60">
        <v>28.809000000000001</v>
      </c>
      <c r="AL41" s="60">
        <f t="shared" ref="AL41:AL62" si="98">AK41-AH43</f>
        <v>13.16</v>
      </c>
      <c r="AM41" s="60">
        <f t="shared" ref="AM41:AM76" si="99">POWER(2,-AL41)</f>
        <v>1.0925599010351225E-4</v>
      </c>
      <c r="AN41" s="60"/>
      <c r="AO41" s="60">
        <f>AM41/0.000094529847323228</f>
        <v>1.1557829955012073</v>
      </c>
      <c r="AP41" s="90"/>
      <c r="AQ41" s="90" t="s">
        <v>36</v>
      </c>
      <c r="AR41" s="90"/>
      <c r="AS41" s="90"/>
      <c r="AT41" s="90" t="s">
        <v>2</v>
      </c>
      <c r="AU41" s="90"/>
      <c r="AV41" s="90"/>
      <c r="AW41" s="90" t="s">
        <v>663</v>
      </c>
      <c r="AX41" s="90" t="s">
        <v>396</v>
      </c>
      <c r="AY41" s="90" t="s">
        <v>664</v>
      </c>
      <c r="AZ41" s="90" t="s">
        <v>663</v>
      </c>
      <c r="BA41" s="90" t="s">
        <v>396</v>
      </c>
      <c r="BB41" s="90" t="s">
        <v>664</v>
      </c>
      <c r="BC41" s="90" t="s">
        <v>665</v>
      </c>
    </row>
    <row r="42" spans="3:55">
      <c r="C42" s="58"/>
      <c r="D42" s="58" t="s">
        <v>33</v>
      </c>
      <c r="E42" s="58" t="s">
        <v>34</v>
      </c>
      <c r="F42" s="58">
        <v>16.664000000000001</v>
      </c>
      <c r="G42" s="58"/>
      <c r="H42" s="58" t="s">
        <v>33</v>
      </c>
      <c r="I42" s="58" t="s">
        <v>49</v>
      </c>
      <c r="J42" s="58">
        <v>24.338000000000001</v>
      </c>
      <c r="K42" s="58">
        <f>J42-G43</f>
        <v>7.760666666666669</v>
      </c>
      <c r="L42" s="58">
        <f t="shared" si="96"/>
        <v>4.6111213008301864E-3</v>
      </c>
      <c r="M42" s="58">
        <v>4.1036487347133003E-3</v>
      </c>
      <c r="N42" s="58">
        <f t="shared" si="97"/>
        <v>1.1236637438833663</v>
      </c>
      <c r="O42" s="98">
        <v>0</v>
      </c>
      <c r="P42" s="90">
        <v>0.95409866719976955</v>
      </c>
      <c r="Q42" s="90">
        <v>1.1236637438833663</v>
      </c>
      <c r="R42" s="90">
        <v>0.92223758891686192</v>
      </c>
      <c r="S42" s="90">
        <v>0.92394382235110795</v>
      </c>
      <c r="T42" s="90">
        <v>0.95057808102809749</v>
      </c>
      <c r="U42" s="90">
        <v>0.82010301171895772</v>
      </c>
      <c r="V42" s="90">
        <f>AVERAGE(P42:R42)</f>
        <v>0.99999999999999922</v>
      </c>
      <c r="W42" s="90">
        <f>STDEV(P42:R42)</f>
        <v>0.10827429630699821</v>
      </c>
      <c r="X42" s="90">
        <f>W42/SQRT(3)</f>
        <v>6.2512194119162728E-2</v>
      </c>
      <c r="Y42" s="90">
        <f>AVERAGE(S42:U42)</f>
        <v>0.89820830503272109</v>
      </c>
      <c r="Z42" s="90">
        <f>STDEV(S42:U42)</f>
        <v>6.8939637122195169E-2</v>
      </c>
      <c r="AA42" s="90">
        <f>Z42/SQRT(3)</f>
        <v>3.9802318050334504E-2</v>
      </c>
      <c r="AB42" s="99" t="s">
        <v>681</v>
      </c>
      <c r="AD42" s="60"/>
      <c r="AE42" s="60" t="s">
        <v>33</v>
      </c>
      <c r="AF42" s="60" t="s">
        <v>34</v>
      </c>
      <c r="AG42" s="60">
        <v>15.586</v>
      </c>
      <c r="AH42" s="60"/>
      <c r="AI42" s="60" t="s">
        <v>33</v>
      </c>
      <c r="AJ42" s="60" t="s">
        <v>49</v>
      </c>
      <c r="AK42" s="60">
        <v>29.28</v>
      </c>
      <c r="AL42" s="60">
        <f t="shared" ref="AL42:AL63" si="100">AK42-AH43</f>
        <v>13.631</v>
      </c>
      <c r="AM42" s="60">
        <f t="shared" si="99"/>
        <v>7.882430116591396E-5</v>
      </c>
      <c r="AN42" s="60">
        <v>9.4529847323227996E-5</v>
      </c>
      <c r="AO42" s="60">
        <f t="shared" ref="AO42:AO76" si="101">AM42/0.000094529847323228</f>
        <v>0.83385621999777793</v>
      </c>
      <c r="AP42" s="98">
        <v>0</v>
      </c>
      <c r="AQ42" s="90">
        <v>1.1557829955012073</v>
      </c>
      <c r="AR42" s="90">
        <v>0.83385621999777793</v>
      </c>
      <c r="AS42" s="90">
        <v>1.0103607845010159</v>
      </c>
      <c r="AT42" s="90">
        <v>1.4140866731392916</v>
      </c>
      <c r="AU42" s="90">
        <v>1.1825248895791878</v>
      </c>
      <c r="AV42" s="90">
        <v>1.3276460256657849</v>
      </c>
      <c r="AW42" s="90">
        <f>AVERAGE(AQ42:AS42)</f>
        <v>1.0000000000000002</v>
      </c>
      <c r="AX42" s="90">
        <f>STDEV(AQ42:AS42)</f>
        <v>0.16121327981316128</v>
      </c>
      <c r="AY42" s="90">
        <f>AX42/SQRT(3)</f>
        <v>9.3076530497071125E-2</v>
      </c>
      <c r="AZ42" s="90">
        <f>AVERAGE(AT42:AV42)</f>
        <v>1.3080858627947547</v>
      </c>
      <c r="BA42" s="90">
        <f>STDEV(AT42:AV42)</f>
        <v>0.1170135243467182</v>
      </c>
      <c r="BB42" s="90">
        <f>BA42/SQRT(3)</f>
        <v>6.7557789780404581E-2</v>
      </c>
      <c r="BC42" s="99" t="s">
        <v>681</v>
      </c>
    </row>
    <row r="43" spans="3:55">
      <c r="C43" s="58"/>
      <c r="D43" s="58" t="s">
        <v>33</v>
      </c>
      <c r="E43" s="58" t="s">
        <v>34</v>
      </c>
      <c r="F43" s="58">
        <v>16.443999999999999</v>
      </c>
      <c r="G43" s="58">
        <f>AVERAGE(F41:F43)</f>
        <v>16.577333333333332</v>
      </c>
      <c r="H43" s="58" t="s">
        <v>33</v>
      </c>
      <c r="I43" s="58" t="s">
        <v>49</v>
      </c>
      <c r="J43" s="58">
        <v>24.623000000000001</v>
      </c>
      <c r="K43" s="58">
        <f>J43-G43</f>
        <v>8.0456666666666692</v>
      </c>
      <c r="L43" s="58">
        <f t="shared" si="96"/>
        <v>3.7845391148637253E-3</v>
      </c>
      <c r="M43" s="58">
        <f>AVERAGE(L41:L43)</f>
        <v>4.1036487347132977E-3</v>
      </c>
      <c r="N43" s="58">
        <f t="shared" si="97"/>
        <v>0.92223758891686192</v>
      </c>
      <c r="O43" s="98" t="s">
        <v>38</v>
      </c>
      <c r="P43" s="90">
        <v>5.2399160832190361</v>
      </c>
      <c r="Q43" s="90">
        <v>5.6511469594727615</v>
      </c>
      <c r="R43" s="90">
        <v>5.1320801695569092</v>
      </c>
      <c r="S43" s="90">
        <v>10.929915739613946</v>
      </c>
      <c r="T43" s="90">
        <v>11.136394926855214</v>
      </c>
      <c r="U43" s="90">
        <v>11.401963427807733</v>
      </c>
      <c r="V43" s="90">
        <f>AVERAGE(P43:R43)</f>
        <v>5.3410477374162353</v>
      </c>
      <c r="W43" s="90">
        <f>STDEV(P43:R43)</f>
        <v>0.27391292723944838</v>
      </c>
      <c r="X43" s="90">
        <f t="shared" ref="X43:X47" si="102">W43/SQRT(3)</f>
        <v>0.15814370227621391</v>
      </c>
      <c r="Y43" s="90">
        <f>AVERAGE(S43:U43)</f>
        <v>11.156091364758964</v>
      </c>
      <c r="Z43" s="90">
        <f t="shared" ref="Z43" si="103">STDEV(S43:U43)</f>
        <v>0.23663942450878031</v>
      </c>
      <c r="AA43" s="90">
        <f>Z43/SQRT(3)</f>
        <v>0.13662383544102244</v>
      </c>
      <c r="AB43" s="99">
        <v>5.9999999999999995E-4</v>
      </c>
      <c r="AD43" s="60"/>
      <c r="AE43" s="60" t="s">
        <v>33</v>
      </c>
      <c r="AF43" s="60" t="s">
        <v>34</v>
      </c>
      <c r="AG43" s="60">
        <v>15.609</v>
      </c>
      <c r="AH43" s="60">
        <f t="shared" ref="AH43:AH76" si="104">AVERAGE(AG41:AG43)</f>
        <v>15.649000000000001</v>
      </c>
      <c r="AI43" s="60" t="s">
        <v>33</v>
      </c>
      <c r="AJ43" s="60" t="s">
        <v>49</v>
      </c>
      <c r="AK43" s="60">
        <v>29.003</v>
      </c>
      <c r="AL43" s="60">
        <f t="shared" ref="AL43:AL64" si="105">AK43-AH43</f>
        <v>13.353999999999999</v>
      </c>
      <c r="AM43" s="60">
        <f t="shared" si="99"/>
        <v>9.5509250700257886E-5</v>
      </c>
      <c r="AN43" s="60">
        <f>AVERAGE(AM41:AM43)</f>
        <v>9.4529847323228023E-5</v>
      </c>
      <c r="AO43" s="60">
        <f t="shared" si="101"/>
        <v>1.0103607845010159</v>
      </c>
      <c r="AP43" s="98" t="s">
        <v>38</v>
      </c>
      <c r="AQ43" s="90">
        <v>1.444466971350427</v>
      </c>
      <c r="AR43" s="90">
        <v>1.6847531417148252</v>
      </c>
      <c r="AS43" s="90">
        <v>1.5173324490587907</v>
      </c>
      <c r="AT43" s="90">
        <v>3.4197018538933754</v>
      </c>
      <c r="AU43" s="90">
        <v>3.6347863080992004</v>
      </c>
      <c r="AV43" s="90">
        <v>3.7577538050062196</v>
      </c>
      <c r="AW43" s="90">
        <f>AVERAGE(AQ43:AS43)</f>
        <v>1.5488508540413477</v>
      </c>
      <c r="AX43" s="90">
        <f>STDEV(AQ43:AS43)</f>
        <v>0.12320478199558853</v>
      </c>
      <c r="AY43" s="90">
        <f t="shared" ref="AY43:AY47" si="106">AX43/SQRT(3)</f>
        <v>7.1132314050602205E-2</v>
      </c>
      <c r="AZ43" s="90">
        <f>AVERAGE(AT43:AV43)</f>
        <v>3.6040806556662655</v>
      </c>
      <c r="BA43" s="90">
        <f t="shared" ref="BA43" si="107">STDEV(AT43:AV43)</f>
        <v>0.17110496261447053</v>
      </c>
      <c r="BB43" s="90">
        <f>BA43/SQRT(3)</f>
        <v>9.8787496225145419E-2</v>
      </c>
      <c r="BC43" s="99" t="s">
        <v>681</v>
      </c>
    </row>
    <row r="44" spans="3:55">
      <c r="C44" s="58"/>
      <c r="D44" s="58" t="s">
        <v>37</v>
      </c>
      <c r="E44" s="58" t="s">
        <v>34</v>
      </c>
      <c r="F44" s="58">
        <v>16.204999999999998</v>
      </c>
      <c r="G44" s="58"/>
      <c r="H44" s="58" t="s">
        <v>37</v>
      </c>
      <c r="I44" s="58" t="s">
        <v>49</v>
      </c>
      <c r="J44" s="58">
        <v>24.103999999999999</v>
      </c>
      <c r="K44" s="58">
        <f>J44-G46</f>
        <v>8.0429999999999993</v>
      </c>
      <c r="L44" s="58">
        <f t="shared" si="96"/>
        <v>3.7915408975372944E-3</v>
      </c>
      <c r="M44" s="58"/>
      <c r="N44" s="58">
        <f t="shared" si="97"/>
        <v>0.92394382235110795</v>
      </c>
      <c r="O44" s="98" t="s">
        <v>19</v>
      </c>
      <c r="P44" s="90">
        <v>4.7729361625670848</v>
      </c>
      <c r="Q44" s="90">
        <v>5.4636953422857149</v>
      </c>
      <c r="R44" s="90">
        <v>4.7334006471636023</v>
      </c>
      <c r="S44" s="90">
        <v>12.534886610735466</v>
      </c>
      <c r="T44" s="90">
        <v>12.780541344950917</v>
      </c>
      <c r="U44" s="90">
        <v>12.753992569233203</v>
      </c>
      <c r="V44" s="90">
        <f>AVERAGE(P44:R44)</f>
        <v>4.9900107173388006</v>
      </c>
      <c r="W44" s="90">
        <f>STDEV(P44:R44)</f>
        <v>0.41069892522123658</v>
      </c>
      <c r="X44" s="90">
        <f t="shared" si="102"/>
        <v>0.23711713503237095</v>
      </c>
      <c r="Y44" s="90">
        <f t="shared" ref="Y44:Y47" si="108">AVERAGE(S44:U44)</f>
        <v>12.689806841639863</v>
      </c>
      <c r="Z44" s="90">
        <f>STDEV(S44:U44)</f>
        <v>0.13481994596731939</v>
      </c>
      <c r="AA44" s="90">
        <f t="shared" ref="AA44:AA47" si="109">Z44/SQRT(3)</f>
        <v>7.783833209636265E-2</v>
      </c>
      <c r="AB44" s="99" t="s">
        <v>666</v>
      </c>
      <c r="AD44" s="60"/>
      <c r="AE44" s="60" t="s">
        <v>37</v>
      </c>
      <c r="AF44" s="60" t="s">
        <v>34</v>
      </c>
      <c r="AG44" s="60">
        <v>15.518000000000001</v>
      </c>
      <c r="AH44" s="60"/>
      <c r="AI44" s="60" t="s">
        <v>37</v>
      </c>
      <c r="AJ44" s="60" t="s">
        <v>49</v>
      </c>
      <c r="AK44" s="60">
        <v>28.388000000000002</v>
      </c>
      <c r="AL44" s="60">
        <f t="shared" si="98"/>
        <v>12.869000000000002</v>
      </c>
      <c r="AM44" s="60">
        <f t="shared" si="99"/>
        <v>1.3367339731366865E-4</v>
      </c>
      <c r="AN44" s="60"/>
      <c r="AO44" s="60">
        <f t="shared" si="101"/>
        <v>1.4140866731392916</v>
      </c>
      <c r="AP44" s="98" t="s">
        <v>19</v>
      </c>
      <c r="AQ44" s="90">
        <v>31.856971465800534</v>
      </c>
      <c r="AR44" s="90">
        <v>29.172501918494529</v>
      </c>
      <c r="AS44" s="90">
        <v>29.273781508548577</v>
      </c>
      <c r="AT44" s="90">
        <v>78.622511770585803</v>
      </c>
      <c r="AU44" s="90">
        <v>78.133565707138118</v>
      </c>
      <c r="AV44" s="90">
        <v>94.672305429269386</v>
      </c>
      <c r="AW44" s="90">
        <f>AVERAGE(AQ44:AS44)</f>
        <v>30.101084964281213</v>
      </c>
      <c r="AX44" s="90">
        <f>STDEV(AQ44:AS44)</f>
        <v>1.5214852754804096</v>
      </c>
      <c r="AY44" s="90">
        <f t="shared" si="106"/>
        <v>0.87842993336666642</v>
      </c>
      <c r="AZ44" s="90">
        <f t="shared" ref="AZ44:AZ47" si="110">AVERAGE(AT44:AV44)</f>
        <v>83.809460968997769</v>
      </c>
      <c r="BA44" s="90">
        <f>STDEV(AT44:AV44)</f>
        <v>9.4106752886963729</v>
      </c>
      <c r="BB44" s="90">
        <f t="shared" ref="BB44:BB47" si="111">BA44/SQRT(3)</f>
        <v>5.4332559111850101</v>
      </c>
      <c r="BC44" s="99">
        <v>1.6000000000000001E-3</v>
      </c>
    </row>
    <row r="45" spans="3:55">
      <c r="C45" s="58"/>
      <c r="D45" s="58" t="s">
        <v>37</v>
      </c>
      <c r="E45" s="58" t="s">
        <v>34</v>
      </c>
      <c r="F45" s="58">
        <v>15.862</v>
      </c>
      <c r="G45" s="58"/>
      <c r="H45" s="58" t="s">
        <v>37</v>
      </c>
      <c r="I45" s="58" t="s">
        <v>49</v>
      </c>
      <c r="J45" s="58">
        <v>24.062999999999999</v>
      </c>
      <c r="K45" s="58">
        <f>J45-G46</f>
        <v>8.0019999999999989</v>
      </c>
      <c r="L45" s="58">
        <f t="shared" si="96"/>
        <v>3.9008385394571493E-3</v>
      </c>
      <c r="M45" s="58"/>
      <c r="N45" s="58">
        <f t="shared" si="97"/>
        <v>0.95057808102809749</v>
      </c>
      <c r="O45" s="98">
        <v>1</v>
      </c>
      <c r="P45" s="90">
        <v>38.573648560710552</v>
      </c>
      <c r="Q45" s="90">
        <v>38.8419495041449</v>
      </c>
      <c r="R45" s="90">
        <v>43.912011201145681</v>
      </c>
      <c r="S45" s="90">
        <v>88.414456349120826</v>
      </c>
      <c r="T45" s="90">
        <v>83.067393099388241</v>
      </c>
      <c r="U45" s="90">
        <v>85.343559235769561</v>
      </c>
      <c r="V45" s="90">
        <f t="shared" ref="V45:V47" si="112">AVERAGE(P45:R45)</f>
        <v>40.44253642200038</v>
      </c>
      <c r="W45" s="90">
        <f t="shared" ref="W45:W47" si="113">STDEV(P45:R45)</f>
        <v>3.0076465519415603</v>
      </c>
      <c r="X45" s="90">
        <f t="shared" si="102"/>
        <v>1.7364655463907097</v>
      </c>
      <c r="Y45" s="90">
        <f t="shared" si="108"/>
        <v>85.608469561426205</v>
      </c>
      <c r="Z45" s="90">
        <f t="shared" ref="Z45:Z47" si="114">STDEV(S45:U45)</f>
        <v>2.6833569385454168</v>
      </c>
      <c r="AA45" s="90">
        <f t="shared" si="109"/>
        <v>1.5492368508010466</v>
      </c>
      <c r="AB45" s="99" t="s">
        <v>666</v>
      </c>
      <c r="AD45" s="60"/>
      <c r="AE45" s="60" t="s">
        <v>37</v>
      </c>
      <c r="AF45" s="60" t="s">
        <v>34</v>
      </c>
      <c r="AG45" s="60">
        <v>15.657999999999999</v>
      </c>
      <c r="AH45" s="60"/>
      <c r="AI45" s="60" t="s">
        <v>37</v>
      </c>
      <c r="AJ45" s="60" t="s">
        <v>49</v>
      </c>
      <c r="AK45" s="60">
        <v>28.646000000000001</v>
      </c>
      <c r="AL45" s="60">
        <f t="shared" si="100"/>
        <v>13.127000000000001</v>
      </c>
      <c r="AM45" s="60">
        <f t="shared" si="99"/>
        <v>1.1178389726783766E-4</v>
      </c>
      <c r="AN45" s="60"/>
      <c r="AO45" s="60">
        <f t="shared" si="101"/>
        <v>1.1825248895791878</v>
      </c>
      <c r="AP45" s="98">
        <v>1</v>
      </c>
      <c r="AQ45" s="90">
        <v>225.69081297621807</v>
      </c>
      <c r="AR45" s="90">
        <v>216.79743578643973</v>
      </c>
      <c r="AS45" s="90">
        <v>220.89299877188282</v>
      </c>
      <c r="AT45" s="90">
        <v>366.21249761781212</v>
      </c>
      <c r="AU45" s="90">
        <v>350.07912234205747</v>
      </c>
      <c r="AV45" s="90">
        <v>368.75970697638928</v>
      </c>
      <c r="AW45" s="90">
        <f t="shared" ref="AW45:AW47" si="115">AVERAGE(AQ45:AS45)</f>
        <v>221.12708251151355</v>
      </c>
      <c r="AX45" s="90">
        <f t="shared" ref="AX45:AX47" si="116">STDEV(AQ45:AS45)</f>
        <v>4.4513072077522375</v>
      </c>
      <c r="AY45" s="90">
        <f t="shared" si="106"/>
        <v>2.5699634146414758</v>
      </c>
      <c r="AZ45" s="90">
        <f t="shared" si="110"/>
        <v>361.68377564541964</v>
      </c>
      <c r="BA45" s="90">
        <f t="shared" ref="BA45:BA47" si="117">STDEV(AT45:AV45)</f>
        <v>10.130303677458604</v>
      </c>
      <c r="BB45" s="90">
        <f t="shared" si="111"/>
        <v>5.8487335551533812</v>
      </c>
      <c r="BC45" s="99" t="s">
        <v>666</v>
      </c>
    </row>
    <row r="46" spans="3:55">
      <c r="C46" s="58"/>
      <c r="D46" s="58" t="s">
        <v>37</v>
      </c>
      <c r="E46" s="58" t="s">
        <v>34</v>
      </c>
      <c r="F46" s="58">
        <v>16.116</v>
      </c>
      <c r="G46" s="58">
        <f>AVERAGE(F44:F46)</f>
        <v>16.061</v>
      </c>
      <c r="H46" s="58" t="s">
        <v>37</v>
      </c>
      <c r="I46" s="58" t="s">
        <v>49</v>
      </c>
      <c r="J46" s="58">
        <v>24.276</v>
      </c>
      <c r="K46" s="58">
        <f>J46-G46</f>
        <v>8.2149999999999999</v>
      </c>
      <c r="L46" s="58">
        <f t="shared" si="96"/>
        <v>3.3654146863750676E-3</v>
      </c>
      <c r="M46" s="58"/>
      <c r="N46" s="58">
        <f t="shared" si="97"/>
        <v>0.82010301171895772</v>
      </c>
      <c r="O46" s="98">
        <v>3</v>
      </c>
      <c r="P46" s="90">
        <v>32.286900387909753</v>
      </c>
      <c r="Q46" s="90">
        <v>29.038137975360819</v>
      </c>
      <c r="R46" s="90">
        <v>28.244088565375286</v>
      </c>
      <c r="S46" s="90">
        <v>59.173406298473957</v>
      </c>
      <c r="T46" s="90">
        <v>55.287331712893682</v>
      </c>
      <c r="U46" s="90">
        <v>55.749116657268154</v>
      </c>
      <c r="V46" s="90">
        <f t="shared" si="112"/>
        <v>29.856375642881954</v>
      </c>
      <c r="W46" s="90">
        <f t="shared" si="113"/>
        <v>2.1420122591896935</v>
      </c>
      <c r="X46" s="90">
        <f t="shared" si="102"/>
        <v>1.2366913544506482</v>
      </c>
      <c r="Y46" s="90">
        <f t="shared" si="108"/>
        <v>56.736618222878597</v>
      </c>
      <c r="Z46" s="90">
        <f t="shared" si="114"/>
        <v>2.1229139002172306</v>
      </c>
      <c r="AA46" s="90">
        <f t="shared" si="109"/>
        <v>1.2256649117568166</v>
      </c>
      <c r="AB46" s="99" t="s">
        <v>666</v>
      </c>
      <c r="AD46" s="60"/>
      <c r="AE46" s="60" t="s">
        <v>37</v>
      </c>
      <c r="AF46" s="60" t="s">
        <v>34</v>
      </c>
      <c r="AG46" s="60">
        <v>15.381</v>
      </c>
      <c r="AH46" s="60">
        <f t="shared" si="104"/>
        <v>15.519</v>
      </c>
      <c r="AI46" s="60" t="s">
        <v>37</v>
      </c>
      <c r="AJ46" s="60" t="s">
        <v>49</v>
      </c>
      <c r="AK46" s="60">
        <v>28.478999999999999</v>
      </c>
      <c r="AL46" s="60">
        <f t="shared" si="105"/>
        <v>12.959999999999999</v>
      </c>
      <c r="AM46" s="60">
        <f t="shared" si="99"/>
        <v>1.2550217610547709E-4</v>
      </c>
      <c r="AN46" s="60"/>
      <c r="AO46" s="60">
        <f t="shared" si="101"/>
        <v>1.3276460256657849</v>
      </c>
      <c r="AP46" s="98">
        <v>3</v>
      </c>
      <c r="AQ46" s="90">
        <v>170.21376289226163</v>
      </c>
      <c r="AR46" s="90">
        <v>213.36857231891227</v>
      </c>
      <c r="AS46" s="90">
        <v>170.44989290698143</v>
      </c>
      <c r="AT46" s="90">
        <v>337.37374220130749</v>
      </c>
      <c r="AU46" s="90">
        <v>269.51166051713568</v>
      </c>
      <c r="AV46" s="90">
        <v>253.03688363161186</v>
      </c>
      <c r="AW46" s="90">
        <f t="shared" si="115"/>
        <v>184.67740937271844</v>
      </c>
      <c r="AX46" s="90">
        <f t="shared" si="116"/>
        <v>24.847556474425026</v>
      </c>
      <c r="AY46" s="90">
        <f t="shared" si="106"/>
        <v>14.345743419213719</v>
      </c>
      <c r="AZ46" s="90">
        <f t="shared" si="110"/>
        <v>286.64076211668504</v>
      </c>
      <c r="BA46" s="90">
        <f t="shared" si="117"/>
        <v>44.701577372134693</v>
      </c>
      <c r="BB46" s="90">
        <f t="shared" si="111"/>
        <v>25.808467729002849</v>
      </c>
      <c r="BC46" s="99" t="s">
        <v>666</v>
      </c>
    </row>
    <row r="47" spans="3:55">
      <c r="C47" s="58"/>
      <c r="D47" s="58" t="s">
        <v>39</v>
      </c>
      <c r="E47" s="58" t="s">
        <v>34</v>
      </c>
      <c r="F47" s="58">
        <v>16.13</v>
      </c>
      <c r="G47" s="58"/>
      <c r="H47" s="58" t="s">
        <v>39</v>
      </c>
      <c r="I47" s="58" t="s">
        <v>49</v>
      </c>
      <c r="J47" s="58">
        <v>21.742999999999999</v>
      </c>
      <c r="K47" s="58">
        <f>J47-G49</f>
        <v>5.5393333333333317</v>
      </c>
      <c r="L47" s="58">
        <f t="shared" si="96"/>
        <v>2.1502775004905671E-2</v>
      </c>
      <c r="M47" s="58"/>
      <c r="N47" s="58">
        <f t="shared" si="97"/>
        <v>5.2399160832190361</v>
      </c>
      <c r="O47" s="98">
        <v>6</v>
      </c>
      <c r="P47" s="90">
        <v>21.971229619584602</v>
      </c>
      <c r="Q47" s="90">
        <v>19.501912504094673</v>
      </c>
      <c r="R47" s="90">
        <v>20.959664332876148</v>
      </c>
      <c r="S47" s="90">
        <v>32.004666584519391</v>
      </c>
      <c r="T47" s="90">
        <v>31.12949729371346</v>
      </c>
      <c r="U47" s="90">
        <v>32.950087105703396</v>
      </c>
      <c r="V47" s="90">
        <f t="shared" si="112"/>
        <v>20.810935485518474</v>
      </c>
      <c r="W47" s="90">
        <f t="shared" si="113"/>
        <v>1.2413589153585407</v>
      </c>
      <c r="X47" s="90">
        <f t="shared" si="102"/>
        <v>0.71669890394319535</v>
      </c>
      <c r="Y47" s="90">
        <f t="shared" si="108"/>
        <v>32.028083661312081</v>
      </c>
      <c r="Z47" s="90">
        <f t="shared" si="114"/>
        <v>0.91052077708008639</v>
      </c>
      <c r="AA47" s="90">
        <f t="shared" si="109"/>
        <v>0.52568941574993511</v>
      </c>
      <c r="AB47" s="99" t="s">
        <v>666</v>
      </c>
      <c r="AD47" s="60"/>
      <c r="AE47" s="60" t="s">
        <v>39</v>
      </c>
      <c r="AF47" s="60" t="s">
        <v>34</v>
      </c>
      <c r="AG47" s="60">
        <v>15.827999999999999</v>
      </c>
      <c r="AH47" s="60"/>
      <c r="AI47" s="60" t="s">
        <v>39</v>
      </c>
      <c r="AJ47" s="60" t="s">
        <v>49</v>
      </c>
      <c r="AK47" s="60">
        <v>28.638999999999999</v>
      </c>
      <c r="AL47" s="60">
        <f t="shared" si="98"/>
        <v>12.838333333333333</v>
      </c>
      <c r="AM47" s="60">
        <f t="shared" si="99"/>
        <v>1.365452422652014E-4</v>
      </c>
      <c r="AN47" s="60"/>
      <c r="AO47" s="60">
        <f t="shared" si="101"/>
        <v>1.444466971350427</v>
      </c>
      <c r="AP47" s="98">
        <v>6</v>
      </c>
      <c r="AQ47" s="90">
        <v>131.0406446778623</v>
      </c>
      <c r="AR47" s="90">
        <v>127.45733135801824</v>
      </c>
      <c r="AS47" s="90">
        <v>129.50558889853718</v>
      </c>
      <c r="AT47" s="90">
        <v>162.86549977607021</v>
      </c>
      <c r="AU47" s="90">
        <v>171.79416384424201</v>
      </c>
      <c r="AV47" s="90">
        <v>172.39058997650946</v>
      </c>
      <c r="AW47" s="90">
        <f t="shared" si="115"/>
        <v>129.3345216448059</v>
      </c>
      <c r="AX47" s="90">
        <f t="shared" si="116"/>
        <v>1.7977712844011462</v>
      </c>
      <c r="AY47" s="90">
        <f t="shared" si="106"/>
        <v>1.0379437349903811</v>
      </c>
      <c r="AZ47" s="90">
        <f t="shared" si="110"/>
        <v>169.01675119894057</v>
      </c>
      <c r="BA47" s="90">
        <f t="shared" si="117"/>
        <v>5.3354804454084785</v>
      </c>
      <c r="BB47" s="90">
        <f t="shared" si="111"/>
        <v>3.0804410714125696</v>
      </c>
      <c r="BC47" s="99">
        <v>2.5899999999999999E-2</v>
      </c>
    </row>
    <row r="48" spans="3:55">
      <c r="C48" s="58"/>
      <c r="D48" s="58" t="s">
        <v>39</v>
      </c>
      <c r="E48" s="58" t="s">
        <v>34</v>
      </c>
      <c r="F48" s="58">
        <v>16.288</v>
      </c>
      <c r="G48" s="58"/>
      <c r="H48" s="58" t="s">
        <v>39</v>
      </c>
      <c r="I48" s="58" t="s">
        <v>49</v>
      </c>
      <c r="J48" s="58">
        <v>21.634</v>
      </c>
      <c r="K48" s="58">
        <f>J48-G49</f>
        <v>5.4303333333333335</v>
      </c>
      <c r="L48" s="58">
        <f t="shared" si="96"/>
        <v>2.3190322069919313E-2</v>
      </c>
      <c r="M48" s="58"/>
      <c r="N48" s="58">
        <f t="shared" si="97"/>
        <v>5.6511469594727615</v>
      </c>
      <c r="O48" s="90"/>
      <c r="P48" s="90"/>
      <c r="Q48" s="90"/>
      <c r="R48" s="90"/>
      <c r="S48" s="90"/>
      <c r="T48" s="90"/>
      <c r="U48" s="90"/>
      <c r="V48" s="90"/>
      <c r="W48" s="90"/>
      <c r="X48" s="90"/>
      <c r="Y48" s="90"/>
      <c r="Z48" s="90"/>
      <c r="AA48" s="90"/>
      <c r="AB48" s="90"/>
      <c r="AD48" s="60"/>
      <c r="AE48" s="60" t="s">
        <v>39</v>
      </c>
      <c r="AF48" s="60" t="s">
        <v>34</v>
      </c>
      <c r="AG48" s="60">
        <v>15.731</v>
      </c>
      <c r="AH48" s="60"/>
      <c r="AI48" s="60" t="s">
        <v>39</v>
      </c>
      <c r="AJ48" s="60" t="s">
        <v>49</v>
      </c>
      <c r="AK48" s="60">
        <v>28.417000000000002</v>
      </c>
      <c r="AL48" s="60">
        <f t="shared" si="100"/>
        <v>12.616333333333335</v>
      </c>
      <c r="AM48" s="60">
        <f t="shared" si="99"/>
        <v>1.5925945726363112E-4</v>
      </c>
      <c r="AN48" s="60"/>
      <c r="AO48" s="60">
        <f t="shared" si="101"/>
        <v>1.6847531417148252</v>
      </c>
      <c r="AP48" s="90"/>
      <c r="AQ48" s="90"/>
      <c r="AR48" s="90"/>
      <c r="AS48" s="90"/>
      <c r="AT48" s="90"/>
      <c r="AU48" s="90"/>
      <c r="AV48" s="90"/>
      <c r="AW48" s="90"/>
      <c r="AX48" s="90"/>
      <c r="AY48" s="90"/>
      <c r="AZ48" s="90"/>
      <c r="BA48" s="90"/>
      <c r="BB48" s="90"/>
      <c r="BC48" s="90"/>
    </row>
    <row r="49" spans="3:55">
      <c r="C49" s="58"/>
      <c r="D49" s="58" t="s">
        <v>39</v>
      </c>
      <c r="E49" s="58" t="s">
        <v>34</v>
      </c>
      <c r="F49" s="58">
        <v>16.193000000000001</v>
      </c>
      <c r="G49" s="58">
        <f>AVERAGE(F47:F49)</f>
        <v>16.203666666666667</v>
      </c>
      <c r="H49" s="58" t="s">
        <v>39</v>
      </c>
      <c r="I49" s="58" t="s">
        <v>49</v>
      </c>
      <c r="J49" s="58">
        <v>21.773</v>
      </c>
      <c r="K49" s="58">
        <f>J49-G49</f>
        <v>5.5693333333333328</v>
      </c>
      <c r="L49" s="58">
        <f t="shared" si="96"/>
        <v>2.1060254294249431E-2</v>
      </c>
      <c r="M49" s="58"/>
      <c r="N49" s="58">
        <f t="shared" si="97"/>
        <v>5.1320801695569092</v>
      </c>
      <c r="O49" s="90"/>
      <c r="P49" s="90"/>
      <c r="Q49" s="90"/>
      <c r="R49" s="90"/>
      <c r="S49" s="90"/>
      <c r="T49" s="90"/>
      <c r="U49" s="90"/>
      <c r="V49" s="90"/>
      <c r="W49" s="90"/>
      <c r="X49" s="90"/>
      <c r="Y49" s="90"/>
      <c r="Z49" s="90"/>
      <c r="AA49" s="90"/>
      <c r="AB49" s="90"/>
      <c r="AD49" s="60"/>
      <c r="AE49" s="60" t="s">
        <v>39</v>
      </c>
      <c r="AF49" s="60" t="s">
        <v>34</v>
      </c>
      <c r="AG49" s="60">
        <v>15.843</v>
      </c>
      <c r="AH49" s="60">
        <f t="shared" si="104"/>
        <v>15.800666666666666</v>
      </c>
      <c r="AI49" s="60" t="s">
        <v>39</v>
      </c>
      <c r="AJ49" s="60" t="s">
        <v>49</v>
      </c>
      <c r="AK49" s="60">
        <v>28.568000000000001</v>
      </c>
      <c r="AL49" s="60">
        <f t="shared" si="105"/>
        <v>12.767333333333335</v>
      </c>
      <c r="AM49" s="60">
        <f t="shared" si="99"/>
        <v>1.4343320474810711E-4</v>
      </c>
      <c r="AN49" s="60"/>
      <c r="AO49" s="60">
        <f t="shared" si="101"/>
        <v>1.5173324490587907</v>
      </c>
      <c r="AP49" s="90"/>
      <c r="AQ49" s="90"/>
      <c r="AR49" s="90"/>
      <c r="AS49" s="90"/>
      <c r="AT49" s="90"/>
      <c r="AU49" s="90"/>
      <c r="AV49" s="90"/>
      <c r="AW49" s="90"/>
      <c r="AX49" s="90"/>
      <c r="AY49" s="90"/>
      <c r="AZ49" s="90"/>
      <c r="BA49" s="90"/>
      <c r="BB49" s="90"/>
      <c r="BC49" s="90"/>
    </row>
    <row r="50" spans="3:55">
      <c r="C50" s="58"/>
      <c r="D50" s="58" t="s">
        <v>40</v>
      </c>
      <c r="E50" s="58" t="s">
        <v>34</v>
      </c>
      <c r="F50" s="58">
        <v>17.018000000000001</v>
      </c>
      <c r="G50" s="58"/>
      <c r="H50" s="58" t="s">
        <v>40</v>
      </c>
      <c r="I50" s="58" t="s">
        <v>49</v>
      </c>
      <c r="J50" s="58">
        <v>21.532</v>
      </c>
      <c r="K50" s="58">
        <f>J50-G52</f>
        <v>4.478666666666669</v>
      </c>
      <c r="L50" s="58">
        <f t="shared" si="96"/>
        <v>4.4852534895389755E-2</v>
      </c>
      <c r="M50" s="58"/>
      <c r="N50" s="58">
        <f t="shared" si="97"/>
        <v>10.929915739613946</v>
      </c>
      <c r="O50" s="58"/>
      <c r="P50" s="58"/>
      <c r="Q50" s="58"/>
      <c r="R50" s="58"/>
      <c r="S50" s="58"/>
      <c r="T50" s="58"/>
      <c r="U50" s="58"/>
      <c r="AD50" s="60"/>
      <c r="AE50" s="60" t="s">
        <v>40</v>
      </c>
      <c r="AF50" s="60" t="s">
        <v>34</v>
      </c>
      <c r="AG50" s="60">
        <v>16.3</v>
      </c>
      <c r="AH50" s="60"/>
      <c r="AI50" s="60" t="s">
        <v>40</v>
      </c>
      <c r="AJ50" s="60" t="s">
        <v>49</v>
      </c>
      <c r="AK50" s="60">
        <v>27.716000000000001</v>
      </c>
      <c r="AL50" s="60">
        <f t="shared" si="98"/>
        <v>11.595000000000002</v>
      </c>
      <c r="AM50" s="60">
        <f t="shared" si="99"/>
        <v>3.2326389413950052E-4</v>
      </c>
      <c r="AN50" s="60"/>
      <c r="AO50" s="60">
        <f t="shared" si="101"/>
        <v>3.4197018538933754</v>
      </c>
      <c r="AP50" s="60"/>
      <c r="AQ50" s="60"/>
      <c r="AR50" s="60"/>
      <c r="AS50" s="60"/>
      <c r="AT50" s="60"/>
      <c r="AU50" s="60"/>
      <c r="AV50" s="60"/>
    </row>
    <row r="51" spans="3:55">
      <c r="C51" s="58"/>
      <c r="D51" s="58" t="s">
        <v>40</v>
      </c>
      <c r="E51" s="58" t="s">
        <v>34</v>
      </c>
      <c r="F51" s="58">
        <v>17.073</v>
      </c>
      <c r="G51" s="58"/>
      <c r="H51" s="58" t="s">
        <v>40</v>
      </c>
      <c r="I51" s="58" t="s">
        <v>49</v>
      </c>
      <c r="J51" s="58">
        <v>21.504999999999999</v>
      </c>
      <c r="K51" s="58">
        <f>J51-G52</f>
        <v>4.451666666666668</v>
      </c>
      <c r="L51" s="58">
        <f t="shared" si="96"/>
        <v>4.5699852950857017E-2</v>
      </c>
      <c r="M51" s="58"/>
      <c r="N51" s="58">
        <f t="shared" si="97"/>
        <v>11.136394926855214</v>
      </c>
      <c r="O51" s="58"/>
      <c r="P51" s="58"/>
      <c r="Q51" s="58"/>
      <c r="R51" s="58"/>
      <c r="S51" s="58"/>
      <c r="T51" s="58"/>
      <c r="U51" s="58"/>
      <c r="AD51" s="60"/>
      <c r="AE51" s="60" t="s">
        <v>40</v>
      </c>
      <c r="AF51" s="60" t="s">
        <v>34</v>
      </c>
      <c r="AG51" s="60">
        <v>16.170999999999999</v>
      </c>
      <c r="AH51" s="60"/>
      <c r="AI51" s="60" t="s">
        <v>40</v>
      </c>
      <c r="AJ51" s="60" t="s">
        <v>49</v>
      </c>
      <c r="AK51" s="60">
        <v>27.628</v>
      </c>
      <c r="AL51" s="60">
        <f t="shared" si="100"/>
        <v>11.507000000000001</v>
      </c>
      <c r="AM51" s="60">
        <f t="shared" si="99"/>
        <v>3.4359579475717699E-4</v>
      </c>
      <c r="AN51" s="60"/>
      <c r="AO51" s="60">
        <f t="shared" si="101"/>
        <v>3.6347863080992004</v>
      </c>
      <c r="AP51" s="60"/>
      <c r="AQ51" s="60"/>
      <c r="AR51" s="60"/>
      <c r="AS51" s="60"/>
      <c r="AT51" s="60"/>
      <c r="AU51" s="60"/>
      <c r="AV51" s="60"/>
    </row>
    <row r="52" spans="3:55">
      <c r="C52" s="58"/>
      <c r="D52" s="58" t="s">
        <v>40</v>
      </c>
      <c r="E52" s="58" t="s">
        <v>34</v>
      </c>
      <c r="F52" s="58">
        <v>17.068999999999999</v>
      </c>
      <c r="G52" s="58">
        <f>AVERAGE(F50:F52)</f>
        <v>17.053333333333331</v>
      </c>
      <c r="H52" s="58" t="s">
        <v>40</v>
      </c>
      <c r="I52" s="58" t="s">
        <v>49</v>
      </c>
      <c r="J52" s="58">
        <v>21.471</v>
      </c>
      <c r="K52" s="58">
        <f>J52-G52</f>
        <v>4.4176666666666691</v>
      </c>
      <c r="L52" s="58">
        <f t="shared" si="96"/>
        <v>4.6789652793770529E-2</v>
      </c>
      <c r="M52" s="58"/>
      <c r="N52" s="58">
        <f t="shared" si="97"/>
        <v>11.401963427807733</v>
      </c>
      <c r="O52" s="58"/>
      <c r="P52" s="58"/>
      <c r="Q52" s="58"/>
      <c r="R52" s="58"/>
      <c r="S52" s="58"/>
      <c r="T52" s="58"/>
      <c r="U52" s="58"/>
      <c r="AD52" s="60"/>
      <c r="AE52" s="60" t="s">
        <v>40</v>
      </c>
      <c r="AF52" s="60" t="s">
        <v>34</v>
      </c>
      <c r="AG52" s="60">
        <v>15.891999999999999</v>
      </c>
      <c r="AH52" s="60">
        <f t="shared" si="104"/>
        <v>16.120999999999999</v>
      </c>
      <c r="AI52" s="60" t="s">
        <v>40</v>
      </c>
      <c r="AJ52" s="60" t="s">
        <v>49</v>
      </c>
      <c r="AK52" s="60">
        <v>27.58</v>
      </c>
      <c r="AL52" s="60">
        <f t="shared" si="105"/>
        <v>11.459</v>
      </c>
      <c r="AM52" s="60">
        <f t="shared" si="99"/>
        <v>3.55219893465517E-4</v>
      </c>
      <c r="AN52" s="60"/>
      <c r="AO52" s="60">
        <f t="shared" si="101"/>
        <v>3.7577538050062196</v>
      </c>
      <c r="AP52" s="60"/>
      <c r="AQ52" s="60"/>
      <c r="AR52" s="60"/>
      <c r="AS52" s="60"/>
      <c r="AT52" s="60"/>
      <c r="AU52" s="60"/>
      <c r="AV52" s="60"/>
    </row>
    <row r="53" spans="3:55">
      <c r="C53" s="58"/>
      <c r="D53" s="58" t="s">
        <v>41</v>
      </c>
      <c r="E53" s="58" t="s">
        <v>34</v>
      </c>
      <c r="F53" s="58">
        <v>15.981999999999999</v>
      </c>
      <c r="G53" s="58"/>
      <c r="H53" s="58" t="s">
        <v>41</v>
      </c>
      <c r="I53" s="58" t="s">
        <v>49</v>
      </c>
      <c r="J53" s="58">
        <v>21.625</v>
      </c>
      <c r="K53" s="58">
        <f>J53-G55</f>
        <v>5.6740000000000013</v>
      </c>
      <c r="L53" s="58">
        <f t="shared" si="96"/>
        <v>1.9586453444385771E-2</v>
      </c>
      <c r="M53" s="58"/>
      <c r="N53" s="58">
        <f t="shared" si="97"/>
        <v>4.7729361625670848</v>
      </c>
      <c r="O53" s="58"/>
      <c r="P53" s="58"/>
      <c r="Q53" s="58"/>
      <c r="R53" s="58"/>
      <c r="S53" s="58"/>
      <c r="T53" s="58"/>
      <c r="U53" s="58"/>
      <c r="AD53" s="60"/>
      <c r="AE53" s="60" t="s">
        <v>41</v>
      </c>
      <c r="AF53" s="60" t="s">
        <v>34</v>
      </c>
      <c r="AG53" s="60">
        <v>15.49</v>
      </c>
      <c r="AH53" s="60"/>
      <c r="AI53" s="60" t="s">
        <v>41</v>
      </c>
      <c r="AJ53" s="60" t="s">
        <v>49</v>
      </c>
      <c r="AK53" s="60">
        <v>24.06</v>
      </c>
      <c r="AL53" s="60">
        <f t="shared" si="98"/>
        <v>8.375333333333332</v>
      </c>
      <c r="AM53" s="60">
        <f t="shared" si="99"/>
        <v>3.0114346488425551E-3</v>
      </c>
      <c r="AN53" s="60"/>
      <c r="AO53" s="60">
        <f t="shared" si="101"/>
        <v>31.856971465800534</v>
      </c>
      <c r="AP53" s="60"/>
      <c r="AQ53" s="60"/>
      <c r="AR53" s="60"/>
      <c r="AS53" s="60"/>
      <c r="AT53" s="60"/>
      <c r="AU53" s="60"/>
      <c r="AV53" s="60"/>
    </row>
    <row r="54" spans="3:55">
      <c r="C54" s="58"/>
      <c r="D54" s="58" t="s">
        <v>41</v>
      </c>
      <c r="E54" s="58" t="s">
        <v>34</v>
      </c>
      <c r="F54" s="58">
        <v>15.824999999999999</v>
      </c>
      <c r="G54" s="58"/>
      <c r="H54" s="58" t="s">
        <v>41</v>
      </c>
      <c r="I54" s="58" t="s">
        <v>49</v>
      </c>
      <c r="J54" s="58">
        <v>21.43</v>
      </c>
      <c r="K54" s="58">
        <f>J54-G55</f>
        <v>5.479000000000001</v>
      </c>
      <c r="L54" s="58">
        <f t="shared" si="96"/>
        <v>2.2421086478229726E-2</v>
      </c>
      <c r="M54" s="58"/>
      <c r="N54" s="58">
        <f t="shared" si="97"/>
        <v>5.4636953422857149</v>
      </c>
      <c r="O54" s="58"/>
      <c r="P54" s="59"/>
      <c r="Q54" s="58"/>
      <c r="R54" s="58"/>
      <c r="S54" s="58"/>
      <c r="T54" s="58"/>
      <c r="U54" s="58"/>
      <c r="AD54" s="60"/>
      <c r="AE54" s="60" t="s">
        <v>41</v>
      </c>
      <c r="AF54" s="60" t="s">
        <v>34</v>
      </c>
      <c r="AG54" s="60">
        <v>15.766</v>
      </c>
      <c r="AH54" s="60"/>
      <c r="AI54" s="60" t="s">
        <v>41</v>
      </c>
      <c r="AJ54" s="60" t="s">
        <v>49</v>
      </c>
      <c r="AK54" s="60">
        <v>24.187000000000001</v>
      </c>
      <c r="AL54" s="60">
        <f t="shared" si="100"/>
        <v>8.5023333333333344</v>
      </c>
      <c r="AM54" s="60">
        <f t="shared" si="99"/>
        <v>2.7576721523918635E-3</v>
      </c>
      <c r="AN54" s="60"/>
      <c r="AO54" s="60">
        <f t="shared" si="101"/>
        <v>29.172501918494529</v>
      </c>
      <c r="AP54" s="60"/>
      <c r="AQ54" s="60"/>
      <c r="AR54" s="60"/>
      <c r="AS54" s="60"/>
      <c r="AT54" s="60"/>
      <c r="AU54" s="60"/>
      <c r="AV54" s="60"/>
    </row>
    <row r="55" spans="3:55">
      <c r="C55" s="58"/>
      <c r="D55" s="58" t="s">
        <v>41</v>
      </c>
      <c r="E55" s="58" t="s">
        <v>34</v>
      </c>
      <c r="F55" s="58">
        <v>16.045999999999999</v>
      </c>
      <c r="G55" s="58">
        <f>AVERAGE(F53:F55)</f>
        <v>15.950999999999999</v>
      </c>
      <c r="H55" s="58" t="s">
        <v>41</v>
      </c>
      <c r="I55" s="58" t="s">
        <v>49</v>
      </c>
      <c r="J55" s="58">
        <v>21.637</v>
      </c>
      <c r="K55" s="58">
        <f>J55-G55</f>
        <v>5.6860000000000017</v>
      </c>
      <c r="L55" s="58">
        <f t="shared" si="96"/>
        <v>1.9424213576624032E-2</v>
      </c>
      <c r="M55" s="58"/>
      <c r="N55" s="58">
        <f t="shared" si="97"/>
        <v>4.7334006471636023</v>
      </c>
      <c r="O55" s="58"/>
      <c r="P55" s="59"/>
      <c r="Q55" s="58"/>
      <c r="R55" s="58"/>
      <c r="S55" s="58"/>
      <c r="T55" s="58"/>
      <c r="U55" s="58"/>
      <c r="AD55" s="60"/>
      <c r="AE55" s="60" t="s">
        <v>41</v>
      </c>
      <c r="AF55" s="60" t="s">
        <v>34</v>
      </c>
      <c r="AG55" s="60">
        <v>15.798</v>
      </c>
      <c r="AH55" s="60">
        <f t="shared" si="104"/>
        <v>15.684666666666667</v>
      </c>
      <c r="AI55" s="60" t="s">
        <v>41</v>
      </c>
      <c r="AJ55" s="60" t="s">
        <v>49</v>
      </c>
      <c r="AK55" s="60">
        <v>24.181999999999999</v>
      </c>
      <c r="AL55" s="60">
        <f t="shared" si="105"/>
        <v>8.4973333333333319</v>
      </c>
      <c r="AM55" s="60">
        <f t="shared" si="99"/>
        <v>2.7672460965766318E-3</v>
      </c>
      <c r="AN55" s="60"/>
      <c r="AO55" s="60">
        <f t="shared" si="101"/>
        <v>29.273781508548577</v>
      </c>
      <c r="AP55" s="60"/>
      <c r="AQ55" s="60"/>
      <c r="AR55" s="60"/>
      <c r="AS55" s="60"/>
      <c r="AT55" s="60"/>
      <c r="AU55" s="60"/>
      <c r="AV55" s="60"/>
    </row>
    <row r="56" spans="3:55">
      <c r="C56" s="58"/>
      <c r="D56" s="58" t="s">
        <v>42</v>
      </c>
      <c r="E56" s="58" t="s">
        <v>34</v>
      </c>
      <c r="F56" s="58">
        <v>17.042999999999999</v>
      </c>
      <c r="G56" s="58"/>
      <c r="H56" s="58" t="s">
        <v>42</v>
      </c>
      <c r="I56" s="58" t="s">
        <v>49</v>
      </c>
      <c r="J56" s="58">
        <v>21.295999999999999</v>
      </c>
      <c r="K56" s="58">
        <f>J56-G58</f>
        <v>4.2809999999999988</v>
      </c>
      <c r="L56" s="58">
        <f t="shared" si="96"/>
        <v>5.1438771579919287E-2</v>
      </c>
      <c r="M56" s="58"/>
      <c r="N56" s="58">
        <f t="shared" si="97"/>
        <v>12.534886610735466</v>
      </c>
      <c r="O56" s="58"/>
      <c r="P56" s="59"/>
      <c r="Q56" s="58"/>
      <c r="R56" s="58"/>
      <c r="S56" s="58"/>
      <c r="T56" s="58"/>
      <c r="U56" s="58"/>
      <c r="AD56" s="60"/>
      <c r="AE56" s="60" t="s">
        <v>42</v>
      </c>
      <c r="AF56" s="60" t="s">
        <v>34</v>
      </c>
      <c r="AG56" s="60">
        <v>15.654</v>
      </c>
      <c r="AH56" s="60"/>
      <c r="AI56" s="60" t="s">
        <v>42</v>
      </c>
      <c r="AJ56" s="60" t="s">
        <v>49</v>
      </c>
      <c r="AK56" s="60">
        <v>22.725000000000001</v>
      </c>
      <c r="AL56" s="60">
        <f t="shared" si="98"/>
        <v>7.0720000000000027</v>
      </c>
      <c r="AM56" s="60">
        <f t="shared" si="99"/>
        <v>7.4321740338421718E-3</v>
      </c>
      <c r="AN56" s="60"/>
      <c r="AO56" s="60">
        <f t="shared" si="101"/>
        <v>78.622511770585803</v>
      </c>
      <c r="AP56" s="60"/>
      <c r="AQ56" s="60"/>
      <c r="AR56" s="60"/>
      <c r="AS56" s="60"/>
      <c r="AT56" s="60"/>
      <c r="AU56" s="60"/>
      <c r="AV56" s="60"/>
    </row>
    <row r="57" spans="3:55">
      <c r="C57" s="58"/>
      <c r="D57" s="58" t="s">
        <v>42</v>
      </c>
      <c r="E57" s="58" t="s">
        <v>34</v>
      </c>
      <c r="F57" s="58">
        <v>16.882999999999999</v>
      </c>
      <c r="G57" s="58"/>
      <c r="H57" s="58" t="s">
        <v>42</v>
      </c>
      <c r="I57" s="58" t="s">
        <v>49</v>
      </c>
      <c r="J57" s="58">
        <v>21.268000000000001</v>
      </c>
      <c r="K57" s="58">
        <f>J57-G58</f>
        <v>4.2530000000000001</v>
      </c>
      <c r="L57" s="58">
        <f t="shared" si="96"/>
        <v>5.2446852319158854E-2</v>
      </c>
      <c r="M57" s="58"/>
      <c r="N57" s="58">
        <f t="shared" si="97"/>
        <v>12.780541344950917</v>
      </c>
      <c r="O57" s="58"/>
      <c r="P57" s="59"/>
      <c r="Q57" s="58"/>
      <c r="R57" s="58"/>
      <c r="S57" s="58"/>
      <c r="T57" s="58"/>
      <c r="U57" s="58"/>
      <c r="AD57" s="60"/>
      <c r="AE57" s="60" t="s">
        <v>42</v>
      </c>
      <c r="AF57" s="60" t="s">
        <v>34</v>
      </c>
      <c r="AG57" s="60">
        <v>15.651999999999999</v>
      </c>
      <c r="AH57" s="60"/>
      <c r="AI57" s="60" t="s">
        <v>42</v>
      </c>
      <c r="AJ57" s="60" t="s">
        <v>49</v>
      </c>
      <c r="AK57" s="60">
        <v>22.734000000000002</v>
      </c>
      <c r="AL57" s="60">
        <f t="shared" si="100"/>
        <v>7.0810000000000031</v>
      </c>
      <c r="AM57" s="60">
        <f t="shared" si="99"/>
        <v>7.3859540371151696E-3</v>
      </c>
      <c r="AN57" s="60"/>
      <c r="AO57" s="60">
        <f t="shared" si="101"/>
        <v>78.133565707138118</v>
      </c>
      <c r="AP57" s="60"/>
      <c r="AQ57" s="60"/>
      <c r="AR57" s="60"/>
      <c r="AS57" s="60"/>
      <c r="AT57" s="60"/>
      <c r="AU57" s="60"/>
      <c r="AV57" s="60"/>
    </row>
    <row r="58" spans="3:55">
      <c r="C58" s="58"/>
      <c r="D58" s="58" t="s">
        <v>42</v>
      </c>
      <c r="E58" s="58" t="s">
        <v>34</v>
      </c>
      <c r="F58" s="58">
        <v>17.119</v>
      </c>
      <c r="G58" s="58">
        <f>AVERAGE(F56:F58)</f>
        <v>17.015000000000001</v>
      </c>
      <c r="H58" s="58" t="s">
        <v>42</v>
      </c>
      <c r="I58" s="58" t="s">
        <v>49</v>
      </c>
      <c r="J58" s="58">
        <v>21.271000000000001</v>
      </c>
      <c r="K58" s="58">
        <f>J58-G58</f>
        <v>4.2560000000000002</v>
      </c>
      <c r="L58" s="58">
        <f t="shared" si="96"/>
        <v>5.233790546927667E-2</v>
      </c>
      <c r="M58" s="58"/>
      <c r="N58" s="58">
        <f t="shared" si="97"/>
        <v>12.753992569233203</v>
      </c>
      <c r="O58" s="58"/>
      <c r="P58" s="59"/>
      <c r="Q58" s="58"/>
      <c r="R58" s="58"/>
      <c r="S58" s="58"/>
      <c r="T58" s="58"/>
      <c r="U58" s="58"/>
      <c r="AD58" s="60"/>
      <c r="AE58" s="60" t="s">
        <v>42</v>
      </c>
      <c r="AF58" s="60" t="s">
        <v>34</v>
      </c>
      <c r="AG58" s="60">
        <v>15.653</v>
      </c>
      <c r="AH58" s="60">
        <f t="shared" si="104"/>
        <v>15.652999999999999</v>
      </c>
      <c r="AI58" s="60" t="s">
        <v>42</v>
      </c>
      <c r="AJ58" s="60" t="s">
        <v>49</v>
      </c>
      <c r="AK58" s="60">
        <v>22.457000000000001</v>
      </c>
      <c r="AL58" s="60">
        <f t="shared" si="105"/>
        <v>6.804000000000002</v>
      </c>
      <c r="AM58" s="60">
        <f t="shared" si="99"/>
        <v>8.9493585779668438E-3</v>
      </c>
      <c r="AN58" s="60"/>
      <c r="AO58" s="60">
        <f t="shared" si="101"/>
        <v>94.672305429269386</v>
      </c>
      <c r="AP58" s="60"/>
      <c r="AQ58" s="60"/>
      <c r="AR58" s="60"/>
      <c r="AS58" s="60"/>
      <c r="AT58" s="60"/>
      <c r="AU58" s="60"/>
      <c r="AV58" s="60"/>
    </row>
    <row r="59" spans="3:55">
      <c r="C59" s="58"/>
      <c r="D59" s="58" t="s">
        <v>43</v>
      </c>
      <c r="E59" s="58" t="s">
        <v>34</v>
      </c>
      <c r="F59" s="58">
        <v>16.722999999999999</v>
      </c>
      <c r="G59" s="58"/>
      <c r="H59" s="58" t="s">
        <v>43</v>
      </c>
      <c r="I59" s="58" t="s">
        <v>49</v>
      </c>
      <c r="J59" s="58">
        <v>19.326000000000001</v>
      </c>
      <c r="K59" s="58">
        <f>J59-G61</f>
        <v>2.6593333333333327</v>
      </c>
      <c r="L59" s="58">
        <f t="shared" si="96"/>
        <v>0.15829270410943538</v>
      </c>
      <c r="M59" s="58"/>
      <c r="N59" s="58">
        <f t="shared" si="97"/>
        <v>38.573648560710552</v>
      </c>
      <c r="O59" s="58"/>
      <c r="P59" s="59"/>
      <c r="Q59" s="58"/>
      <c r="R59" s="58"/>
      <c r="S59" s="58"/>
      <c r="T59" s="58"/>
      <c r="U59" s="58"/>
      <c r="AD59" s="60"/>
      <c r="AE59" s="60" t="s">
        <v>43</v>
      </c>
      <c r="AF59" s="60" t="s">
        <v>34</v>
      </c>
      <c r="AG59" s="60">
        <v>16.417999999999999</v>
      </c>
      <c r="AH59" s="60"/>
      <c r="AI59" s="60" t="s">
        <v>43</v>
      </c>
      <c r="AJ59" s="60" t="s">
        <v>49</v>
      </c>
      <c r="AK59" s="60">
        <v>22.023</v>
      </c>
      <c r="AL59" s="60">
        <f t="shared" si="98"/>
        <v>5.5506666666666646</v>
      </c>
      <c r="AM59" s="60">
        <f t="shared" si="99"/>
        <v>2.1334518092897096E-2</v>
      </c>
      <c r="AN59" s="60"/>
      <c r="AO59" s="60">
        <f t="shared" si="101"/>
        <v>225.69081297621807</v>
      </c>
      <c r="AP59" s="60"/>
      <c r="AQ59" s="60"/>
      <c r="AR59" s="60"/>
      <c r="AS59" s="60"/>
      <c r="AT59" s="60"/>
      <c r="AU59" s="60"/>
      <c r="AV59" s="60"/>
    </row>
    <row r="60" spans="3:55">
      <c r="C60" s="58"/>
      <c r="D60" s="58" t="s">
        <v>43</v>
      </c>
      <c r="E60" s="58" t="s">
        <v>34</v>
      </c>
      <c r="F60" s="58">
        <v>16.625</v>
      </c>
      <c r="G60" s="58"/>
      <c r="H60" s="58" t="s">
        <v>43</v>
      </c>
      <c r="I60" s="58" t="s">
        <v>49</v>
      </c>
      <c r="J60" s="58">
        <v>19.315999999999999</v>
      </c>
      <c r="K60" s="58">
        <f>J60-G61</f>
        <v>2.6493333333333311</v>
      </c>
      <c r="L60" s="58">
        <f t="shared" si="96"/>
        <v>0.1593937169364821</v>
      </c>
      <c r="M60" s="58"/>
      <c r="N60" s="58">
        <f t="shared" si="97"/>
        <v>38.8419495041449</v>
      </c>
      <c r="O60" s="58"/>
      <c r="P60" s="58"/>
      <c r="Q60" s="58"/>
      <c r="R60" s="58"/>
      <c r="S60" s="58"/>
      <c r="T60" s="58"/>
      <c r="U60" s="58"/>
      <c r="AD60" s="60"/>
      <c r="AE60" s="60" t="s">
        <v>43</v>
      </c>
      <c r="AF60" s="60" t="s">
        <v>34</v>
      </c>
      <c r="AG60" s="60">
        <v>16.619</v>
      </c>
      <c r="AH60" s="60"/>
      <c r="AI60" s="60" t="s">
        <v>43</v>
      </c>
      <c r="AJ60" s="60" t="s">
        <v>49</v>
      </c>
      <c r="AK60" s="60">
        <v>22.081</v>
      </c>
      <c r="AL60" s="60">
        <f t="shared" si="100"/>
        <v>5.6086666666666645</v>
      </c>
      <c r="AM60" s="60">
        <f t="shared" si="99"/>
        <v>2.0493828504959472E-2</v>
      </c>
      <c r="AN60" s="60"/>
      <c r="AO60" s="60">
        <f t="shared" si="101"/>
        <v>216.79743578643973</v>
      </c>
      <c r="AP60" s="60"/>
      <c r="AQ60" s="60"/>
      <c r="AR60" s="60"/>
      <c r="AS60" s="60"/>
      <c r="AT60" s="60"/>
      <c r="AU60" s="60"/>
      <c r="AV60" s="60"/>
    </row>
    <row r="61" spans="3:55">
      <c r="C61" s="58"/>
      <c r="D61" s="58" t="s">
        <v>43</v>
      </c>
      <c r="E61" s="58" t="s">
        <v>34</v>
      </c>
      <c r="F61" s="58">
        <v>16.652000000000001</v>
      </c>
      <c r="G61" s="58">
        <f>AVERAGE(F59:F61)</f>
        <v>16.666666666666668</v>
      </c>
      <c r="H61" s="58" t="s">
        <v>43</v>
      </c>
      <c r="I61" s="58" t="s">
        <v>49</v>
      </c>
      <c r="J61" s="58">
        <v>19.138999999999999</v>
      </c>
      <c r="K61" s="58">
        <f>J61-G61</f>
        <v>2.4723333333333315</v>
      </c>
      <c r="L61" s="58">
        <f t="shared" si="96"/>
        <v>0.18019946920429775</v>
      </c>
      <c r="M61" s="58"/>
      <c r="N61" s="58">
        <f t="shared" si="97"/>
        <v>43.912011201145681</v>
      </c>
      <c r="O61" s="58"/>
      <c r="P61" s="58"/>
      <c r="Q61" s="58"/>
      <c r="R61" s="58"/>
      <c r="S61" s="58"/>
      <c r="T61" s="58"/>
      <c r="U61" s="58"/>
      <c r="AD61" s="60"/>
      <c r="AE61" s="60" t="s">
        <v>43</v>
      </c>
      <c r="AF61" s="60" t="s">
        <v>34</v>
      </c>
      <c r="AG61" s="60">
        <v>16.38</v>
      </c>
      <c r="AH61" s="60">
        <f t="shared" si="104"/>
        <v>16.472333333333335</v>
      </c>
      <c r="AI61" s="60" t="s">
        <v>43</v>
      </c>
      <c r="AJ61" s="60" t="s">
        <v>49</v>
      </c>
      <c r="AK61" s="60">
        <v>22.053999999999998</v>
      </c>
      <c r="AL61" s="60">
        <f t="shared" si="105"/>
        <v>5.5816666666666634</v>
      </c>
      <c r="AM61" s="60">
        <f t="shared" si="99"/>
        <v>2.0880981448676072E-2</v>
      </c>
      <c r="AN61" s="60"/>
      <c r="AO61" s="60">
        <f t="shared" si="101"/>
        <v>220.89299877188282</v>
      </c>
      <c r="AP61" s="60"/>
      <c r="AQ61" s="60"/>
      <c r="AR61" s="60"/>
      <c r="AS61" s="60"/>
      <c r="AT61" s="60"/>
      <c r="AU61" s="60"/>
      <c r="AV61" s="60"/>
    </row>
    <row r="62" spans="3:55">
      <c r="C62" s="58"/>
      <c r="D62" s="58" t="s">
        <v>44</v>
      </c>
      <c r="E62" s="58" t="s">
        <v>34</v>
      </c>
      <c r="F62" s="58">
        <v>17.332999999999998</v>
      </c>
      <c r="G62" s="58"/>
      <c r="H62" s="58" t="s">
        <v>44</v>
      </c>
      <c r="I62" s="58" t="s">
        <v>49</v>
      </c>
      <c r="J62" s="58">
        <v>18.806999999999999</v>
      </c>
      <c r="K62" s="58">
        <f>J62-G64</f>
        <v>1.4626666666666637</v>
      </c>
      <c r="L62" s="58">
        <f t="shared" si="96"/>
        <v>0.36282187192743398</v>
      </c>
      <c r="M62" s="58"/>
      <c r="N62" s="58">
        <f t="shared" si="97"/>
        <v>88.414456349120826</v>
      </c>
      <c r="O62" s="58"/>
      <c r="P62" s="58"/>
      <c r="Q62" s="58"/>
      <c r="R62" s="58"/>
      <c r="S62" s="58"/>
      <c r="T62" s="58"/>
      <c r="U62" s="58"/>
      <c r="AD62" s="60"/>
      <c r="AE62" s="60" t="s">
        <v>44</v>
      </c>
      <c r="AF62" s="60" t="s">
        <v>34</v>
      </c>
      <c r="AG62" s="60">
        <v>16.939</v>
      </c>
      <c r="AH62" s="60"/>
      <c r="AI62" s="60" t="s">
        <v>44</v>
      </c>
      <c r="AJ62" s="60" t="s">
        <v>49</v>
      </c>
      <c r="AK62" s="60">
        <v>21.771000000000001</v>
      </c>
      <c r="AL62" s="60">
        <f t="shared" si="98"/>
        <v>4.8523333333333341</v>
      </c>
      <c r="AM62" s="60">
        <f t="shared" si="99"/>
        <v>3.4618011487669777E-2</v>
      </c>
      <c r="AN62" s="60"/>
      <c r="AO62" s="60">
        <f t="shared" si="101"/>
        <v>366.21249761781212</v>
      </c>
      <c r="AP62" s="60"/>
      <c r="AQ62" s="60"/>
      <c r="AR62" s="60"/>
      <c r="AS62" s="60"/>
      <c r="AT62" s="60"/>
      <c r="AU62" s="60"/>
      <c r="AV62" s="60"/>
    </row>
    <row r="63" spans="3:55">
      <c r="C63" s="58"/>
      <c r="D63" s="58" t="s">
        <v>44</v>
      </c>
      <c r="E63" s="58" t="s">
        <v>34</v>
      </c>
      <c r="F63" s="58">
        <v>17.324000000000002</v>
      </c>
      <c r="G63" s="58"/>
      <c r="H63" s="58" t="s">
        <v>44</v>
      </c>
      <c r="I63" s="58" t="s">
        <v>49</v>
      </c>
      <c r="J63" s="58">
        <v>18.896999999999998</v>
      </c>
      <c r="K63" s="58">
        <f>J63-G64</f>
        <v>1.5526666666666635</v>
      </c>
      <c r="L63" s="58">
        <f t="shared" si="96"/>
        <v>0.3408794025882369</v>
      </c>
      <c r="M63" s="58"/>
      <c r="N63" s="58">
        <f t="shared" si="97"/>
        <v>83.067393099388241</v>
      </c>
      <c r="O63" s="58"/>
      <c r="P63" s="58"/>
      <c r="Q63" s="58"/>
      <c r="R63" s="58"/>
      <c r="S63" s="58"/>
      <c r="T63" s="58"/>
      <c r="U63" s="58"/>
      <c r="AD63" s="60"/>
      <c r="AE63" s="60" t="s">
        <v>44</v>
      </c>
      <c r="AF63" s="60" t="s">
        <v>34</v>
      </c>
      <c r="AG63" s="60">
        <v>16.911999999999999</v>
      </c>
      <c r="AH63" s="60"/>
      <c r="AI63" s="60" t="s">
        <v>44</v>
      </c>
      <c r="AJ63" s="60" t="s">
        <v>49</v>
      </c>
      <c r="AK63" s="60">
        <v>21.835999999999999</v>
      </c>
      <c r="AL63" s="60">
        <f t="shared" si="100"/>
        <v>4.9173333333333318</v>
      </c>
      <c r="AM63" s="60">
        <f t="shared" si="99"/>
        <v>3.3092925986044346E-2</v>
      </c>
      <c r="AN63" s="60"/>
      <c r="AO63" s="60">
        <f t="shared" si="101"/>
        <v>350.07912234205747</v>
      </c>
      <c r="AP63" s="60"/>
      <c r="AQ63" s="60"/>
      <c r="AR63" s="61"/>
      <c r="AS63" s="60"/>
      <c r="AT63" s="60"/>
      <c r="AU63" s="60"/>
      <c r="AV63" s="60"/>
    </row>
    <row r="64" spans="3:55">
      <c r="C64" s="58"/>
      <c r="D64" s="58" t="s">
        <v>44</v>
      </c>
      <c r="E64" s="58" t="s">
        <v>34</v>
      </c>
      <c r="F64" s="58">
        <v>17.376000000000001</v>
      </c>
      <c r="G64" s="58">
        <f>AVERAGE(F62:F64)</f>
        <v>17.344333333333335</v>
      </c>
      <c r="H64" s="58" t="s">
        <v>44</v>
      </c>
      <c r="I64" s="58" t="s">
        <v>49</v>
      </c>
      <c r="J64" s="58">
        <v>18.858000000000001</v>
      </c>
      <c r="K64" s="58">
        <f>J64-G64</f>
        <v>1.5136666666666656</v>
      </c>
      <c r="L64" s="58">
        <f t="shared" si="96"/>
        <v>0.35021998887379535</v>
      </c>
      <c r="M64" s="58"/>
      <c r="N64" s="58">
        <f t="shared" si="97"/>
        <v>85.343559235769561</v>
      </c>
      <c r="O64" s="58"/>
      <c r="P64" s="58"/>
      <c r="Q64" s="58"/>
      <c r="R64" s="58"/>
      <c r="S64" s="58"/>
      <c r="T64" s="58"/>
      <c r="U64" s="58"/>
      <c r="AD64" s="60"/>
      <c r="AE64" s="60" t="s">
        <v>44</v>
      </c>
      <c r="AF64" s="60" t="s">
        <v>34</v>
      </c>
      <c r="AG64" s="60">
        <v>16.905000000000001</v>
      </c>
      <c r="AH64" s="60">
        <f t="shared" si="104"/>
        <v>16.918666666666667</v>
      </c>
      <c r="AI64" s="60" t="s">
        <v>44</v>
      </c>
      <c r="AJ64" s="60" t="s">
        <v>49</v>
      </c>
      <c r="AK64" s="60">
        <v>21.760999999999999</v>
      </c>
      <c r="AL64" s="60">
        <f t="shared" si="105"/>
        <v>4.8423333333333325</v>
      </c>
      <c r="AM64" s="60">
        <f t="shared" si="99"/>
        <v>3.4858798799436375E-2</v>
      </c>
      <c r="AN64" s="60"/>
      <c r="AO64" s="60">
        <f t="shared" si="101"/>
        <v>368.75970697638928</v>
      </c>
      <c r="AP64" s="60"/>
      <c r="AQ64" s="60"/>
      <c r="AR64" s="61"/>
      <c r="AS64" s="60"/>
      <c r="AT64" s="60"/>
      <c r="AU64" s="60"/>
      <c r="AV64" s="60"/>
    </row>
    <row r="65" spans="3:55">
      <c r="C65" s="58"/>
      <c r="D65" s="58" t="s">
        <v>45</v>
      </c>
      <c r="E65" s="58" t="s">
        <v>34</v>
      </c>
      <c r="F65" s="58">
        <v>16.253</v>
      </c>
      <c r="G65" s="58"/>
      <c r="H65" s="58" t="s">
        <v>45</v>
      </c>
      <c r="I65" s="58" t="s">
        <v>49</v>
      </c>
      <c r="J65" s="58">
        <v>19.088999999999999</v>
      </c>
      <c r="K65" s="58">
        <f>J65-G67</f>
        <v>2.9160000000000004</v>
      </c>
      <c r="L65" s="58">
        <f t="shared" si="96"/>
        <v>0.13249409792466021</v>
      </c>
      <c r="M65" s="58"/>
      <c r="N65" s="58">
        <f t="shared" si="97"/>
        <v>32.286900387909753</v>
      </c>
      <c r="O65" s="58"/>
      <c r="P65" s="58"/>
      <c r="Q65" s="58"/>
      <c r="R65" s="58"/>
      <c r="S65" s="58"/>
      <c r="T65" s="58"/>
      <c r="U65" s="58"/>
      <c r="AD65" s="60"/>
      <c r="AE65" s="60" t="s">
        <v>45</v>
      </c>
      <c r="AF65" s="60" t="s">
        <v>34</v>
      </c>
      <c r="AG65" s="60">
        <v>16.542999999999999</v>
      </c>
      <c r="AH65" s="60"/>
      <c r="AI65" s="60" t="s">
        <v>45</v>
      </c>
      <c r="AJ65" s="60" t="s">
        <v>49</v>
      </c>
      <c r="AK65" s="60">
        <v>22.538</v>
      </c>
      <c r="AL65" s="60">
        <f t="shared" ref="AL65:AL74" si="118">AK65-AH67</f>
        <v>5.9576666666666682</v>
      </c>
      <c r="AM65" s="60">
        <f t="shared" si="99"/>
        <v>1.6090281018517623E-2</v>
      </c>
      <c r="AN65" s="60"/>
      <c r="AO65" s="60">
        <f t="shared" si="101"/>
        <v>170.21376289226163</v>
      </c>
      <c r="AP65" s="60"/>
      <c r="AQ65" s="60"/>
      <c r="AR65" s="61"/>
      <c r="AS65" s="60"/>
      <c r="AT65" s="60"/>
      <c r="AU65" s="60"/>
      <c r="AV65" s="60"/>
    </row>
    <row r="66" spans="3:55">
      <c r="C66" s="58"/>
      <c r="D66" s="58" t="s">
        <v>45</v>
      </c>
      <c r="E66" s="58" t="s">
        <v>34</v>
      </c>
      <c r="F66" s="58">
        <v>16.29</v>
      </c>
      <c r="G66" s="58"/>
      <c r="H66" s="58" t="s">
        <v>45</v>
      </c>
      <c r="I66" s="58" t="s">
        <v>49</v>
      </c>
      <c r="J66" s="58">
        <v>19.242000000000001</v>
      </c>
      <c r="K66" s="58">
        <f>J66-G67</f>
        <v>3.0690000000000026</v>
      </c>
      <c r="L66" s="58">
        <f t="shared" si="96"/>
        <v>0.11916231816101966</v>
      </c>
      <c r="M66" s="58"/>
      <c r="N66" s="58">
        <f t="shared" si="97"/>
        <v>29.038137975360819</v>
      </c>
      <c r="O66" s="58"/>
      <c r="P66" s="58"/>
      <c r="Q66" s="58"/>
      <c r="R66" s="58"/>
      <c r="S66" s="58"/>
      <c r="T66" s="58"/>
      <c r="U66" s="58"/>
      <c r="AD66" s="60"/>
      <c r="AE66" s="60" t="s">
        <v>45</v>
      </c>
      <c r="AF66" s="60" t="s">
        <v>34</v>
      </c>
      <c r="AG66" s="60">
        <v>16.434999999999999</v>
      </c>
      <c r="AH66" s="60"/>
      <c r="AI66" s="60" t="s">
        <v>45</v>
      </c>
      <c r="AJ66" s="60" t="s">
        <v>49</v>
      </c>
      <c r="AK66" s="60">
        <v>22.212</v>
      </c>
      <c r="AL66" s="60">
        <f t="shared" ref="AL66:AL75" si="119">AK66-AH67</f>
        <v>5.6316666666666677</v>
      </c>
      <c r="AM66" s="60">
        <f t="shared" si="99"/>
        <v>2.0169698564881908E-2</v>
      </c>
      <c r="AN66" s="60"/>
      <c r="AO66" s="60">
        <f t="shared" si="101"/>
        <v>213.36857231891227</v>
      </c>
      <c r="AP66" s="60"/>
      <c r="AQ66" s="60"/>
      <c r="AR66" s="61"/>
      <c r="AS66" s="60"/>
      <c r="AT66" s="60"/>
      <c r="AU66" s="60"/>
      <c r="AV66" s="60"/>
    </row>
    <row r="67" spans="3:55">
      <c r="C67" s="58"/>
      <c r="D67" s="58" t="s">
        <v>45</v>
      </c>
      <c r="E67" s="58" t="s">
        <v>34</v>
      </c>
      <c r="F67" s="58">
        <v>15.976000000000001</v>
      </c>
      <c r="G67" s="58">
        <f>AVERAGE(F65:F67)</f>
        <v>16.172999999999998</v>
      </c>
      <c r="H67" s="58" t="s">
        <v>45</v>
      </c>
      <c r="I67" s="58" t="s">
        <v>49</v>
      </c>
      <c r="J67" s="58">
        <v>19.282</v>
      </c>
      <c r="K67" s="58">
        <f>J67-G67</f>
        <v>3.1090000000000018</v>
      </c>
      <c r="L67" s="58">
        <f t="shared" si="96"/>
        <v>0.11590381830443268</v>
      </c>
      <c r="M67" s="58"/>
      <c r="N67" s="58">
        <f t="shared" si="97"/>
        <v>28.244088565375286</v>
      </c>
      <c r="O67" s="58"/>
      <c r="P67" s="58"/>
      <c r="Q67" s="58"/>
      <c r="R67" s="58"/>
      <c r="S67" s="58"/>
      <c r="T67" s="58"/>
      <c r="U67" s="58"/>
      <c r="AD67" s="60"/>
      <c r="AE67" s="60" t="s">
        <v>45</v>
      </c>
      <c r="AF67" s="60" t="s">
        <v>34</v>
      </c>
      <c r="AG67" s="60">
        <v>16.763000000000002</v>
      </c>
      <c r="AH67" s="60">
        <f t="shared" si="104"/>
        <v>16.580333333333332</v>
      </c>
      <c r="AI67" s="60" t="s">
        <v>45</v>
      </c>
      <c r="AJ67" s="60" t="s">
        <v>49</v>
      </c>
      <c r="AK67" s="60">
        <v>22.536000000000001</v>
      </c>
      <c r="AL67" s="60">
        <f t="shared" ref="AL67:AL76" si="120">AK67-AH67</f>
        <v>5.9556666666666693</v>
      </c>
      <c r="AM67" s="60">
        <f t="shared" si="99"/>
        <v>1.6112602352757518E-2</v>
      </c>
      <c r="AN67" s="60"/>
      <c r="AO67" s="60">
        <f t="shared" si="101"/>
        <v>170.44989290698143</v>
      </c>
      <c r="AP67" s="60"/>
      <c r="AQ67" s="60"/>
      <c r="AR67" s="61"/>
      <c r="AS67" s="60"/>
      <c r="AT67" s="60"/>
      <c r="AU67" s="60"/>
      <c r="AV67" s="60"/>
    </row>
    <row r="68" spans="3:55">
      <c r="C68" s="58"/>
      <c r="D68" s="58" t="s">
        <v>46</v>
      </c>
      <c r="E68" s="58" t="s">
        <v>34</v>
      </c>
      <c r="F68" s="58">
        <v>16.609000000000002</v>
      </c>
      <c r="G68" s="58"/>
      <c r="H68" s="58" t="s">
        <v>46</v>
      </c>
      <c r="I68" s="58" t="s">
        <v>49</v>
      </c>
      <c r="J68" s="58">
        <v>18.619</v>
      </c>
      <c r="K68" s="58">
        <f>J68-G70</f>
        <v>2.041999999999998</v>
      </c>
      <c r="L68" s="58">
        <f t="shared" si="96"/>
        <v>0.24282687388540869</v>
      </c>
      <c r="M68" s="58"/>
      <c r="N68" s="58">
        <f t="shared" si="97"/>
        <v>59.173406298473957</v>
      </c>
      <c r="O68" s="58"/>
      <c r="P68" s="58"/>
      <c r="Q68" s="58"/>
      <c r="R68" s="58"/>
      <c r="S68" s="58"/>
      <c r="T68" s="58"/>
      <c r="U68" s="58"/>
      <c r="AD68" s="60"/>
      <c r="AE68" s="60" t="s">
        <v>46</v>
      </c>
      <c r="AF68" s="60" t="s">
        <v>34</v>
      </c>
      <c r="AG68" s="60">
        <v>18.260999999999999</v>
      </c>
      <c r="AH68" s="60"/>
      <c r="AI68" s="60" t="s">
        <v>46</v>
      </c>
      <c r="AJ68" s="60" t="s">
        <v>49</v>
      </c>
      <c r="AK68" s="60">
        <v>22.498000000000001</v>
      </c>
      <c r="AL68" s="60">
        <f t="shared" si="118"/>
        <v>4.9706666666666663</v>
      </c>
      <c r="AM68" s="60">
        <f t="shared" si="99"/>
        <v>3.189188834115568E-2</v>
      </c>
      <c r="AN68" s="60"/>
      <c r="AO68" s="60">
        <f t="shared" si="101"/>
        <v>337.37374220130749</v>
      </c>
      <c r="AP68" s="60"/>
      <c r="AQ68" s="60"/>
      <c r="AR68" s="61"/>
      <c r="AS68" s="60"/>
      <c r="AT68" s="60"/>
      <c r="AU68" s="60"/>
      <c r="AV68" s="60"/>
    </row>
    <row r="69" spans="3:55">
      <c r="C69" s="58"/>
      <c r="D69" s="58" t="s">
        <v>46</v>
      </c>
      <c r="E69" s="58" t="s">
        <v>34</v>
      </c>
      <c r="F69" s="58">
        <v>16.515000000000001</v>
      </c>
      <c r="G69" s="58"/>
      <c r="H69" s="58" t="s">
        <v>46</v>
      </c>
      <c r="I69" s="58" t="s">
        <v>49</v>
      </c>
      <c r="J69" s="58">
        <v>18.716999999999999</v>
      </c>
      <c r="K69" s="58">
        <f>J69-G70</f>
        <v>2.139999999999997</v>
      </c>
      <c r="L69" s="58">
        <f t="shared" si="96"/>
        <v>0.22687978882929069</v>
      </c>
      <c r="M69" s="58"/>
      <c r="N69" s="58">
        <f t="shared" si="97"/>
        <v>55.287331712893682</v>
      </c>
      <c r="O69" s="58"/>
      <c r="P69" s="58"/>
      <c r="Q69" s="58"/>
      <c r="R69" s="58"/>
      <c r="S69" s="58"/>
      <c r="T69" s="58"/>
      <c r="U69" s="58"/>
      <c r="AD69" s="60"/>
      <c r="AE69" s="60" t="s">
        <v>46</v>
      </c>
      <c r="AF69" s="60" t="s">
        <v>34</v>
      </c>
      <c r="AG69" s="60">
        <v>17.073</v>
      </c>
      <c r="AH69" s="60"/>
      <c r="AI69" s="60" t="s">
        <v>46</v>
      </c>
      <c r="AJ69" s="60" t="s">
        <v>49</v>
      </c>
      <c r="AK69" s="60">
        <v>22.821999999999999</v>
      </c>
      <c r="AL69" s="60">
        <f t="shared" si="119"/>
        <v>5.2946666666666644</v>
      </c>
      <c r="AM69" s="60">
        <f t="shared" si="99"/>
        <v>2.547689612051449E-2</v>
      </c>
      <c r="AN69" s="60"/>
      <c r="AO69" s="60">
        <f t="shared" si="101"/>
        <v>269.51166051713568</v>
      </c>
      <c r="AP69" s="60"/>
      <c r="AQ69" s="60"/>
      <c r="AR69" s="60"/>
      <c r="AS69" s="60"/>
      <c r="AT69" s="60"/>
      <c r="AU69" s="60"/>
      <c r="AV69" s="60"/>
    </row>
    <row r="70" spans="3:55">
      <c r="C70" s="58"/>
      <c r="D70" s="58" t="s">
        <v>46</v>
      </c>
      <c r="E70" s="58" t="s">
        <v>34</v>
      </c>
      <c r="F70" s="58">
        <v>16.606999999999999</v>
      </c>
      <c r="G70" s="58">
        <f>AVERAGE(F68:F70)</f>
        <v>16.577000000000002</v>
      </c>
      <c r="H70" s="58" t="s">
        <v>46</v>
      </c>
      <c r="I70" s="58" t="s">
        <v>49</v>
      </c>
      <c r="J70" s="58">
        <v>18.704999999999998</v>
      </c>
      <c r="K70" s="58">
        <f>J70-G70</f>
        <v>2.1279999999999966</v>
      </c>
      <c r="L70" s="58">
        <f t="shared" si="96"/>
        <v>0.22877479203198264</v>
      </c>
      <c r="M70" s="58"/>
      <c r="N70" s="58">
        <f t="shared" si="97"/>
        <v>55.749116657268154</v>
      </c>
      <c r="O70" s="58"/>
      <c r="P70" s="58"/>
      <c r="Q70" s="58"/>
      <c r="R70" s="58"/>
      <c r="S70" s="58"/>
      <c r="T70" s="58"/>
      <c r="U70" s="58"/>
      <c r="AD70" s="60"/>
      <c r="AE70" s="60" t="s">
        <v>46</v>
      </c>
      <c r="AF70" s="60" t="s">
        <v>34</v>
      </c>
      <c r="AG70" s="60">
        <v>17.248000000000001</v>
      </c>
      <c r="AH70" s="60">
        <f t="shared" si="104"/>
        <v>17.527333333333335</v>
      </c>
      <c r="AI70" s="60" t="s">
        <v>46</v>
      </c>
      <c r="AJ70" s="60" t="s">
        <v>49</v>
      </c>
      <c r="AK70" s="60">
        <v>22.913</v>
      </c>
      <c r="AL70" s="60">
        <f t="shared" si="120"/>
        <v>5.3856666666666655</v>
      </c>
      <c r="AM70" s="60">
        <f t="shared" si="99"/>
        <v>2.3919537976841678E-2</v>
      </c>
      <c r="AN70" s="60"/>
      <c r="AO70" s="60">
        <f t="shared" si="101"/>
        <v>253.03688363161186</v>
      </c>
      <c r="AP70" s="60"/>
      <c r="AQ70" s="60"/>
      <c r="AR70" s="60"/>
      <c r="AS70" s="60"/>
      <c r="AT70" s="60"/>
      <c r="AU70" s="60"/>
      <c r="AV70" s="60"/>
    </row>
    <row r="71" spans="3:55">
      <c r="C71" s="58"/>
      <c r="D71" s="58" t="s">
        <v>47</v>
      </c>
      <c r="E71" s="58" t="s">
        <v>34</v>
      </c>
      <c r="F71" s="58">
        <v>16.385000000000002</v>
      </c>
      <c r="G71" s="58"/>
      <c r="H71" s="58" t="s">
        <v>47</v>
      </c>
      <c r="I71" s="58" t="s">
        <v>49</v>
      </c>
      <c r="J71" s="58">
        <v>19.838000000000001</v>
      </c>
      <c r="K71" s="58">
        <f>J71-G73</f>
        <v>3.4713333333333338</v>
      </c>
      <c r="L71" s="58">
        <f t="shared" si="96"/>
        <v>9.0162208628503729E-2</v>
      </c>
      <c r="M71" s="58"/>
      <c r="N71" s="58">
        <f t="shared" si="97"/>
        <v>21.971229619584602</v>
      </c>
      <c r="O71" s="58"/>
      <c r="P71" s="58"/>
      <c r="Q71" s="58"/>
      <c r="R71" s="58"/>
      <c r="S71" s="58"/>
      <c r="T71" s="58"/>
      <c r="U71" s="58"/>
      <c r="AD71" s="60"/>
      <c r="AE71" s="62" t="s">
        <v>47</v>
      </c>
      <c r="AF71" s="62" t="s">
        <v>34</v>
      </c>
      <c r="AG71" s="62">
        <v>16.151</v>
      </c>
      <c r="AH71" s="60"/>
      <c r="AI71" s="60" t="s">
        <v>47</v>
      </c>
      <c r="AJ71" s="60" t="s">
        <v>49</v>
      </c>
      <c r="AK71" s="60">
        <v>22.478000000000002</v>
      </c>
      <c r="AL71" s="60">
        <f t="shared" si="118"/>
        <v>6.3350000000000009</v>
      </c>
      <c r="AM71" s="60">
        <f t="shared" si="99"/>
        <v>1.2387252134535693E-2</v>
      </c>
      <c r="AN71" s="60"/>
      <c r="AO71" s="60">
        <f t="shared" si="101"/>
        <v>131.0406446778623</v>
      </c>
      <c r="AP71" s="60"/>
      <c r="AQ71" s="60"/>
      <c r="AR71" s="60"/>
      <c r="AS71" s="60"/>
      <c r="AT71" s="60"/>
      <c r="AU71" s="60"/>
      <c r="AV71" s="60"/>
    </row>
    <row r="72" spans="3:55">
      <c r="C72" s="58"/>
      <c r="D72" s="58" t="s">
        <v>47</v>
      </c>
      <c r="E72" s="58" t="s">
        <v>34</v>
      </c>
      <c r="F72" s="58">
        <v>16.315999999999999</v>
      </c>
      <c r="G72" s="58"/>
      <c r="H72" s="58" t="s">
        <v>47</v>
      </c>
      <c r="I72" s="58" t="s">
        <v>49</v>
      </c>
      <c r="J72" s="58">
        <v>20.010000000000002</v>
      </c>
      <c r="K72" s="58">
        <f>J72-G73</f>
        <v>3.6433333333333344</v>
      </c>
      <c r="L72" s="58">
        <f t="shared" si="96"/>
        <v>8.0028998571917587E-2</v>
      </c>
      <c r="M72" s="58"/>
      <c r="N72" s="58">
        <f t="shared" si="97"/>
        <v>19.501912504094673</v>
      </c>
      <c r="O72" s="58"/>
      <c r="P72" s="58"/>
      <c r="Q72" s="58"/>
      <c r="R72" s="58"/>
      <c r="S72" s="58"/>
      <c r="T72" s="58"/>
      <c r="U72" s="58"/>
      <c r="AD72" s="60"/>
      <c r="AE72" s="62" t="s">
        <v>47</v>
      </c>
      <c r="AF72" s="62" t="s">
        <v>34</v>
      </c>
      <c r="AG72" s="62">
        <v>16.233000000000001</v>
      </c>
      <c r="AH72" s="60"/>
      <c r="AI72" s="60" t="s">
        <v>47</v>
      </c>
      <c r="AJ72" s="60" t="s">
        <v>49</v>
      </c>
      <c r="AK72" s="60">
        <v>22.518000000000001</v>
      </c>
      <c r="AL72" s="60">
        <f t="shared" si="119"/>
        <v>6.375</v>
      </c>
      <c r="AM72" s="60">
        <f t="shared" si="99"/>
        <v>1.2048522073499544E-2</v>
      </c>
      <c r="AN72" s="60"/>
      <c r="AO72" s="60">
        <f t="shared" si="101"/>
        <v>127.45733135801824</v>
      </c>
      <c r="AP72" s="60"/>
      <c r="AQ72" s="60"/>
      <c r="AR72" s="60"/>
      <c r="AS72" s="60"/>
      <c r="AT72" s="60"/>
      <c r="AU72" s="60"/>
      <c r="AV72" s="60"/>
    </row>
    <row r="73" spans="3:55">
      <c r="C73" s="58"/>
      <c r="D73" s="58" t="s">
        <v>47</v>
      </c>
      <c r="E73" s="58" t="s">
        <v>34</v>
      </c>
      <c r="F73" s="58">
        <v>16.399000000000001</v>
      </c>
      <c r="G73" s="58">
        <f>AVERAGE(F71:F73)</f>
        <v>16.366666666666667</v>
      </c>
      <c r="H73" s="58" t="s">
        <v>47</v>
      </c>
      <c r="I73" s="58" t="s">
        <v>49</v>
      </c>
      <c r="J73" s="58">
        <v>19.905999999999999</v>
      </c>
      <c r="K73" s="58">
        <f>J73-G73</f>
        <v>3.5393333333333317</v>
      </c>
      <c r="L73" s="58">
        <f t="shared" si="96"/>
        <v>8.6011100019622699E-2</v>
      </c>
      <c r="M73" s="58"/>
      <c r="N73" s="58">
        <f t="shared" si="97"/>
        <v>20.959664332876148</v>
      </c>
      <c r="O73" s="58"/>
      <c r="P73" s="58"/>
      <c r="Q73" s="58"/>
      <c r="R73" s="58"/>
      <c r="S73" s="58"/>
      <c r="T73" s="58"/>
      <c r="U73" s="58"/>
      <c r="AD73" s="60"/>
      <c r="AE73" s="62" t="s">
        <v>47</v>
      </c>
      <c r="AF73" s="62" t="s">
        <v>34</v>
      </c>
      <c r="AG73" s="62">
        <v>16.045000000000002</v>
      </c>
      <c r="AH73" s="60">
        <f t="shared" si="104"/>
        <v>16.143000000000001</v>
      </c>
      <c r="AI73" s="60" t="s">
        <v>47</v>
      </c>
      <c r="AJ73" s="60" t="s">
        <v>49</v>
      </c>
      <c r="AK73" s="60">
        <v>22.495000000000001</v>
      </c>
      <c r="AL73" s="60">
        <f t="shared" si="120"/>
        <v>6.3520000000000003</v>
      </c>
      <c r="AM73" s="60">
        <f t="shared" si="99"/>
        <v>1.2242143546083451E-2</v>
      </c>
      <c r="AN73" s="60"/>
      <c r="AO73" s="60">
        <f t="shared" si="101"/>
        <v>129.50558889853718</v>
      </c>
      <c r="AP73" s="60"/>
      <c r="AQ73" s="60"/>
      <c r="AR73" s="60"/>
      <c r="AS73" s="60"/>
      <c r="AT73" s="60"/>
      <c r="AU73" s="60"/>
      <c r="AV73" s="60"/>
    </row>
    <row r="74" spans="3:55">
      <c r="C74" s="58"/>
      <c r="D74" s="58" t="s">
        <v>48</v>
      </c>
      <c r="E74" s="58" t="s">
        <v>34</v>
      </c>
      <c r="F74" s="58">
        <v>16.890999999999998</v>
      </c>
      <c r="G74" s="58"/>
      <c r="H74" s="58" t="s">
        <v>48</v>
      </c>
      <c r="I74" s="58" t="s">
        <v>49</v>
      </c>
      <c r="J74" s="58">
        <v>19.821000000000002</v>
      </c>
      <c r="K74" s="58">
        <f>J74-G76</f>
        <v>2.9286666666666719</v>
      </c>
      <c r="L74" s="58">
        <f t="shared" si="96"/>
        <v>0.13133590953448404</v>
      </c>
      <c r="M74" s="58"/>
      <c r="N74" s="58">
        <f t="shared" si="97"/>
        <v>32.004666584519391</v>
      </c>
      <c r="O74" s="58"/>
      <c r="P74" s="58"/>
      <c r="Q74" s="58"/>
      <c r="R74" s="58"/>
      <c r="S74" s="58"/>
      <c r="T74" s="58"/>
      <c r="U74" s="58"/>
      <c r="AD74" s="60"/>
      <c r="AE74" s="62" t="s">
        <v>48</v>
      </c>
      <c r="AF74" s="62" t="s">
        <v>34</v>
      </c>
      <c r="AG74" s="62">
        <v>16.297000000000001</v>
      </c>
      <c r="AH74" s="60"/>
      <c r="AI74" s="60" t="s">
        <v>48</v>
      </c>
      <c r="AJ74" s="60" t="s">
        <v>49</v>
      </c>
      <c r="AK74" s="60">
        <v>22.265999999999998</v>
      </c>
      <c r="AL74" s="60">
        <f t="shared" si="118"/>
        <v>6.0213333333333274</v>
      </c>
      <c r="AM74" s="60">
        <f t="shared" si="99"/>
        <v>1.539565082805314E-2</v>
      </c>
      <c r="AN74" s="60"/>
      <c r="AO74" s="60">
        <f t="shared" si="101"/>
        <v>162.86549977607021</v>
      </c>
      <c r="AP74" s="60"/>
      <c r="AQ74" s="60"/>
      <c r="AR74" s="60"/>
      <c r="AS74" s="60"/>
      <c r="AT74" s="60"/>
      <c r="AU74" s="60"/>
      <c r="AV74" s="60"/>
    </row>
    <row r="75" spans="3:55">
      <c r="C75" s="58"/>
      <c r="D75" s="58" t="s">
        <v>48</v>
      </c>
      <c r="E75" s="58" t="s">
        <v>34</v>
      </c>
      <c r="F75" s="58">
        <v>16.974</v>
      </c>
      <c r="G75" s="58"/>
      <c r="H75" s="58" t="s">
        <v>48</v>
      </c>
      <c r="I75" s="58" t="s">
        <v>49</v>
      </c>
      <c r="J75" s="58">
        <v>19.861000000000001</v>
      </c>
      <c r="K75" s="58">
        <f>J75-G76</f>
        <v>2.968666666666671</v>
      </c>
      <c r="L75" s="58">
        <f t="shared" si="96"/>
        <v>0.12774452218160834</v>
      </c>
      <c r="M75" s="58"/>
      <c r="N75" s="58">
        <f t="shared" si="97"/>
        <v>31.12949729371346</v>
      </c>
      <c r="O75" s="58"/>
      <c r="P75" s="58"/>
      <c r="Q75" s="58"/>
      <c r="R75" s="58"/>
      <c r="S75" s="58"/>
      <c r="T75" s="58"/>
      <c r="U75" s="58"/>
      <c r="AD75" s="60"/>
      <c r="AE75" s="62" t="s">
        <v>48</v>
      </c>
      <c r="AF75" s="62" t="s">
        <v>34</v>
      </c>
      <c r="AG75" s="62">
        <v>16.311</v>
      </c>
      <c r="AH75" s="60"/>
      <c r="AI75" s="60" t="s">
        <v>48</v>
      </c>
      <c r="AJ75" s="60" t="s">
        <v>49</v>
      </c>
      <c r="AK75" s="60">
        <v>22.189</v>
      </c>
      <c r="AL75" s="60">
        <f t="shared" si="119"/>
        <v>5.9443333333333293</v>
      </c>
      <c r="AM75" s="60">
        <f t="shared" si="99"/>
        <v>1.6239676079217811E-2</v>
      </c>
      <c r="AN75" s="60"/>
      <c r="AO75" s="60">
        <f t="shared" si="101"/>
        <v>171.79416384424201</v>
      </c>
      <c r="AP75" s="60"/>
      <c r="AQ75" s="60"/>
      <c r="AR75" s="60"/>
      <c r="AS75" s="60"/>
      <c r="AT75" s="60"/>
      <c r="AU75" s="60"/>
      <c r="AV75" s="60"/>
    </row>
    <row r="76" spans="3:55">
      <c r="C76" s="58"/>
      <c r="D76" s="58" t="s">
        <v>48</v>
      </c>
      <c r="E76" s="58" t="s">
        <v>34</v>
      </c>
      <c r="F76" s="58">
        <v>16.812000000000001</v>
      </c>
      <c r="G76" s="58">
        <f>AVERAGE(F74:F76)</f>
        <v>16.89233333333333</v>
      </c>
      <c r="H76" s="58" t="s">
        <v>48</v>
      </c>
      <c r="I76" s="58" t="s">
        <v>49</v>
      </c>
      <c r="J76" s="58">
        <v>19.779</v>
      </c>
      <c r="K76" s="58">
        <f>J76-G76</f>
        <v>2.8866666666666703</v>
      </c>
      <c r="L76" s="58">
        <f t="shared" si="96"/>
        <v>0.13521558326001276</v>
      </c>
      <c r="M76" s="58"/>
      <c r="N76" s="58">
        <f t="shared" si="97"/>
        <v>32.950087105703396</v>
      </c>
      <c r="O76" s="58"/>
      <c r="P76" s="58"/>
      <c r="Q76" s="58"/>
      <c r="R76" s="58"/>
      <c r="S76" s="58"/>
      <c r="T76" s="58"/>
      <c r="U76" s="58"/>
      <c r="AD76" s="60"/>
      <c r="AE76" s="62" t="s">
        <v>48</v>
      </c>
      <c r="AF76" s="62" t="s">
        <v>34</v>
      </c>
      <c r="AG76" s="62">
        <v>16.126000000000001</v>
      </c>
      <c r="AH76" s="60">
        <f t="shared" si="104"/>
        <v>16.244666666666671</v>
      </c>
      <c r="AI76" s="60" t="s">
        <v>48</v>
      </c>
      <c r="AJ76" s="60" t="s">
        <v>49</v>
      </c>
      <c r="AK76" s="60">
        <v>22.184000000000001</v>
      </c>
      <c r="AL76" s="60">
        <f t="shared" si="120"/>
        <v>5.9393333333333302</v>
      </c>
      <c r="AM76" s="60">
        <f t="shared" si="99"/>
        <v>1.6296056150440639E-2</v>
      </c>
      <c r="AN76" s="60"/>
      <c r="AO76" s="60">
        <f t="shared" si="101"/>
        <v>172.39058997650946</v>
      </c>
      <c r="AP76" s="60"/>
      <c r="AQ76" s="60"/>
      <c r="AR76" s="60"/>
      <c r="AS76" s="60"/>
      <c r="AT76" s="60"/>
      <c r="AU76" s="60"/>
      <c r="AV76" s="60"/>
    </row>
    <row r="78" spans="3:55">
      <c r="C78" s="58" t="s">
        <v>52</v>
      </c>
      <c r="D78" s="58"/>
      <c r="E78" s="58"/>
      <c r="F78" s="58"/>
      <c r="G78" s="58"/>
      <c r="H78" s="58"/>
      <c r="I78" s="58"/>
      <c r="J78" s="58"/>
      <c r="K78" s="58"/>
      <c r="L78" s="58"/>
      <c r="M78" s="58"/>
      <c r="N78" s="58"/>
      <c r="O78" s="90"/>
      <c r="P78" s="90"/>
      <c r="Q78" s="90"/>
      <c r="R78" s="90"/>
      <c r="S78" s="90"/>
      <c r="T78" s="90"/>
      <c r="U78" s="90"/>
      <c r="V78" s="90"/>
      <c r="W78" s="90"/>
      <c r="X78" s="90"/>
      <c r="Y78" s="90"/>
      <c r="Z78" s="90"/>
      <c r="AA78" s="90"/>
      <c r="AB78" s="90"/>
      <c r="AD78" s="60" t="s">
        <v>52</v>
      </c>
      <c r="AE78" s="60"/>
      <c r="AF78" s="60"/>
      <c r="AG78" s="60"/>
      <c r="AH78" s="60"/>
      <c r="AI78" s="60"/>
      <c r="AJ78" s="60"/>
      <c r="AK78" s="60"/>
      <c r="AL78" s="60"/>
      <c r="AM78" s="60"/>
      <c r="AN78" s="60"/>
      <c r="AO78" s="60"/>
      <c r="AP78" s="60"/>
      <c r="AQ78" s="60"/>
      <c r="AR78" s="60"/>
      <c r="AS78" s="60"/>
      <c r="AT78" s="60"/>
      <c r="AU78" s="60"/>
      <c r="AV78" s="60"/>
    </row>
    <row r="79" spans="3:55">
      <c r="C79" s="58"/>
      <c r="D79" s="58" t="s">
        <v>33</v>
      </c>
      <c r="E79" s="58" t="s">
        <v>34</v>
      </c>
      <c r="F79" s="58">
        <v>16.623999999999999</v>
      </c>
      <c r="G79" s="58"/>
      <c r="H79" s="58" t="s">
        <v>33</v>
      </c>
      <c r="I79" s="58" t="s">
        <v>52</v>
      </c>
      <c r="J79" s="58">
        <v>23.504999999999999</v>
      </c>
      <c r="K79" s="58">
        <f>J79-G81</f>
        <v>6.9276666666666671</v>
      </c>
      <c r="L79" s="58">
        <f t="shared" ref="L79:L114" si="121">POWER(2,-K79)</f>
        <v>8.2141860129713966E-3</v>
      </c>
      <c r="M79" s="58"/>
      <c r="N79" s="58">
        <f t="shared" ref="N79:N114" si="122">L79/0.00865766253449659</f>
        <v>0.94877641398493484</v>
      </c>
      <c r="O79" s="90"/>
      <c r="P79" s="90" t="s">
        <v>36</v>
      </c>
      <c r="Q79" s="90"/>
      <c r="R79" s="90"/>
      <c r="S79" s="90" t="s">
        <v>2</v>
      </c>
      <c r="T79" s="90"/>
      <c r="U79" s="90"/>
      <c r="V79" s="90" t="s">
        <v>663</v>
      </c>
      <c r="W79" s="90" t="s">
        <v>396</v>
      </c>
      <c r="X79" s="90" t="s">
        <v>664</v>
      </c>
      <c r="Y79" s="90" t="s">
        <v>663</v>
      </c>
      <c r="Z79" s="90" t="s">
        <v>396</v>
      </c>
      <c r="AA79" s="90" t="s">
        <v>664</v>
      </c>
      <c r="AB79" s="90" t="s">
        <v>665</v>
      </c>
      <c r="AD79" s="60"/>
      <c r="AE79" s="60" t="s">
        <v>33</v>
      </c>
      <c r="AF79" s="60" t="s">
        <v>34</v>
      </c>
      <c r="AG79" s="60">
        <v>15.752000000000001</v>
      </c>
      <c r="AH79" s="60"/>
      <c r="AI79" s="60" t="s">
        <v>33</v>
      </c>
      <c r="AJ79" s="60" t="s">
        <v>52</v>
      </c>
      <c r="AK79" s="60">
        <v>23.853000000000002</v>
      </c>
      <c r="AL79" s="60">
        <f t="shared" ref="AL79:AL112" si="123">AK79-AH81</f>
        <v>8.2040000000000006</v>
      </c>
      <c r="AM79" s="60">
        <f>POWER(2,-AL79)</f>
        <v>3.3911727640665731E-3</v>
      </c>
      <c r="AN79" s="60"/>
      <c r="AO79" s="60">
        <f>AM79/0.00362694858937448</f>
        <v>0.93499333682351149</v>
      </c>
      <c r="AP79" s="90"/>
      <c r="AQ79" s="90" t="s">
        <v>36</v>
      </c>
      <c r="AR79" s="90"/>
      <c r="AS79" s="90"/>
      <c r="AT79" s="90" t="s">
        <v>2</v>
      </c>
      <c r="AU79" s="90"/>
      <c r="AV79" s="90"/>
      <c r="AW79" s="90" t="s">
        <v>663</v>
      </c>
      <c r="AX79" s="90" t="s">
        <v>396</v>
      </c>
      <c r="AY79" s="90" t="s">
        <v>664</v>
      </c>
      <c r="AZ79" s="90" t="s">
        <v>663</v>
      </c>
      <c r="BA79" s="90" t="s">
        <v>396</v>
      </c>
      <c r="BB79" s="90" t="s">
        <v>664</v>
      </c>
      <c r="BC79" s="90" t="s">
        <v>665</v>
      </c>
    </row>
    <row r="80" spans="3:55">
      <c r="C80" s="58"/>
      <c r="D80" s="58" t="s">
        <v>33</v>
      </c>
      <c r="E80" s="58" t="s">
        <v>34</v>
      </c>
      <c r="F80" s="58">
        <v>16.664000000000001</v>
      </c>
      <c r="G80" s="58"/>
      <c r="H80" s="58" t="s">
        <v>33</v>
      </c>
      <c r="I80" s="58" t="s">
        <v>52</v>
      </c>
      <c r="J80" s="58">
        <v>23.594000000000001</v>
      </c>
      <c r="K80" s="58">
        <f>J80-G81</f>
        <v>7.0166666666666693</v>
      </c>
      <c r="L80" s="58">
        <f t="shared" si="121"/>
        <v>7.7227657840069908E-3</v>
      </c>
      <c r="M80" s="58">
        <v>8.6576625344965893E-3</v>
      </c>
      <c r="N80" s="58">
        <f t="shared" si="122"/>
        <v>0.89201510837775344</v>
      </c>
      <c r="O80" s="98">
        <v>0</v>
      </c>
      <c r="P80" s="90">
        <v>0.94877641398493484</v>
      </c>
      <c r="Q80" s="90">
        <v>0.89201510837775344</v>
      </c>
      <c r="R80" s="90">
        <v>1.1592084776373131</v>
      </c>
      <c r="S80" s="90">
        <v>0.7801409552151628</v>
      </c>
      <c r="T80" s="90">
        <v>0.92006437842596389</v>
      </c>
      <c r="U80" s="90">
        <v>0.78611196717280052</v>
      </c>
      <c r="V80" s="90">
        <f>AVERAGE(P80:R80)</f>
        <v>1.0000000000000004</v>
      </c>
      <c r="W80" s="90">
        <f>STDEV(P80:R80)</f>
        <v>0.14076919395681434</v>
      </c>
      <c r="X80" s="90">
        <f>W80/SQRT(3)</f>
        <v>8.1273132024573397E-2</v>
      </c>
      <c r="Y80" s="90">
        <f>AVERAGE(S80:U80)</f>
        <v>0.82877243360464237</v>
      </c>
      <c r="Z80" s="90">
        <f>STDEV(S80:U80)</f>
        <v>7.9117492616323282E-2</v>
      </c>
      <c r="AA80" s="90">
        <f>Z80/SQRT(3)</f>
        <v>4.5678505659642481E-2</v>
      </c>
      <c r="AB80" s="99" t="s">
        <v>681</v>
      </c>
      <c r="AD80" s="60"/>
      <c r="AE80" s="60" t="s">
        <v>33</v>
      </c>
      <c r="AF80" s="60" t="s">
        <v>34</v>
      </c>
      <c r="AG80" s="60">
        <v>15.586</v>
      </c>
      <c r="AH80" s="60"/>
      <c r="AI80" s="60" t="s">
        <v>33</v>
      </c>
      <c r="AJ80" s="60" t="s">
        <v>52</v>
      </c>
      <c r="AK80" s="60">
        <v>23.599</v>
      </c>
      <c r="AL80" s="60">
        <f t="shared" ref="AL80:AL113" si="124">AK80-AH81</f>
        <v>7.9499999999999993</v>
      </c>
      <c r="AM80" s="60">
        <f t="shared" ref="AM80:AM114" si="125">POWER(2,-AL80)</f>
        <v>4.0440036087553838E-3</v>
      </c>
      <c r="AN80" s="60">
        <v>3.6269485893744798E-3</v>
      </c>
      <c r="AO80" s="60">
        <f t="shared" ref="AO80:AO114" si="126">AM80/0.00362694858937448</f>
        <v>1.1149878497320611</v>
      </c>
      <c r="AP80" s="98">
        <v>0</v>
      </c>
      <c r="AQ80" s="90">
        <v>0.93499333682351149</v>
      </c>
      <c r="AR80" s="90">
        <v>1.1149878497320611</v>
      </c>
      <c r="AS80" s="90">
        <v>0.95001881344442607</v>
      </c>
      <c r="AT80" s="90">
        <v>0.85442631694425542</v>
      </c>
      <c r="AU80" s="90">
        <v>0.82589368745108704</v>
      </c>
      <c r="AV80" s="90">
        <v>0.98011842985044728</v>
      </c>
      <c r="AW80" s="90">
        <f>AVERAGE(AQ80:AS80)</f>
        <v>0.99999999999999956</v>
      </c>
      <c r="AX80" s="90">
        <f>STDEV(AQ80:AS80)</f>
        <v>9.9865386528184982E-2</v>
      </c>
      <c r="AY80" s="90">
        <f>AX80/SQRT(3)</f>
        <v>5.7657307794773627E-2</v>
      </c>
      <c r="AZ80" s="90">
        <f>AVERAGE(AT80:AV80)</f>
        <v>0.88681281141526325</v>
      </c>
      <c r="BA80" s="90">
        <f>STDEV(AT80:AV80)</f>
        <v>8.2054747334494429E-2</v>
      </c>
      <c r="BB80" s="90">
        <f>BA80/SQRT(3)</f>
        <v>4.7374330461857087E-2</v>
      </c>
      <c r="BC80" s="99" t="s">
        <v>681</v>
      </c>
    </row>
    <row r="81" spans="3:55">
      <c r="C81" s="58"/>
      <c r="D81" s="58" t="s">
        <v>33</v>
      </c>
      <c r="E81" s="58" t="s">
        <v>34</v>
      </c>
      <c r="F81" s="58">
        <v>16.443999999999999</v>
      </c>
      <c r="G81" s="58">
        <f>AVERAGE(F79:F81)</f>
        <v>16.577333333333332</v>
      </c>
      <c r="H81" s="58" t="s">
        <v>33</v>
      </c>
      <c r="I81" s="58" t="s">
        <v>52</v>
      </c>
      <c r="J81" s="58">
        <v>23.216000000000001</v>
      </c>
      <c r="K81" s="58">
        <f>J81-G81</f>
        <v>6.6386666666666692</v>
      </c>
      <c r="L81" s="58">
        <f t="shared" si="121"/>
        <v>1.0036035806511393E-2</v>
      </c>
      <c r="M81" s="58">
        <f>AVERAGE(L79:L81)</f>
        <v>8.6576625344965946E-3</v>
      </c>
      <c r="N81" s="58">
        <f t="shared" si="122"/>
        <v>1.1592084776373131</v>
      </c>
      <c r="O81" s="98" t="s">
        <v>38</v>
      </c>
      <c r="P81" s="90">
        <v>7.3639170935505049</v>
      </c>
      <c r="Q81" s="90">
        <v>7.0395020647281346</v>
      </c>
      <c r="R81" s="90">
        <v>7.6659967379412848</v>
      </c>
      <c r="S81" s="90">
        <v>12.279160720607186</v>
      </c>
      <c r="T81" s="90">
        <v>13.197017827832328</v>
      </c>
      <c r="U81" s="90">
        <v>12.424708081070509</v>
      </c>
      <c r="V81" s="90">
        <f>AVERAGE(P81:R81)</f>
        <v>7.3564719654066408</v>
      </c>
      <c r="W81" s="90">
        <f>STDEV(P81:R81)</f>
        <v>0.31331368680752181</v>
      </c>
      <c r="X81" s="90">
        <f t="shared" ref="X81:X85" si="127">W81/SQRT(3)</f>
        <v>0.18089174141911682</v>
      </c>
      <c r="Y81" s="90">
        <f>AVERAGE(S81:U81)</f>
        <v>12.633628876503343</v>
      </c>
      <c r="Z81" s="90">
        <f t="shared" ref="Z81" si="128">STDEV(S81:U81)</f>
        <v>0.4933065389736303</v>
      </c>
      <c r="AA81" s="90">
        <f>Z81/SQRT(3)</f>
        <v>0.28481066306942809</v>
      </c>
      <c r="AB81" s="99">
        <v>1E-4</v>
      </c>
      <c r="AD81" s="60"/>
      <c r="AE81" s="60" t="s">
        <v>33</v>
      </c>
      <c r="AF81" s="60" t="s">
        <v>34</v>
      </c>
      <c r="AG81" s="60">
        <v>15.609</v>
      </c>
      <c r="AH81" s="60">
        <f t="shared" ref="AH81:AH96" si="129">AVERAGE(AG79:AG81)</f>
        <v>15.649000000000001</v>
      </c>
      <c r="AI81" s="60" t="s">
        <v>33</v>
      </c>
      <c r="AJ81" s="60" t="s">
        <v>52</v>
      </c>
      <c r="AK81" s="60">
        <v>23.83</v>
      </c>
      <c r="AL81" s="60">
        <f t="shared" ref="AL81:AL114" si="130">AK81-AH81</f>
        <v>8.1809999999999974</v>
      </c>
      <c r="AM81" s="60">
        <f t="shared" si="125"/>
        <v>3.4456693953014783E-3</v>
      </c>
      <c r="AN81" s="60">
        <f>AVERAGE(AM79:AM81)</f>
        <v>3.626948589374479E-3</v>
      </c>
      <c r="AO81" s="60">
        <f t="shared" si="126"/>
        <v>0.95001881344442607</v>
      </c>
      <c r="AP81" s="98" t="s">
        <v>38</v>
      </c>
      <c r="AQ81" s="90">
        <v>1.6196641112515597</v>
      </c>
      <c r="AR81" s="90">
        <v>1.5830366487036804</v>
      </c>
      <c r="AS81" s="90">
        <v>1.513296471907575</v>
      </c>
      <c r="AT81" s="90">
        <v>4.6396886289801529</v>
      </c>
      <c r="AU81" s="90">
        <v>4.1468848545379648</v>
      </c>
      <c r="AV81" s="90">
        <v>4.3802948618377728</v>
      </c>
      <c r="AW81" s="90">
        <f>AVERAGE(AQ81:AS81)</f>
        <v>1.5719990772876049</v>
      </c>
      <c r="AX81" s="90">
        <f>STDEV(AQ81:AS81)</f>
        <v>5.4036003386415676E-2</v>
      </c>
      <c r="AY81" s="90">
        <f t="shared" ref="AY81:AY85" si="131">AX81/SQRT(3)</f>
        <v>3.1197701101078622E-2</v>
      </c>
      <c r="AZ81" s="90">
        <f>AVERAGE(AT81:AV81)</f>
        <v>4.3889561151186305</v>
      </c>
      <c r="BA81" s="90">
        <f t="shared" ref="BA81" si="132">STDEV(AT81:AV81)</f>
        <v>0.24651602991978658</v>
      </c>
      <c r="BB81" s="90">
        <f>BA81/SQRT(3)</f>
        <v>0.14232609623374662</v>
      </c>
      <c r="BC81" s="99">
        <v>0.89759999999999995</v>
      </c>
    </row>
    <row r="82" spans="3:55">
      <c r="C82" s="58"/>
      <c r="D82" s="58" t="s">
        <v>37</v>
      </c>
      <c r="E82" s="58" t="s">
        <v>34</v>
      </c>
      <c r="F82" s="58">
        <v>16.204999999999998</v>
      </c>
      <c r="G82" s="58"/>
      <c r="H82" s="58" t="s">
        <v>37</v>
      </c>
      <c r="I82" s="58" t="s">
        <v>52</v>
      </c>
      <c r="J82" s="58">
        <v>23.271000000000001</v>
      </c>
      <c r="K82" s="58">
        <f>J82-G84</f>
        <v>7.2100000000000009</v>
      </c>
      <c r="L82" s="58">
        <f t="shared" si="121"/>
        <v>6.7541971195926968E-3</v>
      </c>
      <c r="M82" s="58"/>
      <c r="N82" s="58">
        <f t="shared" si="122"/>
        <v>0.7801409552151628</v>
      </c>
      <c r="O82" s="98" t="s">
        <v>19</v>
      </c>
      <c r="P82" s="90">
        <v>6.2541192047229375</v>
      </c>
      <c r="Q82" s="90">
        <v>5.9744533583735251</v>
      </c>
      <c r="R82" s="90">
        <v>6.0285319225956551</v>
      </c>
      <c r="S82" s="90">
        <v>14.659934145384064</v>
      </c>
      <c r="T82" s="90">
        <v>16.898305934354667</v>
      </c>
      <c r="U82" s="90">
        <v>15.581980589509946</v>
      </c>
      <c r="V82" s="90">
        <f>AVERAGE(P82:R82)</f>
        <v>6.0857014952307056</v>
      </c>
      <c r="W82" s="90">
        <f>STDEV(P82:R82)</f>
        <v>0.14833919384316149</v>
      </c>
      <c r="X82" s="90">
        <f t="shared" si="127"/>
        <v>8.5643673496721376E-2</v>
      </c>
      <c r="Y82" s="90">
        <f t="shared" ref="Y82:Y85" si="133">AVERAGE(S82:U82)</f>
        <v>15.713406889749558</v>
      </c>
      <c r="Z82" s="90">
        <f>STDEV(S82:U82)</f>
        <v>1.12495854177426</v>
      </c>
      <c r="AA82" s="90">
        <f t="shared" ref="AA82:AA85" si="134">Z82/SQRT(3)</f>
        <v>0.64949511692053796</v>
      </c>
      <c r="AB82" s="99" t="s">
        <v>666</v>
      </c>
      <c r="AD82" s="60"/>
      <c r="AE82" s="60" t="s">
        <v>37</v>
      </c>
      <c r="AF82" s="60" t="s">
        <v>34</v>
      </c>
      <c r="AG82" s="60">
        <v>15.518000000000001</v>
      </c>
      <c r="AH82" s="60"/>
      <c r="AI82" s="60" t="s">
        <v>37</v>
      </c>
      <c r="AJ82" s="60" t="s">
        <v>52</v>
      </c>
      <c r="AK82" s="60">
        <v>23.853000000000002</v>
      </c>
      <c r="AL82" s="60">
        <f t="shared" si="123"/>
        <v>8.3340000000000014</v>
      </c>
      <c r="AM82" s="60">
        <f t="shared" si="125"/>
        <v>3.0989603249653992E-3</v>
      </c>
      <c r="AN82" s="60"/>
      <c r="AO82" s="60">
        <f t="shared" si="126"/>
        <v>0.85442631694425542</v>
      </c>
      <c r="AP82" s="98" t="s">
        <v>19</v>
      </c>
      <c r="AQ82" s="90">
        <v>7.6406461874137213</v>
      </c>
      <c r="AR82" s="90">
        <v>7.431712315614778</v>
      </c>
      <c r="AS82" s="90">
        <v>7.4111357721891062</v>
      </c>
      <c r="AT82" s="90">
        <v>17.815091508270154</v>
      </c>
      <c r="AU82" s="90">
        <v>21.721141072893893</v>
      </c>
      <c r="AV82" s="90">
        <v>20.620794135606541</v>
      </c>
      <c r="AW82" s="90">
        <f>AVERAGE(AQ82:AS82)</f>
        <v>7.4944980917392021</v>
      </c>
      <c r="AX82" s="90">
        <f>STDEV(AQ82:AS82)</f>
        <v>0.1269854241116023</v>
      </c>
      <c r="AY82" s="90">
        <f t="shared" si="131"/>
        <v>7.3315068793992383E-2</v>
      </c>
      <c r="AZ82" s="90">
        <f t="shared" ref="AZ82:AZ85" si="135">AVERAGE(AT82:AV82)</f>
        <v>20.052342238923529</v>
      </c>
      <c r="BA82" s="90">
        <f>STDEV(AT82:AV82)</f>
        <v>2.0141149345199274</v>
      </c>
      <c r="BB82" s="90">
        <f t="shared" ref="BB82:BB85" si="136">BA82/SQRT(3)</f>
        <v>1.1628497996239255</v>
      </c>
      <c r="BC82" s="99">
        <v>8.0000000000000004E-4</v>
      </c>
    </row>
    <row r="83" spans="3:55">
      <c r="C83" s="58"/>
      <c r="D83" s="58" t="s">
        <v>37</v>
      </c>
      <c r="E83" s="58" t="s">
        <v>34</v>
      </c>
      <c r="F83" s="58">
        <v>15.862</v>
      </c>
      <c r="G83" s="58"/>
      <c r="H83" s="58" t="s">
        <v>37</v>
      </c>
      <c r="I83" s="58" t="s">
        <v>52</v>
      </c>
      <c r="J83" s="58">
        <v>23.033000000000001</v>
      </c>
      <c r="K83" s="58">
        <f>J83-G84</f>
        <v>6.9720000000000013</v>
      </c>
      <c r="L83" s="58">
        <f t="shared" si="121"/>
        <v>7.9656068984233601E-3</v>
      </c>
      <c r="M83" s="58"/>
      <c r="N83" s="58">
        <f t="shared" si="122"/>
        <v>0.92006437842596389</v>
      </c>
      <c r="O83" s="98">
        <v>1</v>
      </c>
      <c r="P83" s="90">
        <v>15.110436004114851</v>
      </c>
      <c r="Q83" s="90">
        <v>15.089503004890098</v>
      </c>
      <c r="R83" s="90">
        <v>15.567586434162436</v>
      </c>
      <c r="S83" s="90">
        <v>34.443027418338438</v>
      </c>
      <c r="T83" s="90">
        <v>30.998791144435422</v>
      </c>
      <c r="U83" s="90">
        <v>32.857254955495321</v>
      </c>
      <c r="V83" s="90">
        <f t="shared" ref="V83:V85" si="137">AVERAGE(P83:R83)</f>
        <v>15.255841814389129</v>
      </c>
      <c r="W83" s="90">
        <f t="shared" ref="W83:W85" si="138">STDEV(P83:R83)</f>
        <v>0.27018156595582005</v>
      </c>
      <c r="X83" s="90">
        <f t="shared" si="127"/>
        <v>0.15598939983466734</v>
      </c>
      <c r="Y83" s="90">
        <f t="shared" si="133"/>
        <v>32.766357839423058</v>
      </c>
      <c r="Z83" s="90">
        <f t="shared" ref="Z83:Z85" si="139">STDEV(S83:U83)</f>
        <v>1.7239163529301598</v>
      </c>
      <c r="AA83" s="90">
        <f t="shared" si="134"/>
        <v>0.99530357042462569</v>
      </c>
      <c r="AB83" s="99" t="s">
        <v>666</v>
      </c>
      <c r="AD83" s="60"/>
      <c r="AE83" s="60" t="s">
        <v>37</v>
      </c>
      <c r="AF83" s="60" t="s">
        <v>34</v>
      </c>
      <c r="AG83" s="60">
        <v>15.657999999999999</v>
      </c>
      <c r="AH83" s="60"/>
      <c r="AI83" s="60" t="s">
        <v>37</v>
      </c>
      <c r="AJ83" s="60" t="s">
        <v>52</v>
      </c>
      <c r="AK83" s="60">
        <v>23.902000000000001</v>
      </c>
      <c r="AL83" s="60">
        <f t="shared" si="124"/>
        <v>8.3830000000000009</v>
      </c>
      <c r="AM83" s="60">
        <f t="shared" si="125"/>
        <v>2.9954739446740077E-3</v>
      </c>
      <c r="AN83" s="60"/>
      <c r="AO83" s="60">
        <f t="shared" si="126"/>
        <v>0.82589368745108704</v>
      </c>
      <c r="AP83" s="98">
        <v>1</v>
      </c>
      <c r="AQ83" s="90">
        <v>71.52428781315507</v>
      </c>
      <c r="AR83" s="90">
        <v>73.637121242712965</v>
      </c>
      <c r="AS83" s="90">
        <v>67.713018237211855</v>
      </c>
      <c r="AT83" s="90">
        <v>107.7612481247082</v>
      </c>
      <c r="AU83" s="90">
        <v>113.43284704644202</v>
      </c>
      <c r="AV83" s="90">
        <v>107.31401233814128</v>
      </c>
      <c r="AW83" s="90">
        <f t="shared" ref="AW83:AW85" si="140">AVERAGE(AQ83:AS83)</f>
        <v>70.95814243102663</v>
      </c>
      <c r="AX83" s="90">
        <f t="shared" ref="AX83:AX85" si="141">STDEV(AQ83:AS83)</f>
        <v>3.0023556668432603</v>
      </c>
      <c r="AY83" s="90">
        <f t="shared" si="131"/>
        <v>1.7334108524549547</v>
      </c>
      <c r="AZ83" s="90">
        <f t="shared" si="135"/>
        <v>109.50270250309717</v>
      </c>
      <c r="BA83" s="90">
        <f t="shared" ref="BA83:BA85" si="142">STDEV(AT83:AV83)</f>
        <v>3.4109429870468402</v>
      </c>
      <c r="BB83" s="90">
        <f t="shared" si="136"/>
        <v>1.9693088517619595</v>
      </c>
      <c r="BC83" s="99" t="s">
        <v>666</v>
      </c>
    </row>
    <row r="84" spans="3:55">
      <c r="C84" s="58"/>
      <c r="D84" s="58" t="s">
        <v>37</v>
      </c>
      <c r="E84" s="58" t="s">
        <v>34</v>
      </c>
      <c r="F84" s="58">
        <v>16.116</v>
      </c>
      <c r="G84" s="58">
        <f>AVERAGE(F82:F84)</f>
        <v>16.061</v>
      </c>
      <c r="H84" s="58" t="s">
        <v>37</v>
      </c>
      <c r="I84" s="58" t="s">
        <v>52</v>
      </c>
      <c r="J84" s="58">
        <v>23.26</v>
      </c>
      <c r="K84" s="58">
        <f>J84-G84</f>
        <v>7.1990000000000016</v>
      </c>
      <c r="L84" s="58">
        <f t="shared" si="121"/>
        <v>6.8058921261113679E-3</v>
      </c>
      <c r="M84" s="58"/>
      <c r="N84" s="58">
        <f t="shared" si="122"/>
        <v>0.78611196717280052</v>
      </c>
      <c r="O84" s="98">
        <v>3</v>
      </c>
      <c r="P84" s="90">
        <v>12.090539510112681</v>
      </c>
      <c r="Q84" s="90">
        <v>12.940367795554167</v>
      </c>
      <c r="R84" s="90">
        <v>12.284836208911193</v>
      </c>
      <c r="S84" s="90">
        <v>23.212125315008411</v>
      </c>
      <c r="T84" s="90">
        <v>27.43235772616443</v>
      </c>
      <c r="U84" s="90">
        <v>22.421435113322694</v>
      </c>
      <c r="V84" s="90">
        <f t="shared" si="137"/>
        <v>12.438581171526012</v>
      </c>
      <c r="W84" s="90">
        <f t="shared" si="138"/>
        <v>0.44528660863670538</v>
      </c>
      <c r="X84" s="90">
        <f t="shared" si="127"/>
        <v>0.2570863433629374</v>
      </c>
      <c r="Y84" s="90">
        <f t="shared" si="133"/>
        <v>24.355306051498513</v>
      </c>
      <c r="Z84" s="90">
        <f t="shared" si="139"/>
        <v>2.693971604375907</v>
      </c>
      <c r="AA84" s="90">
        <f t="shared" si="134"/>
        <v>1.5553652309756381</v>
      </c>
      <c r="AB84" s="99" t="s">
        <v>666</v>
      </c>
      <c r="AD84" s="60"/>
      <c r="AE84" s="60" t="s">
        <v>37</v>
      </c>
      <c r="AF84" s="60" t="s">
        <v>34</v>
      </c>
      <c r="AG84" s="60">
        <v>15.381</v>
      </c>
      <c r="AH84" s="60">
        <f t="shared" si="129"/>
        <v>15.519</v>
      </c>
      <c r="AI84" s="60" t="s">
        <v>37</v>
      </c>
      <c r="AJ84" s="60" t="s">
        <v>52</v>
      </c>
      <c r="AK84" s="60">
        <v>23.655000000000001</v>
      </c>
      <c r="AL84" s="60">
        <f t="shared" si="130"/>
        <v>8.136000000000001</v>
      </c>
      <c r="AM84" s="60">
        <f t="shared" si="125"/>
        <v>3.5548391565660099E-3</v>
      </c>
      <c r="AN84" s="60"/>
      <c r="AO84" s="60">
        <f t="shared" si="126"/>
        <v>0.98011842985044728</v>
      </c>
      <c r="AP84" s="98">
        <v>3</v>
      </c>
      <c r="AQ84" s="90">
        <v>35.074759881188292</v>
      </c>
      <c r="AR84" s="90">
        <v>32.008015386520832</v>
      </c>
      <c r="AS84" s="90">
        <v>31.392789450442162</v>
      </c>
      <c r="AT84" s="90">
        <v>86.603973990169578</v>
      </c>
      <c r="AU84" s="90">
        <v>66.549749113202125</v>
      </c>
      <c r="AV84" s="90">
        <v>80.135040618778973</v>
      </c>
      <c r="AW84" s="90">
        <f t="shared" si="140"/>
        <v>32.825188239383763</v>
      </c>
      <c r="AX84" s="90">
        <f t="shared" si="141"/>
        <v>1.9723222776246068</v>
      </c>
      <c r="AY84" s="90">
        <f t="shared" si="131"/>
        <v>1.1387207979152625</v>
      </c>
      <c r="AZ84" s="90">
        <f t="shared" si="135"/>
        <v>77.762921240716892</v>
      </c>
      <c r="BA84" s="90">
        <f t="shared" si="142"/>
        <v>10.235389421601216</v>
      </c>
      <c r="BB84" s="90">
        <f t="shared" si="136"/>
        <v>5.9094048378221098</v>
      </c>
      <c r="BC84" s="99" t="s">
        <v>666</v>
      </c>
    </row>
    <row r="85" spans="3:55">
      <c r="C85" s="58"/>
      <c r="D85" s="58" t="s">
        <v>39</v>
      </c>
      <c r="E85" s="58" t="s">
        <v>34</v>
      </c>
      <c r="F85" s="58">
        <v>16.13</v>
      </c>
      <c r="G85" s="58"/>
      <c r="H85" s="58" t="s">
        <v>39</v>
      </c>
      <c r="I85" s="58" t="s">
        <v>52</v>
      </c>
      <c r="J85" s="58">
        <v>20.175000000000001</v>
      </c>
      <c r="K85" s="58">
        <f>J85-G87</f>
        <v>3.9713333333333338</v>
      </c>
      <c r="L85" s="58">
        <f t="shared" si="121"/>
        <v>6.3754309127971226E-2</v>
      </c>
      <c r="M85" s="58"/>
      <c r="N85" s="58">
        <f t="shared" si="122"/>
        <v>7.3639170935505049</v>
      </c>
      <c r="O85" s="98">
        <v>6</v>
      </c>
      <c r="P85" s="90">
        <v>12.38458297238434</v>
      </c>
      <c r="Q85" s="90">
        <v>11.904815725741829</v>
      </c>
      <c r="R85" s="90">
        <v>13.23671647953422</v>
      </c>
      <c r="S85" s="90">
        <v>20.765836035199928</v>
      </c>
      <c r="T85" s="90">
        <v>24.626506046533923</v>
      </c>
      <c r="U85" s="90">
        <v>24.935687085663918</v>
      </c>
      <c r="V85" s="90">
        <f t="shared" si="137"/>
        <v>12.508705059220128</v>
      </c>
      <c r="W85" s="90">
        <f t="shared" si="138"/>
        <v>0.67456995472562997</v>
      </c>
      <c r="X85" s="90">
        <f t="shared" si="127"/>
        <v>0.38946314494807616</v>
      </c>
      <c r="Y85" s="90">
        <f t="shared" si="133"/>
        <v>23.44267638913259</v>
      </c>
      <c r="Z85" s="90">
        <f t="shared" si="139"/>
        <v>2.3233604840986533</v>
      </c>
      <c r="AA85" s="90">
        <f t="shared" si="134"/>
        <v>1.3413928009188967</v>
      </c>
      <c r="AB85" s="99" t="s">
        <v>666</v>
      </c>
      <c r="AD85" s="60"/>
      <c r="AE85" s="60" t="s">
        <v>39</v>
      </c>
      <c r="AF85" s="60" t="s">
        <v>34</v>
      </c>
      <c r="AG85" s="60">
        <v>15.827999999999999</v>
      </c>
      <c r="AH85" s="60"/>
      <c r="AI85" s="60" t="s">
        <v>39</v>
      </c>
      <c r="AJ85" s="60" t="s">
        <v>52</v>
      </c>
      <c r="AK85" s="60">
        <v>23.212</v>
      </c>
      <c r="AL85" s="60">
        <f t="shared" si="123"/>
        <v>7.4113333333333333</v>
      </c>
      <c r="AM85" s="60">
        <f t="shared" si="125"/>
        <v>5.8744384635643155E-3</v>
      </c>
      <c r="AN85" s="60"/>
      <c r="AO85" s="60">
        <f t="shared" si="126"/>
        <v>1.6196641112515597</v>
      </c>
      <c r="AP85" s="98">
        <v>6</v>
      </c>
      <c r="AQ85" s="90">
        <v>17.889336672437182</v>
      </c>
      <c r="AR85" s="90">
        <v>18.12649382261592</v>
      </c>
      <c r="AS85" s="90">
        <v>17.753455973954061</v>
      </c>
      <c r="AT85" s="90">
        <v>35.944388510345284</v>
      </c>
      <c r="AU85" s="90">
        <v>34.099877597079299</v>
      </c>
      <c r="AV85" s="90">
        <v>37.367047105305545</v>
      </c>
      <c r="AW85" s="90">
        <f t="shared" si="140"/>
        <v>17.923095489669056</v>
      </c>
      <c r="AX85" s="90">
        <f t="shared" si="141"/>
        <v>0.18879632528001772</v>
      </c>
      <c r="AY85" s="90">
        <f t="shared" si="131"/>
        <v>0.10900160922243038</v>
      </c>
      <c r="AZ85" s="90">
        <f t="shared" si="135"/>
        <v>35.803771070910045</v>
      </c>
      <c r="BA85" s="90">
        <f t="shared" si="142"/>
        <v>1.638117546782228</v>
      </c>
      <c r="BB85" s="90">
        <f t="shared" si="136"/>
        <v>0.94576760659896875</v>
      </c>
      <c r="BC85" s="99" t="s">
        <v>666</v>
      </c>
    </row>
    <row r="86" spans="3:55">
      <c r="C86" s="58"/>
      <c r="D86" s="58" t="s">
        <v>39</v>
      </c>
      <c r="E86" s="58" t="s">
        <v>34</v>
      </c>
      <c r="F86" s="58">
        <v>16.288</v>
      </c>
      <c r="G86" s="58"/>
      <c r="H86" s="58" t="s">
        <v>39</v>
      </c>
      <c r="I86" s="58" t="s">
        <v>52</v>
      </c>
      <c r="J86" s="58">
        <v>20.239999999999998</v>
      </c>
      <c r="K86" s="58">
        <f>J86-G87</f>
        <v>4.0363333333333316</v>
      </c>
      <c r="L86" s="58">
        <f t="shared" si="121"/>
        <v>6.0945633287308155E-2</v>
      </c>
      <c r="M86" s="58"/>
      <c r="N86" s="58">
        <f t="shared" si="122"/>
        <v>7.0395020647281346</v>
      </c>
      <c r="O86" s="90"/>
      <c r="P86" s="90"/>
      <c r="Q86" s="90"/>
      <c r="R86" s="90"/>
      <c r="S86" s="90"/>
      <c r="T86" s="90"/>
      <c r="U86" s="90"/>
      <c r="V86" s="90"/>
      <c r="W86" s="90"/>
      <c r="X86" s="90"/>
      <c r="Y86" s="90"/>
      <c r="Z86" s="90"/>
      <c r="AA86" s="90"/>
      <c r="AB86" s="90"/>
      <c r="AD86" s="60"/>
      <c r="AE86" s="60" t="s">
        <v>39</v>
      </c>
      <c r="AF86" s="60" t="s">
        <v>34</v>
      </c>
      <c r="AG86" s="60">
        <v>15.731</v>
      </c>
      <c r="AH86" s="60"/>
      <c r="AI86" s="60" t="s">
        <v>39</v>
      </c>
      <c r="AJ86" s="60" t="s">
        <v>52</v>
      </c>
      <c r="AK86" s="60">
        <v>23.245000000000001</v>
      </c>
      <c r="AL86" s="60">
        <f t="shared" si="124"/>
        <v>7.4443333333333346</v>
      </c>
      <c r="AM86" s="60">
        <f t="shared" si="125"/>
        <v>5.7415925399439179E-3</v>
      </c>
      <c r="AN86" s="60"/>
      <c r="AO86" s="60">
        <f t="shared" si="126"/>
        <v>1.5830366487036804</v>
      </c>
      <c r="AP86" s="90"/>
      <c r="AQ86" s="90"/>
      <c r="AR86" s="90"/>
      <c r="AS86" s="90"/>
      <c r="AT86" s="90"/>
      <c r="AU86" s="90"/>
      <c r="AV86" s="90"/>
      <c r="AW86" s="90"/>
      <c r="AX86" s="90"/>
      <c r="AY86" s="90"/>
      <c r="AZ86" s="90"/>
      <c r="BA86" s="90"/>
      <c r="BB86" s="90"/>
      <c r="BC86" s="90"/>
    </row>
    <row r="87" spans="3:55">
      <c r="C87" s="58"/>
      <c r="D87" s="58" t="s">
        <v>39</v>
      </c>
      <c r="E87" s="58" t="s">
        <v>34</v>
      </c>
      <c r="F87" s="58">
        <v>16.193000000000001</v>
      </c>
      <c r="G87" s="58">
        <f>AVERAGE(F85:F87)</f>
        <v>16.203666666666667</v>
      </c>
      <c r="H87" s="58" t="s">
        <v>39</v>
      </c>
      <c r="I87" s="58" t="s">
        <v>52</v>
      </c>
      <c r="J87" s="58">
        <v>20.117000000000001</v>
      </c>
      <c r="K87" s="58">
        <f>J87-G87</f>
        <v>3.913333333333334</v>
      </c>
      <c r="L87" s="58">
        <f t="shared" si="121"/>
        <v>6.6369612747647327E-2</v>
      </c>
      <c r="M87" s="58"/>
      <c r="N87" s="58">
        <f t="shared" si="122"/>
        <v>7.6659967379412848</v>
      </c>
      <c r="O87" s="58"/>
      <c r="P87" s="58"/>
      <c r="Q87" s="58"/>
      <c r="R87" s="58"/>
      <c r="S87" s="58"/>
      <c r="T87" s="58"/>
      <c r="U87" s="58"/>
      <c r="AD87" s="60"/>
      <c r="AE87" s="60" t="s">
        <v>39</v>
      </c>
      <c r="AF87" s="60" t="s">
        <v>34</v>
      </c>
      <c r="AG87" s="60">
        <v>15.843</v>
      </c>
      <c r="AH87" s="60">
        <f t="shared" si="129"/>
        <v>15.800666666666666</v>
      </c>
      <c r="AI87" s="60" t="s">
        <v>39</v>
      </c>
      <c r="AJ87" s="60" t="s">
        <v>52</v>
      </c>
      <c r="AK87" s="60">
        <v>23.31</v>
      </c>
      <c r="AL87" s="60">
        <f t="shared" si="130"/>
        <v>7.5093333333333323</v>
      </c>
      <c r="AM87" s="60">
        <f t="shared" si="125"/>
        <v>5.4886485040905562E-3</v>
      </c>
      <c r="AN87" s="60"/>
      <c r="AO87" s="60">
        <f t="shared" si="126"/>
        <v>1.513296471907575</v>
      </c>
      <c r="AP87" s="90"/>
      <c r="AQ87" s="90"/>
      <c r="AR87" s="90"/>
      <c r="AS87" s="90"/>
      <c r="AT87" s="90"/>
      <c r="AU87" s="90"/>
      <c r="AV87" s="90"/>
      <c r="AW87" s="90"/>
      <c r="AX87" s="90"/>
      <c r="AY87" s="90"/>
      <c r="AZ87" s="90"/>
      <c r="BA87" s="90"/>
      <c r="BB87" s="90"/>
      <c r="BC87" s="90"/>
    </row>
    <row r="88" spans="3:55">
      <c r="C88" s="58"/>
      <c r="D88" s="58" t="s">
        <v>40</v>
      </c>
      <c r="E88" s="58" t="s">
        <v>34</v>
      </c>
      <c r="F88" s="58">
        <v>17.018000000000001</v>
      </c>
      <c r="G88" s="58"/>
      <c r="H88" s="58" t="s">
        <v>40</v>
      </c>
      <c r="I88" s="58" t="s">
        <v>52</v>
      </c>
      <c r="J88" s="58">
        <v>20.286999999999999</v>
      </c>
      <c r="K88" s="58">
        <f>J88-G90</f>
        <v>3.233666666666668</v>
      </c>
      <c r="L88" s="58">
        <f t="shared" si="121"/>
        <v>0.10630882972586297</v>
      </c>
      <c r="M88" s="58"/>
      <c r="N88" s="58">
        <f t="shared" si="122"/>
        <v>12.279160720607186</v>
      </c>
      <c r="O88" s="58"/>
      <c r="P88" s="58"/>
      <c r="Q88" s="58"/>
      <c r="R88" s="58"/>
      <c r="S88" s="58"/>
      <c r="T88" s="58"/>
      <c r="U88" s="58"/>
      <c r="AD88" s="60"/>
      <c r="AE88" s="60" t="s">
        <v>40</v>
      </c>
      <c r="AF88" s="60" t="s">
        <v>34</v>
      </c>
      <c r="AG88" s="60">
        <v>16.3</v>
      </c>
      <c r="AH88" s="60"/>
      <c r="AI88" s="60" t="s">
        <v>40</v>
      </c>
      <c r="AJ88" s="60" t="s">
        <v>52</v>
      </c>
      <c r="AK88" s="60">
        <v>22.013999999999999</v>
      </c>
      <c r="AL88" s="60">
        <f t="shared" si="123"/>
        <v>5.8930000000000007</v>
      </c>
      <c r="AM88" s="60">
        <f t="shared" si="125"/>
        <v>1.6827912128016379E-2</v>
      </c>
      <c r="AN88" s="60"/>
      <c r="AO88" s="60">
        <f t="shared" si="126"/>
        <v>4.6396886289801529</v>
      </c>
      <c r="AP88" s="60"/>
      <c r="AQ88" s="60"/>
      <c r="AR88" s="60"/>
      <c r="AS88" s="60"/>
      <c r="AT88" s="60"/>
      <c r="AU88" s="60"/>
      <c r="AV88" s="60"/>
    </row>
    <row r="89" spans="3:55">
      <c r="C89" s="58"/>
      <c r="D89" s="58" t="s">
        <v>40</v>
      </c>
      <c r="E89" s="58" t="s">
        <v>34</v>
      </c>
      <c r="F89" s="58">
        <v>17.073</v>
      </c>
      <c r="G89" s="58"/>
      <c r="H89" s="58" t="s">
        <v>40</v>
      </c>
      <c r="I89" s="58" t="s">
        <v>52</v>
      </c>
      <c r="J89" s="58">
        <v>20.183</v>
      </c>
      <c r="K89" s="58">
        <f>J89-G90</f>
        <v>3.1296666666666688</v>
      </c>
      <c r="L89" s="58">
        <f t="shared" si="121"/>
        <v>0.1142553268151075</v>
      </c>
      <c r="M89" s="58"/>
      <c r="N89" s="58">
        <f t="shared" si="122"/>
        <v>13.197017827832328</v>
      </c>
      <c r="O89" s="58"/>
      <c r="P89" s="58"/>
      <c r="Q89" s="58"/>
      <c r="R89" s="58"/>
      <c r="S89" s="58"/>
      <c r="T89" s="58"/>
      <c r="U89" s="58"/>
      <c r="AD89" s="60"/>
      <c r="AE89" s="60" t="s">
        <v>40</v>
      </c>
      <c r="AF89" s="60" t="s">
        <v>34</v>
      </c>
      <c r="AG89" s="60">
        <v>16.170999999999999</v>
      </c>
      <c r="AH89" s="60"/>
      <c r="AI89" s="60" t="s">
        <v>40</v>
      </c>
      <c r="AJ89" s="60" t="s">
        <v>52</v>
      </c>
      <c r="AK89" s="60">
        <v>22.175999999999998</v>
      </c>
      <c r="AL89" s="60">
        <f t="shared" si="124"/>
        <v>6.0549999999999997</v>
      </c>
      <c r="AM89" s="60">
        <f t="shared" si="125"/>
        <v>1.5040538173464867E-2</v>
      </c>
      <c r="AN89" s="60"/>
      <c r="AO89" s="60">
        <f t="shared" si="126"/>
        <v>4.1468848545379648</v>
      </c>
      <c r="AP89" s="60"/>
      <c r="AQ89" s="60"/>
      <c r="AR89" s="60"/>
      <c r="AS89" s="60"/>
      <c r="AT89" s="60"/>
      <c r="AU89" s="60"/>
      <c r="AV89" s="60"/>
    </row>
    <row r="90" spans="3:55">
      <c r="C90" s="58"/>
      <c r="D90" s="58" t="s">
        <v>40</v>
      </c>
      <c r="E90" s="58" t="s">
        <v>34</v>
      </c>
      <c r="F90" s="58">
        <v>17.068999999999999</v>
      </c>
      <c r="G90" s="58">
        <f>AVERAGE(F88:F90)</f>
        <v>17.053333333333331</v>
      </c>
      <c r="H90" s="58" t="s">
        <v>40</v>
      </c>
      <c r="I90" s="58" t="s">
        <v>52</v>
      </c>
      <c r="J90" s="58">
        <v>20.27</v>
      </c>
      <c r="K90" s="58">
        <f>J90-G90</f>
        <v>3.2166666666666686</v>
      </c>
      <c r="L90" s="58">
        <f t="shared" si="121"/>
        <v>0.10756892965554116</v>
      </c>
      <c r="M90" s="58"/>
      <c r="N90" s="58">
        <f t="shared" si="122"/>
        <v>12.424708081070509</v>
      </c>
      <c r="O90" s="58"/>
      <c r="P90" s="58"/>
      <c r="Q90" s="58"/>
      <c r="R90" s="58"/>
      <c r="S90" s="58"/>
      <c r="T90" s="58"/>
      <c r="U90" s="58"/>
      <c r="AD90" s="60"/>
      <c r="AE90" s="60" t="s">
        <v>40</v>
      </c>
      <c r="AF90" s="60" t="s">
        <v>34</v>
      </c>
      <c r="AG90" s="60">
        <v>15.891999999999999</v>
      </c>
      <c r="AH90" s="60">
        <f t="shared" si="129"/>
        <v>16.120999999999999</v>
      </c>
      <c r="AI90" s="60" t="s">
        <v>40</v>
      </c>
      <c r="AJ90" s="60" t="s">
        <v>52</v>
      </c>
      <c r="AK90" s="60">
        <v>22.097000000000001</v>
      </c>
      <c r="AL90" s="60">
        <f t="shared" si="130"/>
        <v>5.9760000000000026</v>
      </c>
      <c r="AM90" s="60">
        <f t="shared" si="125"/>
        <v>1.5887104270186792E-2</v>
      </c>
      <c r="AN90" s="60"/>
      <c r="AO90" s="60">
        <f t="shared" si="126"/>
        <v>4.3802948618377728</v>
      </c>
      <c r="AP90" s="60"/>
      <c r="AQ90" s="60"/>
      <c r="AR90" s="60"/>
      <c r="AS90" s="60"/>
      <c r="AT90" s="60"/>
      <c r="AU90" s="60"/>
      <c r="AV90" s="60"/>
    </row>
    <row r="91" spans="3:55">
      <c r="C91" s="58"/>
      <c r="D91" s="58" t="s">
        <v>41</v>
      </c>
      <c r="E91" s="58" t="s">
        <v>34</v>
      </c>
      <c r="F91" s="58">
        <v>15.981999999999999</v>
      </c>
      <c r="G91" s="58"/>
      <c r="H91" s="58" t="s">
        <v>41</v>
      </c>
      <c r="I91" s="58" t="s">
        <v>52</v>
      </c>
      <c r="J91" s="58">
        <v>20.158000000000001</v>
      </c>
      <c r="K91" s="58">
        <f>J91-G93</f>
        <v>4.2070000000000025</v>
      </c>
      <c r="L91" s="58">
        <f t="shared" si="121"/>
        <v>5.4146053525005379E-2</v>
      </c>
      <c r="M91" s="58"/>
      <c r="N91" s="58">
        <f t="shared" si="122"/>
        <v>6.2541192047229375</v>
      </c>
      <c r="O91" s="58"/>
      <c r="P91" s="59"/>
      <c r="Q91" s="58"/>
      <c r="R91" s="58"/>
      <c r="S91" s="58"/>
      <c r="T91" s="58"/>
      <c r="U91" s="58"/>
      <c r="AD91" s="60"/>
      <c r="AE91" s="60" t="s">
        <v>41</v>
      </c>
      <c r="AF91" s="60" t="s">
        <v>34</v>
      </c>
      <c r="AG91" s="60">
        <v>15.49</v>
      </c>
      <c r="AH91" s="60"/>
      <c r="AI91" s="60" t="s">
        <v>41</v>
      </c>
      <c r="AJ91" s="60" t="s">
        <v>52</v>
      </c>
      <c r="AK91" s="60">
        <v>20.858000000000001</v>
      </c>
      <c r="AL91" s="60">
        <f t="shared" si="123"/>
        <v>5.1733333333333338</v>
      </c>
      <c r="AM91" s="60">
        <f t="shared" si="125"/>
        <v>2.7712230911349695E-2</v>
      </c>
      <c r="AN91" s="60"/>
      <c r="AO91" s="60">
        <f t="shared" si="126"/>
        <v>7.6406461874137213</v>
      </c>
      <c r="AP91" s="60"/>
      <c r="AQ91" s="60"/>
      <c r="AR91" s="60"/>
      <c r="AS91" s="60"/>
      <c r="AT91" s="60"/>
      <c r="AU91" s="60"/>
      <c r="AV91" s="60"/>
    </row>
    <row r="92" spans="3:55">
      <c r="C92" s="58"/>
      <c r="D92" s="58" t="s">
        <v>41</v>
      </c>
      <c r="E92" s="58" t="s">
        <v>34</v>
      </c>
      <c r="F92" s="58">
        <v>15.824999999999999</v>
      </c>
      <c r="G92" s="58"/>
      <c r="H92" s="58" t="s">
        <v>41</v>
      </c>
      <c r="I92" s="58" t="s">
        <v>52</v>
      </c>
      <c r="J92" s="58">
        <v>20.224</v>
      </c>
      <c r="K92" s="58">
        <f>J92-G93</f>
        <v>4.2730000000000015</v>
      </c>
      <c r="L92" s="58">
        <f t="shared" si="121"/>
        <v>5.1724801004887792E-2</v>
      </c>
      <c r="M92" s="58"/>
      <c r="N92" s="58">
        <f t="shared" si="122"/>
        <v>5.9744533583735251</v>
      </c>
      <c r="O92" s="58"/>
      <c r="P92" s="59"/>
      <c r="Q92" s="58"/>
      <c r="R92" s="58"/>
      <c r="S92" s="58"/>
      <c r="T92" s="58"/>
      <c r="U92" s="58"/>
      <c r="AD92" s="60"/>
      <c r="AE92" s="60" t="s">
        <v>41</v>
      </c>
      <c r="AF92" s="60" t="s">
        <v>34</v>
      </c>
      <c r="AG92" s="60">
        <v>15.766</v>
      </c>
      <c r="AH92" s="60"/>
      <c r="AI92" s="60" t="s">
        <v>41</v>
      </c>
      <c r="AJ92" s="60" t="s">
        <v>52</v>
      </c>
      <c r="AK92" s="60">
        <v>20.898</v>
      </c>
      <c r="AL92" s="60">
        <f t="shared" si="124"/>
        <v>5.2133333333333329</v>
      </c>
      <c r="AM92" s="60">
        <f t="shared" si="125"/>
        <v>2.6954438499755966E-2</v>
      </c>
      <c r="AN92" s="60"/>
      <c r="AO92" s="60">
        <f t="shared" si="126"/>
        <v>7.431712315614778</v>
      </c>
      <c r="AP92" s="60"/>
      <c r="AQ92" s="60"/>
      <c r="AR92" s="60"/>
      <c r="AS92" s="60"/>
      <c r="AT92" s="60"/>
      <c r="AU92" s="60"/>
      <c r="AV92" s="60"/>
    </row>
    <row r="93" spans="3:55">
      <c r="C93" s="58"/>
      <c r="D93" s="58" t="s">
        <v>41</v>
      </c>
      <c r="E93" s="58" t="s">
        <v>34</v>
      </c>
      <c r="F93" s="58">
        <v>16.045999999999999</v>
      </c>
      <c r="G93" s="58">
        <f>AVERAGE(F91:F93)</f>
        <v>15.950999999999999</v>
      </c>
      <c r="H93" s="58" t="s">
        <v>41</v>
      </c>
      <c r="I93" s="58" t="s">
        <v>52</v>
      </c>
      <c r="J93" s="58">
        <v>20.210999999999999</v>
      </c>
      <c r="K93" s="58">
        <f>J93-G93</f>
        <v>4.26</v>
      </c>
      <c r="L93" s="58">
        <f t="shared" si="121"/>
        <v>5.2192994964273098E-2</v>
      </c>
      <c r="M93" s="58"/>
      <c r="N93" s="58">
        <f t="shared" si="122"/>
        <v>6.0285319225956551</v>
      </c>
      <c r="O93" s="58"/>
      <c r="P93" s="59"/>
      <c r="Q93" s="58"/>
      <c r="R93" s="58"/>
      <c r="S93" s="58"/>
      <c r="T93" s="58"/>
      <c r="U93" s="58"/>
      <c r="AD93" s="60"/>
      <c r="AE93" s="60" t="s">
        <v>41</v>
      </c>
      <c r="AF93" s="60" t="s">
        <v>34</v>
      </c>
      <c r="AG93" s="60">
        <v>15.798</v>
      </c>
      <c r="AH93" s="60">
        <f t="shared" si="129"/>
        <v>15.684666666666667</v>
      </c>
      <c r="AI93" s="60" t="s">
        <v>41</v>
      </c>
      <c r="AJ93" s="60" t="s">
        <v>52</v>
      </c>
      <c r="AK93" s="60">
        <v>20.902000000000001</v>
      </c>
      <c r="AL93" s="60">
        <f t="shared" si="130"/>
        <v>5.2173333333333343</v>
      </c>
      <c r="AM93" s="60">
        <f t="shared" si="125"/>
        <v>2.6879808434604024E-2</v>
      </c>
      <c r="AN93" s="60"/>
      <c r="AO93" s="60">
        <f t="shared" si="126"/>
        <v>7.4111357721891062</v>
      </c>
      <c r="AP93" s="60"/>
      <c r="AQ93" s="60"/>
      <c r="AR93" s="60"/>
      <c r="AS93" s="60"/>
      <c r="AT93" s="60"/>
      <c r="AU93" s="60"/>
      <c r="AV93" s="60"/>
    </row>
    <row r="94" spans="3:55">
      <c r="C94" s="58"/>
      <c r="D94" s="58" t="s">
        <v>42</v>
      </c>
      <c r="E94" s="58" t="s">
        <v>34</v>
      </c>
      <c r="F94" s="58">
        <v>17.042999999999999</v>
      </c>
      <c r="G94" s="58"/>
      <c r="H94" s="58" t="s">
        <v>42</v>
      </c>
      <c r="I94" s="58" t="s">
        <v>52</v>
      </c>
      <c r="J94" s="58">
        <v>19.992999999999999</v>
      </c>
      <c r="K94" s="58">
        <f>J94-G96</f>
        <v>2.977999999999998</v>
      </c>
      <c r="L94" s="58">
        <f t="shared" si="121"/>
        <v>0.12692076260867888</v>
      </c>
      <c r="M94" s="58"/>
      <c r="N94" s="58">
        <f t="shared" si="122"/>
        <v>14.659934145384064</v>
      </c>
      <c r="O94" s="58"/>
      <c r="P94" s="59"/>
      <c r="Q94" s="58"/>
      <c r="R94" s="58"/>
      <c r="S94" s="58"/>
      <c r="T94" s="58"/>
      <c r="U94" s="58"/>
      <c r="AD94" s="60"/>
      <c r="AE94" s="60" t="s">
        <v>42</v>
      </c>
      <c r="AF94" s="60" t="s">
        <v>34</v>
      </c>
      <c r="AG94" s="60">
        <v>15.654</v>
      </c>
      <c r="AH94" s="60"/>
      <c r="AI94" s="60" t="s">
        <v>42</v>
      </c>
      <c r="AJ94" s="60" t="s">
        <v>52</v>
      </c>
      <c r="AK94" s="60">
        <v>19.605</v>
      </c>
      <c r="AL94" s="60">
        <f t="shared" si="123"/>
        <v>3.9520000000000017</v>
      </c>
      <c r="AM94" s="60">
        <f t="shared" si="125"/>
        <v>6.4614421015497706E-2</v>
      </c>
      <c r="AN94" s="60"/>
      <c r="AO94" s="60">
        <f t="shared" si="126"/>
        <v>17.815091508270154</v>
      </c>
      <c r="AP94" s="60"/>
      <c r="AQ94" s="60"/>
      <c r="AR94" s="60"/>
      <c r="AS94" s="60"/>
      <c r="AT94" s="60"/>
      <c r="AU94" s="60"/>
      <c r="AV94" s="60"/>
    </row>
    <row r="95" spans="3:55">
      <c r="C95" s="58"/>
      <c r="D95" s="58" t="s">
        <v>42</v>
      </c>
      <c r="E95" s="58" t="s">
        <v>34</v>
      </c>
      <c r="F95" s="58">
        <v>16.882999999999999</v>
      </c>
      <c r="G95" s="58"/>
      <c r="H95" s="58" t="s">
        <v>42</v>
      </c>
      <c r="I95" s="58" t="s">
        <v>52</v>
      </c>
      <c r="J95" s="58">
        <v>19.788</v>
      </c>
      <c r="K95" s="58">
        <f>J95-G96</f>
        <v>2.7729999999999997</v>
      </c>
      <c r="L95" s="58">
        <f t="shared" si="121"/>
        <v>0.1462998301843238</v>
      </c>
      <c r="M95" s="58"/>
      <c r="N95" s="58">
        <f t="shared" si="122"/>
        <v>16.898305934354667</v>
      </c>
      <c r="O95" s="58"/>
      <c r="P95" s="59"/>
      <c r="Q95" s="58"/>
      <c r="R95" s="58"/>
      <c r="S95" s="58"/>
      <c r="T95" s="58"/>
      <c r="U95" s="58"/>
      <c r="AD95" s="60"/>
      <c r="AE95" s="60" t="s">
        <v>42</v>
      </c>
      <c r="AF95" s="60" t="s">
        <v>34</v>
      </c>
      <c r="AG95" s="60">
        <v>15.651999999999999</v>
      </c>
      <c r="AH95" s="60"/>
      <c r="AI95" s="60" t="s">
        <v>42</v>
      </c>
      <c r="AJ95" s="60" t="s">
        <v>52</v>
      </c>
      <c r="AK95" s="60">
        <v>19.318999999999999</v>
      </c>
      <c r="AL95" s="60">
        <f t="shared" si="124"/>
        <v>3.6660000000000004</v>
      </c>
      <c r="AM95" s="60">
        <f t="shared" si="125"/>
        <v>7.8781461973936581E-2</v>
      </c>
      <c r="AN95" s="60"/>
      <c r="AO95" s="60">
        <f t="shared" si="126"/>
        <v>21.721141072893893</v>
      </c>
      <c r="AP95" s="60"/>
      <c r="AQ95" s="60"/>
      <c r="AR95" s="60"/>
      <c r="AS95" s="60"/>
      <c r="AT95" s="60"/>
      <c r="AU95" s="60"/>
      <c r="AV95" s="60"/>
    </row>
    <row r="96" spans="3:55">
      <c r="C96" s="58"/>
      <c r="D96" s="58" t="s">
        <v>42</v>
      </c>
      <c r="E96" s="58" t="s">
        <v>34</v>
      </c>
      <c r="F96" s="58">
        <v>17.119</v>
      </c>
      <c r="G96" s="58">
        <f>AVERAGE(F94:F96)</f>
        <v>17.015000000000001</v>
      </c>
      <c r="H96" s="58" t="s">
        <v>42</v>
      </c>
      <c r="I96" s="58" t="s">
        <v>52</v>
      </c>
      <c r="J96" s="58">
        <v>19.905000000000001</v>
      </c>
      <c r="K96" s="58">
        <f>J96-G96</f>
        <v>2.8900000000000006</v>
      </c>
      <c r="L96" s="58">
        <f t="shared" si="121"/>
        <v>0.13490352956305335</v>
      </c>
      <c r="M96" s="58"/>
      <c r="N96" s="58">
        <f t="shared" si="122"/>
        <v>15.581980589509946</v>
      </c>
      <c r="O96" s="58"/>
      <c r="P96" s="59"/>
      <c r="Q96" s="58"/>
      <c r="R96" s="58"/>
      <c r="S96" s="58"/>
      <c r="T96" s="58"/>
      <c r="U96" s="58"/>
      <c r="AD96" s="60"/>
      <c r="AE96" s="60" t="s">
        <v>42</v>
      </c>
      <c r="AF96" s="60" t="s">
        <v>34</v>
      </c>
      <c r="AG96" s="60">
        <v>15.653</v>
      </c>
      <c r="AH96" s="60">
        <f t="shared" si="129"/>
        <v>15.652999999999999</v>
      </c>
      <c r="AI96" s="60" t="s">
        <v>42</v>
      </c>
      <c r="AJ96" s="60" t="s">
        <v>52</v>
      </c>
      <c r="AK96" s="60">
        <v>19.393999999999998</v>
      </c>
      <c r="AL96" s="60">
        <f t="shared" si="130"/>
        <v>3.7409999999999997</v>
      </c>
      <c r="AM96" s="60">
        <f t="shared" si="125"/>
        <v>7.4790560201919695E-2</v>
      </c>
      <c r="AN96" s="60"/>
      <c r="AO96" s="60">
        <f t="shared" si="126"/>
        <v>20.620794135606541</v>
      </c>
      <c r="AP96" s="60"/>
      <c r="AQ96" s="60"/>
      <c r="AR96" s="60"/>
      <c r="AS96" s="60"/>
      <c r="AT96" s="60"/>
      <c r="AU96" s="60"/>
      <c r="AV96" s="60"/>
    </row>
    <row r="97" spans="3:48">
      <c r="C97" s="58"/>
      <c r="D97" s="58" t="s">
        <v>43</v>
      </c>
      <c r="E97" s="58" t="s">
        <v>34</v>
      </c>
      <c r="F97" s="58">
        <v>16.722999999999999</v>
      </c>
      <c r="G97" s="58"/>
      <c r="H97" s="58" t="s">
        <v>43</v>
      </c>
      <c r="I97" s="58" t="s">
        <v>52</v>
      </c>
      <c r="J97" s="58">
        <v>19.600999999999999</v>
      </c>
      <c r="K97" s="58">
        <f>J97-G99</f>
        <v>2.9343333333333312</v>
      </c>
      <c r="L97" s="58">
        <f t="shared" si="121"/>
        <v>0.1308210556727335</v>
      </c>
      <c r="M97" s="58"/>
      <c r="N97" s="58">
        <f t="shared" si="122"/>
        <v>15.110436004114851</v>
      </c>
      <c r="O97" s="58"/>
      <c r="P97" s="58"/>
      <c r="Q97" s="58"/>
      <c r="R97" s="58"/>
      <c r="S97" s="58"/>
      <c r="T97" s="58"/>
      <c r="U97" s="58"/>
      <c r="AD97" s="60"/>
      <c r="AE97" s="60" t="s">
        <v>43</v>
      </c>
      <c r="AF97" s="60" t="s">
        <v>34</v>
      </c>
      <c r="AG97" s="60">
        <v>16.417999999999999</v>
      </c>
      <c r="AH97" s="60"/>
      <c r="AI97" s="60" t="s">
        <v>43</v>
      </c>
      <c r="AJ97" s="60" t="s">
        <v>52</v>
      </c>
      <c r="AK97" s="60">
        <v>18.419</v>
      </c>
      <c r="AL97" s="60">
        <f t="shared" si="123"/>
        <v>1.9466666666666654</v>
      </c>
      <c r="AM97" s="60">
        <f t="shared" si="125"/>
        <v>0.25941491478993706</v>
      </c>
      <c r="AN97" s="60"/>
      <c r="AO97" s="60">
        <f t="shared" si="126"/>
        <v>71.52428781315507</v>
      </c>
      <c r="AP97" s="60"/>
      <c r="AQ97" s="60"/>
      <c r="AR97" s="60"/>
      <c r="AS97" s="60"/>
      <c r="AT97" s="60"/>
      <c r="AU97" s="60"/>
      <c r="AV97" s="60"/>
    </row>
    <row r="98" spans="3:48">
      <c r="C98" s="58"/>
      <c r="D98" s="58" t="s">
        <v>43</v>
      </c>
      <c r="E98" s="58" t="s">
        <v>34</v>
      </c>
      <c r="F98" s="58">
        <v>16.625</v>
      </c>
      <c r="G98" s="58"/>
      <c r="H98" s="58" t="s">
        <v>43</v>
      </c>
      <c r="I98" s="58" t="s">
        <v>52</v>
      </c>
      <c r="J98" s="58">
        <v>19.603000000000002</v>
      </c>
      <c r="K98" s="58">
        <f>J98-G99</f>
        <v>2.9363333333333337</v>
      </c>
      <c r="L98" s="58">
        <f t="shared" si="121"/>
        <v>0.1306398248296107</v>
      </c>
      <c r="M98" s="58"/>
      <c r="N98" s="58">
        <f t="shared" si="122"/>
        <v>15.089503004890098</v>
      </c>
      <c r="O98" s="58"/>
      <c r="P98" s="58"/>
      <c r="Q98" s="58"/>
      <c r="R98" s="58"/>
      <c r="S98" s="58"/>
      <c r="T98" s="58"/>
      <c r="U98" s="58"/>
      <c r="AD98" s="60"/>
      <c r="AE98" s="60" t="s">
        <v>43</v>
      </c>
      <c r="AF98" s="60" t="s">
        <v>34</v>
      </c>
      <c r="AG98" s="60">
        <v>16.619</v>
      </c>
      <c r="AH98" s="60"/>
      <c r="AI98" s="60" t="s">
        <v>43</v>
      </c>
      <c r="AJ98" s="60" t="s">
        <v>52</v>
      </c>
      <c r="AK98" s="60">
        <v>18.376999999999999</v>
      </c>
      <c r="AL98" s="60">
        <f t="shared" si="124"/>
        <v>1.9046666666666638</v>
      </c>
      <c r="AM98" s="60">
        <f t="shared" si="125"/>
        <v>0.26707805301685533</v>
      </c>
      <c r="AN98" s="60"/>
      <c r="AO98" s="60">
        <f t="shared" si="126"/>
        <v>73.637121242712965</v>
      </c>
      <c r="AP98" s="60"/>
      <c r="AQ98" s="60"/>
      <c r="AR98" s="60"/>
      <c r="AS98" s="60"/>
      <c r="AT98" s="60"/>
      <c r="AU98" s="60"/>
      <c r="AV98" s="60"/>
    </row>
    <row r="99" spans="3:48">
      <c r="C99" s="58"/>
      <c r="D99" s="58" t="s">
        <v>43</v>
      </c>
      <c r="E99" s="58" t="s">
        <v>34</v>
      </c>
      <c r="F99" s="58">
        <v>16.652000000000001</v>
      </c>
      <c r="G99" s="58">
        <f>AVERAGE(F97:F99)</f>
        <v>16.666666666666668</v>
      </c>
      <c r="H99" s="58" t="s">
        <v>43</v>
      </c>
      <c r="I99" s="58" t="s">
        <v>52</v>
      </c>
      <c r="J99" s="58">
        <v>19.558</v>
      </c>
      <c r="K99" s="58">
        <f>J99-G99</f>
        <v>2.891333333333332</v>
      </c>
      <c r="L99" s="58">
        <f t="shared" si="121"/>
        <v>0.13477890982358548</v>
      </c>
      <c r="M99" s="58"/>
      <c r="N99" s="58">
        <f t="shared" si="122"/>
        <v>15.567586434162436</v>
      </c>
      <c r="O99" s="58"/>
      <c r="P99" s="58"/>
      <c r="Q99" s="58"/>
      <c r="R99" s="58"/>
      <c r="S99" s="58"/>
      <c r="T99" s="58"/>
      <c r="U99" s="58"/>
      <c r="AD99" s="60"/>
      <c r="AE99" s="60" t="s">
        <v>43</v>
      </c>
      <c r="AF99" s="60" t="s">
        <v>34</v>
      </c>
      <c r="AG99" s="60">
        <v>16.38</v>
      </c>
      <c r="AH99" s="60">
        <f t="shared" ref="AH99:AH114" si="143">AVERAGE(AG97:AG99)</f>
        <v>16.472333333333335</v>
      </c>
      <c r="AI99" s="60" t="s">
        <v>43</v>
      </c>
      <c r="AJ99" s="60" t="s">
        <v>52</v>
      </c>
      <c r="AK99" s="60">
        <v>18.498000000000001</v>
      </c>
      <c r="AL99" s="60">
        <f t="shared" si="130"/>
        <v>2.0256666666666661</v>
      </c>
      <c r="AM99" s="60">
        <f t="shared" si="125"/>
        <v>0.24559163597774394</v>
      </c>
      <c r="AN99" s="60"/>
      <c r="AO99" s="60">
        <f t="shared" si="126"/>
        <v>67.713018237211855</v>
      </c>
      <c r="AP99" s="60"/>
      <c r="AQ99" s="60"/>
      <c r="AR99" s="60"/>
      <c r="AS99" s="60"/>
      <c r="AT99" s="60"/>
      <c r="AU99" s="60"/>
      <c r="AV99" s="60"/>
    </row>
    <row r="100" spans="3:48">
      <c r="C100" s="58"/>
      <c r="D100" s="58" t="s">
        <v>44</v>
      </c>
      <c r="E100" s="58" t="s">
        <v>34</v>
      </c>
      <c r="F100" s="58">
        <v>17.332999999999998</v>
      </c>
      <c r="G100" s="58"/>
      <c r="H100" s="58" t="s">
        <v>44</v>
      </c>
      <c r="I100" s="58" t="s">
        <v>52</v>
      </c>
      <c r="J100" s="58">
        <v>19.09</v>
      </c>
      <c r="K100" s="58">
        <f>J100-G102</f>
        <v>1.7456666666666649</v>
      </c>
      <c r="L100" s="58">
        <f t="shared" si="121"/>
        <v>0.29819610805438751</v>
      </c>
      <c r="M100" s="58"/>
      <c r="N100" s="58">
        <f t="shared" si="122"/>
        <v>34.443027418338438</v>
      </c>
      <c r="O100" s="58"/>
      <c r="P100" s="58"/>
      <c r="Q100" s="58"/>
      <c r="R100" s="58"/>
      <c r="S100" s="58"/>
      <c r="T100" s="58"/>
      <c r="U100" s="58"/>
      <c r="AD100" s="60"/>
      <c r="AE100" s="60" t="s">
        <v>44</v>
      </c>
      <c r="AF100" s="60" t="s">
        <v>34</v>
      </c>
      <c r="AG100" s="60">
        <v>16.939</v>
      </c>
      <c r="AH100" s="60"/>
      <c r="AI100" s="60" t="s">
        <v>44</v>
      </c>
      <c r="AJ100" s="60" t="s">
        <v>52</v>
      </c>
      <c r="AK100" s="60">
        <v>18.274000000000001</v>
      </c>
      <c r="AL100" s="60">
        <f t="shared" si="123"/>
        <v>1.3553333333333342</v>
      </c>
      <c r="AM100" s="60">
        <f t="shared" si="125"/>
        <v>0.39084450687514372</v>
      </c>
      <c r="AN100" s="60"/>
      <c r="AO100" s="60">
        <f t="shared" si="126"/>
        <v>107.7612481247082</v>
      </c>
      <c r="AP100" s="60"/>
      <c r="AQ100" s="60"/>
      <c r="AR100" s="60"/>
      <c r="AS100" s="60"/>
      <c r="AT100" s="60"/>
      <c r="AU100" s="60"/>
      <c r="AV100" s="60"/>
    </row>
    <row r="101" spans="3:48">
      <c r="C101" s="58"/>
      <c r="D101" s="58" t="s">
        <v>44</v>
      </c>
      <c r="E101" s="58" t="s">
        <v>34</v>
      </c>
      <c r="F101" s="58">
        <v>17.324000000000002</v>
      </c>
      <c r="G101" s="58"/>
      <c r="H101" s="58" t="s">
        <v>44</v>
      </c>
      <c r="I101" s="58" t="s">
        <v>52</v>
      </c>
      <c r="J101" s="58">
        <v>19.242000000000001</v>
      </c>
      <c r="K101" s="58">
        <f>J101-G102</f>
        <v>1.8976666666666659</v>
      </c>
      <c r="L101" s="58">
        <f t="shared" si="121"/>
        <v>0.2683770727058632</v>
      </c>
      <c r="M101" s="58"/>
      <c r="N101" s="58">
        <f t="shared" si="122"/>
        <v>30.998791144435422</v>
      </c>
      <c r="O101" s="58"/>
      <c r="P101" s="58"/>
      <c r="Q101" s="58"/>
      <c r="R101" s="58"/>
      <c r="S101" s="58"/>
      <c r="T101" s="58"/>
      <c r="U101" s="58"/>
      <c r="AD101" s="60"/>
      <c r="AE101" s="60" t="s">
        <v>44</v>
      </c>
      <c r="AF101" s="60" t="s">
        <v>34</v>
      </c>
      <c r="AG101" s="60">
        <v>16.911999999999999</v>
      </c>
      <c r="AH101" s="60"/>
      <c r="AI101" s="60" t="s">
        <v>44</v>
      </c>
      <c r="AJ101" s="60" t="s">
        <v>52</v>
      </c>
      <c r="AK101" s="60">
        <v>18.2</v>
      </c>
      <c r="AL101" s="60">
        <f t="shared" si="124"/>
        <v>1.2813333333333325</v>
      </c>
      <c r="AM101" s="60">
        <f t="shared" si="125"/>
        <v>0.41141510458382402</v>
      </c>
      <c r="AN101" s="60"/>
      <c r="AO101" s="60">
        <f t="shared" si="126"/>
        <v>113.43284704644202</v>
      </c>
      <c r="AP101" s="60"/>
      <c r="AQ101" s="60"/>
      <c r="AR101" s="60"/>
      <c r="AS101" s="60"/>
      <c r="AT101" s="60"/>
      <c r="AU101" s="60"/>
      <c r="AV101" s="60"/>
    </row>
    <row r="102" spans="3:48">
      <c r="C102" s="58"/>
      <c r="D102" s="58" t="s">
        <v>44</v>
      </c>
      <c r="E102" s="58" t="s">
        <v>34</v>
      </c>
      <c r="F102" s="58">
        <v>17.376000000000001</v>
      </c>
      <c r="G102" s="58">
        <f>AVERAGE(F100:F102)</f>
        <v>17.344333333333335</v>
      </c>
      <c r="H102" s="58" t="s">
        <v>44</v>
      </c>
      <c r="I102" s="58" t="s">
        <v>52</v>
      </c>
      <c r="J102" s="58">
        <v>19.158000000000001</v>
      </c>
      <c r="K102" s="58">
        <f>J102-G102</f>
        <v>1.8136666666666663</v>
      </c>
      <c r="L102" s="58">
        <f t="shared" si="121"/>
        <v>0.28446702521459427</v>
      </c>
      <c r="M102" s="58"/>
      <c r="N102" s="58">
        <f t="shared" si="122"/>
        <v>32.857254955495321</v>
      </c>
      <c r="O102" s="58"/>
      <c r="P102" s="58"/>
      <c r="Q102" s="58"/>
      <c r="R102" s="58"/>
      <c r="S102" s="58"/>
      <c r="T102" s="58"/>
      <c r="U102" s="58"/>
      <c r="AD102" s="60"/>
      <c r="AE102" s="60" t="s">
        <v>44</v>
      </c>
      <c r="AF102" s="60" t="s">
        <v>34</v>
      </c>
      <c r="AG102" s="60">
        <v>16.905000000000001</v>
      </c>
      <c r="AH102" s="60">
        <f t="shared" si="143"/>
        <v>16.918666666666667</v>
      </c>
      <c r="AI102" s="60" t="s">
        <v>44</v>
      </c>
      <c r="AJ102" s="60" t="s">
        <v>52</v>
      </c>
      <c r="AK102" s="60">
        <v>18.28</v>
      </c>
      <c r="AL102" s="60">
        <f t="shared" si="130"/>
        <v>1.3613333333333344</v>
      </c>
      <c r="AM102" s="60">
        <f t="shared" si="125"/>
        <v>0.38922240566993704</v>
      </c>
      <c r="AN102" s="60"/>
      <c r="AO102" s="60">
        <f t="shared" si="126"/>
        <v>107.31401233814128</v>
      </c>
      <c r="AP102" s="60"/>
      <c r="AQ102" s="60"/>
      <c r="AR102" s="60"/>
      <c r="AS102" s="60"/>
      <c r="AT102" s="60"/>
      <c r="AU102" s="60"/>
      <c r="AV102" s="60"/>
    </row>
    <row r="103" spans="3:48">
      <c r="C103" s="58"/>
      <c r="D103" s="58" t="s">
        <v>45</v>
      </c>
      <c r="E103" s="58" t="s">
        <v>34</v>
      </c>
      <c r="F103" s="58">
        <v>16.253</v>
      </c>
      <c r="G103" s="58"/>
      <c r="H103" s="58" t="s">
        <v>45</v>
      </c>
      <c r="I103" s="58" t="s">
        <v>52</v>
      </c>
      <c r="J103" s="58">
        <v>19.428999999999998</v>
      </c>
      <c r="K103" s="58">
        <f>J103-G105</f>
        <v>3.2560000000000002</v>
      </c>
      <c r="L103" s="58">
        <f t="shared" si="121"/>
        <v>0.1046758109385533</v>
      </c>
      <c r="M103" s="58"/>
      <c r="N103" s="58">
        <f t="shared" si="122"/>
        <v>12.090539510112681</v>
      </c>
      <c r="O103" s="58"/>
      <c r="P103" s="58"/>
      <c r="Q103" s="58"/>
      <c r="R103" s="58"/>
      <c r="S103" s="58"/>
      <c r="T103" s="58"/>
      <c r="U103" s="58"/>
      <c r="AD103" s="60"/>
      <c r="AE103" s="60" t="s">
        <v>45</v>
      </c>
      <c r="AF103" s="60" t="s">
        <v>34</v>
      </c>
      <c r="AG103" s="60">
        <v>16.542999999999999</v>
      </c>
      <c r="AH103" s="60"/>
      <c r="AI103" s="60" t="s">
        <v>45</v>
      </c>
      <c r="AJ103" s="60" t="s">
        <v>52</v>
      </c>
      <c r="AK103" s="60">
        <v>19.555</v>
      </c>
      <c r="AL103" s="60">
        <f t="shared" si="123"/>
        <v>2.9746666666666677</v>
      </c>
      <c r="AM103" s="60">
        <f t="shared" si="125"/>
        <v>0.12721435087372449</v>
      </c>
      <c r="AN103" s="60"/>
      <c r="AO103" s="60">
        <f t="shared" si="126"/>
        <v>35.074759881188292</v>
      </c>
      <c r="AP103" s="60"/>
      <c r="AQ103" s="60"/>
      <c r="AR103" s="60"/>
      <c r="AS103" s="60"/>
      <c r="AT103" s="60"/>
      <c r="AU103" s="60"/>
      <c r="AV103" s="60"/>
    </row>
    <row r="104" spans="3:48">
      <c r="C104" s="58"/>
      <c r="D104" s="58" t="s">
        <v>45</v>
      </c>
      <c r="E104" s="58" t="s">
        <v>34</v>
      </c>
      <c r="F104" s="58">
        <v>16.29</v>
      </c>
      <c r="G104" s="58"/>
      <c r="H104" s="58" t="s">
        <v>45</v>
      </c>
      <c r="I104" s="58" t="s">
        <v>52</v>
      </c>
      <c r="J104" s="58">
        <v>19.331</v>
      </c>
      <c r="K104" s="58">
        <f>J104-G105</f>
        <v>3.1580000000000013</v>
      </c>
      <c r="L104" s="58">
        <f t="shared" si="121"/>
        <v>0.11203333744617552</v>
      </c>
      <c r="M104" s="58"/>
      <c r="N104" s="58">
        <f t="shared" si="122"/>
        <v>12.940367795554167</v>
      </c>
      <c r="O104" s="58"/>
      <c r="P104" s="58"/>
      <c r="Q104" s="58"/>
      <c r="R104" s="58"/>
      <c r="S104" s="58"/>
      <c r="T104" s="58"/>
      <c r="U104" s="58"/>
      <c r="AD104" s="60"/>
      <c r="AE104" s="60" t="s">
        <v>45</v>
      </c>
      <c r="AF104" s="60" t="s">
        <v>34</v>
      </c>
      <c r="AG104" s="60">
        <v>16.434999999999999</v>
      </c>
      <c r="AH104" s="60"/>
      <c r="AI104" s="60" t="s">
        <v>45</v>
      </c>
      <c r="AJ104" s="60" t="s">
        <v>52</v>
      </c>
      <c r="AK104" s="60">
        <v>19.687000000000001</v>
      </c>
      <c r="AL104" s="60">
        <f t="shared" si="124"/>
        <v>3.1066666666666691</v>
      </c>
      <c r="AM104" s="60">
        <f t="shared" si="125"/>
        <v>0.11609142625481837</v>
      </c>
      <c r="AN104" s="60"/>
      <c r="AO104" s="60">
        <f t="shared" si="126"/>
        <v>32.008015386520832</v>
      </c>
      <c r="AP104" s="60"/>
      <c r="AQ104" s="60"/>
      <c r="AR104" s="60"/>
      <c r="AS104" s="60"/>
      <c r="AT104" s="60"/>
      <c r="AU104" s="60"/>
      <c r="AV104" s="60"/>
    </row>
    <row r="105" spans="3:48">
      <c r="C105" s="58"/>
      <c r="D105" s="58" t="s">
        <v>45</v>
      </c>
      <c r="E105" s="58" t="s">
        <v>34</v>
      </c>
      <c r="F105" s="58">
        <v>15.976000000000001</v>
      </c>
      <c r="G105" s="58">
        <f>AVERAGE(F103:F105)</f>
        <v>16.172999999999998</v>
      </c>
      <c r="H105" s="58" t="s">
        <v>45</v>
      </c>
      <c r="I105" s="58" t="s">
        <v>52</v>
      </c>
      <c r="J105" s="58">
        <v>19.405999999999999</v>
      </c>
      <c r="K105" s="58">
        <f>J105-G105</f>
        <v>3.2330000000000005</v>
      </c>
      <c r="L105" s="58">
        <f t="shared" si="121"/>
        <v>0.10635796618831755</v>
      </c>
      <c r="M105" s="58"/>
      <c r="N105" s="58">
        <f t="shared" si="122"/>
        <v>12.284836208911193</v>
      </c>
      <c r="O105" s="58"/>
      <c r="P105" s="58"/>
      <c r="Q105" s="58"/>
      <c r="R105" s="58"/>
      <c r="S105" s="58"/>
      <c r="T105" s="58"/>
      <c r="U105" s="58"/>
      <c r="AD105" s="60"/>
      <c r="AE105" s="60" t="s">
        <v>45</v>
      </c>
      <c r="AF105" s="60" t="s">
        <v>34</v>
      </c>
      <c r="AG105" s="60">
        <v>16.763000000000002</v>
      </c>
      <c r="AH105" s="60">
        <f t="shared" si="143"/>
        <v>16.580333333333332</v>
      </c>
      <c r="AI105" s="60" t="s">
        <v>45</v>
      </c>
      <c r="AJ105" s="60" t="s">
        <v>52</v>
      </c>
      <c r="AK105" s="60">
        <v>19.715</v>
      </c>
      <c r="AL105" s="60">
        <f t="shared" si="130"/>
        <v>3.1346666666666678</v>
      </c>
      <c r="AM105" s="60">
        <f t="shared" si="125"/>
        <v>0.11386003341381125</v>
      </c>
      <c r="AN105" s="60"/>
      <c r="AO105" s="60">
        <f t="shared" si="126"/>
        <v>31.392789450442162</v>
      </c>
      <c r="AP105" s="60"/>
      <c r="AQ105" s="60"/>
      <c r="AR105" s="60"/>
      <c r="AS105" s="60"/>
      <c r="AT105" s="60"/>
      <c r="AU105" s="60"/>
      <c r="AV105" s="60"/>
    </row>
    <row r="106" spans="3:48">
      <c r="C106" s="58"/>
      <c r="D106" s="58" t="s">
        <v>46</v>
      </c>
      <c r="E106" s="58" t="s">
        <v>34</v>
      </c>
      <c r="F106" s="58">
        <v>16.609000000000002</v>
      </c>
      <c r="G106" s="58"/>
      <c r="H106" s="58" t="s">
        <v>46</v>
      </c>
      <c r="I106" s="58" t="s">
        <v>52</v>
      </c>
      <c r="J106" s="58">
        <v>18.891999999999999</v>
      </c>
      <c r="K106" s="58">
        <f>J106-G108</f>
        <v>2.3149999999999977</v>
      </c>
      <c r="L106" s="58">
        <f t="shared" si="121"/>
        <v>0.20096274768578817</v>
      </c>
      <c r="M106" s="58"/>
      <c r="N106" s="58">
        <f t="shared" si="122"/>
        <v>23.212125315008411</v>
      </c>
      <c r="O106" s="58"/>
      <c r="P106" s="58"/>
      <c r="Q106" s="58"/>
      <c r="R106" s="58"/>
      <c r="S106" s="58"/>
      <c r="T106" s="58"/>
      <c r="U106" s="58"/>
      <c r="AD106" s="60"/>
      <c r="AE106" s="60" t="s">
        <v>46</v>
      </c>
      <c r="AF106" s="60" t="s">
        <v>34</v>
      </c>
      <c r="AG106" s="60">
        <v>18.260999999999999</v>
      </c>
      <c r="AH106" s="60"/>
      <c r="AI106" s="60" t="s">
        <v>46</v>
      </c>
      <c r="AJ106" s="60" t="s">
        <v>52</v>
      </c>
      <c r="AK106" s="60">
        <v>19.198</v>
      </c>
      <c r="AL106" s="60">
        <f t="shared" si="123"/>
        <v>1.6706666666666656</v>
      </c>
      <c r="AM106" s="60">
        <f t="shared" si="125"/>
        <v>0.31410816129786967</v>
      </c>
      <c r="AN106" s="60"/>
      <c r="AO106" s="60">
        <f t="shared" si="126"/>
        <v>86.603973990169578</v>
      </c>
      <c r="AP106" s="60"/>
      <c r="AQ106" s="60"/>
      <c r="AR106" s="60"/>
      <c r="AS106" s="60"/>
      <c r="AT106" s="60"/>
      <c r="AU106" s="60"/>
      <c r="AV106" s="60"/>
    </row>
    <row r="107" spans="3:48">
      <c r="C107" s="58"/>
      <c r="D107" s="58" t="s">
        <v>46</v>
      </c>
      <c r="E107" s="58" t="s">
        <v>34</v>
      </c>
      <c r="F107" s="58">
        <v>16.515000000000001</v>
      </c>
      <c r="G107" s="58"/>
      <c r="H107" s="58" t="s">
        <v>46</v>
      </c>
      <c r="I107" s="58" t="s">
        <v>52</v>
      </c>
      <c r="J107" s="58">
        <v>18.651</v>
      </c>
      <c r="K107" s="58">
        <f>J107-G108</f>
        <v>2.0739999999999981</v>
      </c>
      <c r="L107" s="58">
        <f t="shared" si="121"/>
        <v>0.23750009571872183</v>
      </c>
      <c r="M107" s="58"/>
      <c r="N107" s="58">
        <f t="shared" si="122"/>
        <v>27.43235772616443</v>
      </c>
      <c r="O107" s="58"/>
      <c r="P107" s="58"/>
      <c r="Q107" s="58"/>
      <c r="R107" s="58"/>
      <c r="S107" s="58"/>
      <c r="T107" s="58"/>
      <c r="U107" s="58"/>
      <c r="AD107" s="60"/>
      <c r="AE107" s="60" t="s">
        <v>46</v>
      </c>
      <c r="AF107" s="60" t="s">
        <v>34</v>
      </c>
      <c r="AG107" s="60">
        <v>17.073</v>
      </c>
      <c r="AH107" s="60"/>
      <c r="AI107" s="60" t="s">
        <v>46</v>
      </c>
      <c r="AJ107" s="60" t="s">
        <v>52</v>
      </c>
      <c r="AK107" s="60">
        <v>19.577999999999999</v>
      </c>
      <c r="AL107" s="60">
        <f t="shared" si="124"/>
        <v>2.0506666666666646</v>
      </c>
      <c r="AM107" s="60">
        <f t="shared" si="125"/>
        <v>0.241372518669354</v>
      </c>
      <c r="AN107" s="60"/>
      <c r="AO107" s="60">
        <f t="shared" si="126"/>
        <v>66.549749113202125</v>
      </c>
      <c r="AP107" s="60"/>
      <c r="AQ107" s="60"/>
      <c r="AR107" s="60"/>
      <c r="AS107" s="60"/>
      <c r="AT107" s="60"/>
      <c r="AU107" s="60"/>
      <c r="AV107" s="60"/>
    </row>
    <row r="108" spans="3:48">
      <c r="C108" s="58"/>
      <c r="D108" s="58" t="s">
        <v>46</v>
      </c>
      <c r="E108" s="58" t="s">
        <v>34</v>
      </c>
      <c r="F108" s="58">
        <v>16.606999999999999</v>
      </c>
      <c r="G108" s="58">
        <f>AVERAGE(F106:F108)</f>
        <v>16.577000000000002</v>
      </c>
      <c r="H108" s="58" t="s">
        <v>46</v>
      </c>
      <c r="I108" s="58" t="s">
        <v>52</v>
      </c>
      <c r="J108" s="58">
        <v>18.942</v>
      </c>
      <c r="K108" s="58">
        <f>J108-G108</f>
        <v>2.3649999999999984</v>
      </c>
      <c r="L108" s="58">
        <f t="shared" si="121"/>
        <v>0.19411721875026017</v>
      </c>
      <c r="M108" s="58"/>
      <c r="N108" s="58">
        <f t="shared" si="122"/>
        <v>22.421435113322694</v>
      </c>
      <c r="O108" s="58"/>
      <c r="P108" s="58"/>
      <c r="Q108" s="58"/>
      <c r="R108" s="58"/>
      <c r="S108" s="58"/>
      <c r="T108" s="58"/>
      <c r="U108" s="58"/>
      <c r="AD108" s="60"/>
      <c r="AE108" s="60" t="s">
        <v>46</v>
      </c>
      <c r="AF108" s="60" t="s">
        <v>34</v>
      </c>
      <c r="AG108" s="60">
        <v>17.248000000000001</v>
      </c>
      <c r="AH108" s="60">
        <f t="shared" si="143"/>
        <v>17.527333333333335</v>
      </c>
      <c r="AI108" s="60" t="s">
        <v>46</v>
      </c>
      <c r="AJ108" s="60" t="s">
        <v>52</v>
      </c>
      <c r="AK108" s="60">
        <v>19.309999999999999</v>
      </c>
      <c r="AL108" s="60">
        <f t="shared" si="130"/>
        <v>1.782666666666664</v>
      </c>
      <c r="AM108" s="60">
        <f t="shared" si="125"/>
        <v>0.29064567253174706</v>
      </c>
      <c r="AN108" s="60"/>
      <c r="AO108" s="60">
        <f t="shared" si="126"/>
        <v>80.135040618778973</v>
      </c>
      <c r="AP108" s="60"/>
      <c r="AQ108" s="60"/>
      <c r="AR108" s="60"/>
      <c r="AS108" s="60"/>
      <c r="AT108" s="60"/>
      <c r="AU108" s="60"/>
      <c r="AV108" s="60"/>
    </row>
    <row r="109" spans="3:48">
      <c r="C109" s="58"/>
      <c r="D109" s="58" t="s">
        <v>47</v>
      </c>
      <c r="E109" s="58" t="s">
        <v>34</v>
      </c>
      <c r="F109" s="58">
        <v>16.385000000000002</v>
      </c>
      <c r="G109" s="58"/>
      <c r="H109" s="58" t="s">
        <v>47</v>
      </c>
      <c r="I109" s="58" t="s">
        <v>52</v>
      </c>
      <c r="J109" s="58">
        <v>19.588000000000001</v>
      </c>
      <c r="K109" s="58">
        <f>J109-G111</f>
        <v>3.2213333333333338</v>
      </c>
      <c r="L109" s="58">
        <f t="shared" si="121"/>
        <v>0.10722154000537631</v>
      </c>
      <c r="M109" s="58"/>
      <c r="N109" s="58">
        <f t="shared" si="122"/>
        <v>12.38458297238434</v>
      </c>
      <c r="O109" s="58"/>
      <c r="P109" s="58"/>
      <c r="Q109" s="58"/>
      <c r="R109" s="58"/>
      <c r="S109" s="58"/>
      <c r="T109" s="58"/>
      <c r="U109" s="58"/>
      <c r="AD109" s="60"/>
      <c r="AE109" s="60" t="s">
        <v>47</v>
      </c>
      <c r="AF109" s="60" t="s">
        <v>34</v>
      </c>
      <c r="AG109" s="60">
        <v>16.151</v>
      </c>
      <c r="AH109" s="60"/>
      <c r="AI109" s="60" t="s">
        <v>47</v>
      </c>
      <c r="AJ109" s="60" t="s">
        <v>52</v>
      </c>
      <c r="AK109" s="60">
        <v>20.088999999999999</v>
      </c>
      <c r="AL109" s="60">
        <f t="shared" si="123"/>
        <v>3.945999999999998</v>
      </c>
      <c r="AM109" s="60">
        <f t="shared" si="125"/>
        <v>6.4883704408941187E-2</v>
      </c>
      <c r="AN109" s="60"/>
      <c r="AO109" s="60">
        <f t="shared" si="126"/>
        <v>17.889336672437182</v>
      </c>
      <c r="AP109" s="60"/>
      <c r="AQ109" s="60"/>
      <c r="AR109" s="60"/>
      <c r="AS109" s="60"/>
      <c r="AT109" s="60"/>
      <c r="AU109" s="60"/>
      <c r="AV109" s="60"/>
    </row>
    <row r="110" spans="3:48">
      <c r="C110" s="58"/>
      <c r="D110" s="58" t="s">
        <v>47</v>
      </c>
      <c r="E110" s="58" t="s">
        <v>34</v>
      </c>
      <c r="F110" s="58">
        <v>16.315999999999999</v>
      </c>
      <c r="G110" s="58"/>
      <c r="H110" s="58" t="s">
        <v>47</v>
      </c>
      <c r="I110" s="58" t="s">
        <v>52</v>
      </c>
      <c r="J110" s="58">
        <v>19.645</v>
      </c>
      <c r="K110" s="58">
        <f>J110-G111</f>
        <v>3.2783333333333324</v>
      </c>
      <c r="L110" s="58">
        <f t="shared" si="121"/>
        <v>0.10306787708884085</v>
      </c>
      <c r="M110" s="58"/>
      <c r="N110" s="58">
        <f t="shared" si="122"/>
        <v>11.904815725741829</v>
      </c>
      <c r="O110" s="58"/>
      <c r="P110" s="58"/>
      <c r="Q110" s="58"/>
      <c r="R110" s="58"/>
      <c r="S110" s="58"/>
      <c r="T110" s="58"/>
      <c r="U110" s="58"/>
      <c r="AD110" s="60"/>
      <c r="AE110" s="60" t="s">
        <v>47</v>
      </c>
      <c r="AF110" s="60" t="s">
        <v>34</v>
      </c>
      <c r="AG110" s="60">
        <v>16.233000000000001</v>
      </c>
      <c r="AH110" s="60"/>
      <c r="AI110" s="60" t="s">
        <v>47</v>
      </c>
      <c r="AJ110" s="60" t="s">
        <v>52</v>
      </c>
      <c r="AK110" s="60">
        <v>20.07</v>
      </c>
      <c r="AL110" s="60">
        <f t="shared" si="124"/>
        <v>3.9269999999999996</v>
      </c>
      <c r="AM110" s="60">
        <f t="shared" si="125"/>
        <v>6.5743861200242032E-2</v>
      </c>
      <c r="AN110" s="60"/>
      <c r="AO110" s="60">
        <f t="shared" si="126"/>
        <v>18.12649382261592</v>
      </c>
      <c r="AP110" s="60"/>
      <c r="AQ110" s="60"/>
      <c r="AR110" s="60"/>
      <c r="AS110" s="60"/>
      <c r="AT110" s="60"/>
      <c r="AU110" s="60"/>
      <c r="AV110" s="60"/>
    </row>
    <row r="111" spans="3:48">
      <c r="C111" s="58"/>
      <c r="D111" s="58" t="s">
        <v>47</v>
      </c>
      <c r="E111" s="58" t="s">
        <v>34</v>
      </c>
      <c r="F111" s="58">
        <v>16.399000000000001</v>
      </c>
      <c r="G111" s="58">
        <f>AVERAGE(F109:F111)</f>
        <v>16.366666666666667</v>
      </c>
      <c r="H111" s="58" t="s">
        <v>47</v>
      </c>
      <c r="I111" s="58" t="s">
        <v>52</v>
      </c>
      <c r="J111" s="58">
        <v>19.492000000000001</v>
      </c>
      <c r="K111" s="58">
        <f>J111-G111</f>
        <v>3.1253333333333337</v>
      </c>
      <c r="L111" s="58">
        <f t="shared" si="121"/>
        <v>0.11459902434461701</v>
      </c>
      <c r="M111" s="58"/>
      <c r="N111" s="58">
        <f t="shared" si="122"/>
        <v>13.23671647953422</v>
      </c>
      <c r="O111" s="58"/>
      <c r="P111" s="58"/>
      <c r="Q111" s="58"/>
      <c r="R111" s="58"/>
      <c r="S111" s="58"/>
      <c r="T111" s="58"/>
      <c r="U111" s="58"/>
      <c r="AD111" s="60"/>
      <c r="AE111" s="60" t="s">
        <v>47</v>
      </c>
      <c r="AF111" s="60" t="s">
        <v>34</v>
      </c>
      <c r="AG111" s="60">
        <v>16.045000000000002</v>
      </c>
      <c r="AH111" s="60">
        <f t="shared" si="143"/>
        <v>16.143000000000001</v>
      </c>
      <c r="AI111" s="60" t="s">
        <v>47</v>
      </c>
      <c r="AJ111" s="60" t="s">
        <v>52</v>
      </c>
      <c r="AK111" s="60">
        <v>20.100000000000001</v>
      </c>
      <c r="AL111" s="60">
        <f t="shared" si="130"/>
        <v>3.9570000000000007</v>
      </c>
      <c r="AM111" s="60">
        <f t="shared" si="125"/>
        <v>6.4390872101254618E-2</v>
      </c>
      <c r="AN111" s="60"/>
      <c r="AO111" s="60">
        <f t="shared" si="126"/>
        <v>17.753455973954061</v>
      </c>
      <c r="AP111" s="60"/>
      <c r="AQ111" s="60"/>
      <c r="AR111" s="60"/>
      <c r="AS111" s="60"/>
      <c r="AT111" s="60"/>
      <c r="AU111" s="60"/>
      <c r="AV111" s="60"/>
    </row>
    <row r="112" spans="3:48">
      <c r="C112" s="58"/>
      <c r="D112" s="58" t="s">
        <v>48</v>
      </c>
      <c r="E112" s="58" t="s">
        <v>34</v>
      </c>
      <c r="F112" s="58">
        <v>16.890999999999998</v>
      </c>
      <c r="G112" s="58"/>
      <c r="H112" s="58" t="s">
        <v>48</v>
      </c>
      <c r="I112" s="58" t="s">
        <v>52</v>
      </c>
      <c r="J112" s="58">
        <v>19.367999999999999</v>
      </c>
      <c r="K112" s="58">
        <f>J112-G114</f>
        <v>2.4756666666666689</v>
      </c>
      <c r="L112" s="58">
        <f t="shared" si="121"/>
        <v>0.17978360063944962</v>
      </c>
      <c r="M112" s="58"/>
      <c r="N112" s="58">
        <f t="shared" si="122"/>
        <v>20.765836035199928</v>
      </c>
      <c r="O112" s="58"/>
      <c r="P112" s="58"/>
      <c r="Q112" s="58"/>
      <c r="R112" s="58"/>
      <c r="S112" s="58"/>
      <c r="T112" s="58"/>
      <c r="U112" s="58"/>
      <c r="AD112" s="60"/>
      <c r="AE112" s="60" t="s">
        <v>48</v>
      </c>
      <c r="AF112" s="60" t="s">
        <v>34</v>
      </c>
      <c r="AG112" s="60">
        <v>16.297000000000001</v>
      </c>
      <c r="AH112" s="60"/>
      <c r="AI112" s="60" t="s">
        <v>48</v>
      </c>
      <c r="AJ112" s="60" t="s">
        <v>52</v>
      </c>
      <c r="AK112" s="60">
        <v>19.184000000000001</v>
      </c>
      <c r="AL112" s="60">
        <f t="shared" si="123"/>
        <v>2.9393333333333302</v>
      </c>
      <c r="AM112" s="60">
        <f t="shared" si="125"/>
        <v>0.13036844920352508</v>
      </c>
      <c r="AN112" s="60"/>
      <c r="AO112" s="60">
        <f t="shared" si="126"/>
        <v>35.944388510345284</v>
      </c>
      <c r="AP112" s="60"/>
      <c r="AQ112" s="60"/>
      <c r="AR112" s="60"/>
      <c r="AS112" s="60"/>
      <c r="AT112" s="60"/>
      <c r="AU112" s="60"/>
      <c r="AV112" s="60"/>
    </row>
    <row r="113" spans="3:48">
      <c r="C113" s="58"/>
      <c r="D113" s="58" t="s">
        <v>48</v>
      </c>
      <c r="E113" s="58" t="s">
        <v>34</v>
      </c>
      <c r="F113" s="58">
        <v>16.974</v>
      </c>
      <c r="G113" s="58"/>
      <c r="H113" s="58" t="s">
        <v>48</v>
      </c>
      <c r="I113" s="58" t="s">
        <v>52</v>
      </c>
      <c r="J113" s="58">
        <v>19.122</v>
      </c>
      <c r="K113" s="58">
        <f>J113-G114</f>
        <v>2.2296666666666702</v>
      </c>
      <c r="L113" s="58">
        <f t="shared" si="121"/>
        <v>0.21320797875463046</v>
      </c>
      <c r="M113" s="58"/>
      <c r="N113" s="58">
        <f t="shared" si="122"/>
        <v>24.626506046533923</v>
      </c>
      <c r="O113" s="58"/>
      <c r="P113" s="58"/>
      <c r="Q113" s="58"/>
      <c r="R113" s="58"/>
      <c r="S113" s="58"/>
      <c r="T113" s="58"/>
      <c r="U113" s="58"/>
      <c r="AD113" s="60"/>
      <c r="AE113" s="60" t="s">
        <v>48</v>
      </c>
      <c r="AF113" s="60" t="s">
        <v>34</v>
      </c>
      <c r="AG113" s="60">
        <v>16.311</v>
      </c>
      <c r="AH113" s="60"/>
      <c r="AI113" s="60" t="s">
        <v>48</v>
      </c>
      <c r="AJ113" s="60" t="s">
        <v>52</v>
      </c>
      <c r="AK113" s="60">
        <v>19.260000000000002</v>
      </c>
      <c r="AL113" s="60">
        <f t="shared" si="124"/>
        <v>3.0153333333333308</v>
      </c>
      <c r="AM113" s="60">
        <f t="shared" si="125"/>
        <v>0.12367850294856919</v>
      </c>
      <c r="AN113" s="60"/>
      <c r="AO113" s="60">
        <f t="shared" si="126"/>
        <v>34.099877597079299</v>
      </c>
      <c r="AP113" s="60"/>
      <c r="AQ113" s="60"/>
      <c r="AR113" s="60"/>
      <c r="AS113" s="60"/>
      <c r="AT113" s="60"/>
      <c r="AU113" s="60"/>
      <c r="AV113" s="60"/>
    </row>
    <row r="114" spans="3:48">
      <c r="C114" s="58"/>
      <c r="D114" s="58" t="s">
        <v>48</v>
      </c>
      <c r="E114" s="58" t="s">
        <v>34</v>
      </c>
      <c r="F114" s="58">
        <v>16.812000000000001</v>
      </c>
      <c r="G114" s="58">
        <f>AVERAGE(F112:F114)</f>
        <v>16.89233333333333</v>
      </c>
      <c r="H114" s="58" t="s">
        <v>48</v>
      </c>
      <c r="I114" s="58" t="s">
        <v>52</v>
      </c>
      <c r="J114" s="58">
        <v>19.103999999999999</v>
      </c>
      <c r="K114" s="58">
        <f>J114-G114</f>
        <v>2.2116666666666696</v>
      </c>
      <c r="L114" s="58">
        <f t="shared" si="121"/>
        <v>0.21588476385348296</v>
      </c>
      <c r="M114" s="58"/>
      <c r="N114" s="58">
        <f t="shared" si="122"/>
        <v>24.935687085663918</v>
      </c>
      <c r="O114" s="58"/>
      <c r="P114" s="58"/>
      <c r="Q114" s="58"/>
      <c r="R114" s="58"/>
      <c r="S114" s="58"/>
      <c r="T114" s="58"/>
      <c r="U114" s="58"/>
      <c r="AD114" s="60"/>
      <c r="AE114" s="60" t="s">
        <v>48</v>
      </c>
      <c r="AF114" s="60" t="s">
        <v>34</v>
      </c>
      <c r="AG114" s="60">
        <v>16.126000000000001</v>
      </c>
      <c r="AH114" s="60">
        <f t="shared" si="143"/>
        <v>16.244666666666671</v>
      </c>
      <c r="AI114" s="60" t="s">
        <v>48</v>
      </c>
      <c r="AJ114" s="60" t="s">
        <v>52</v>
      </c>
      <c r="AK114" s="60">
        <v>19.128</v>
      </c>
      <c r="AL114" s="60">
        <f t="shared" si="130"/>
        <v>2.8833333333333293</v>
      </c>
      <c r="AM114" s="60">
        <f t="shared" si="125"/>
        <v>0.13552835878767769</v>
      </c>
      <c r="AN114" s="60"/>
      <c r="AO114" s="60">
        <f t="shared" si="126"/>
        <v>37.367047105305545</v>
      </c>
      <c r="AP114" s="60"/>
      <c r="AQ114" s="60"/>
      <c r="AR114" s="60"/>
      <c r="AS114" s="60"/>
      <c r="AT114" s="60"/>
      <c r="AU114" s="60"/>
      <c r="AV114" s="60"/>
    </row>
  </sheetData>
  <phoneticPr fontId="2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8EE66F-24BA-9748-8AA8-37404F2B5619}">
  <dimension ref="A1:AS76"/>
  <sheetViews>
    <sheetView topLeftCell="AE1" zoomScale="75" workbookViewId="0">
      <selection activeCell="AM3" sqref="AM3:AS6"/>
    </sheetView>
  </sheetViews>
  <sheetFormatPr baseColWidth="10" defaultRowHeight="16"/>
  <cols>
    <col min="2" max="2" width="14.83203125" bestFit="1" customWidth="1"/>
    <col min="8" max="8" width="15" bestFit="1" customWidth="1"/>
    <col min="14" max="14" width="15" bestFit="1" customWidth="1"/>
    <col min="16" max="16" width="14.83203125" bestFit="1" customWidth="1"/>
    <col min="45" max="45" width="10.83203125" style="100"/>
  </cols>
  <sheetData>
    <row r="1" spans="1:45">
      <c r="A1" t="s">
        <v>55</v>
      </c>
      <c r="B1" s="58"/>
      <c r="C1" s="58" t="s">
        <v>77</v>
      </c>
      <c r="D1" s="58"/>
      <c r="E1" s="58"/>
      <c r="F1" s="58"/>
      <c r="G1" s="58"/>
      <c r="H1" s="58"/>
      <c r="I1" s="58"/>
      <c r="J1" s="58"/>
      <c r="K1" s="58"/>
      <c r="L1" s="58"/>
      <c r="M1" s="58"/>
      <c r="N1" s="58"/>
      <c r="O1" s="58"/>
      <c r="P1" s="58"/>
      <c r="Q1" s="58"/>
      <c r="R1" s="58"/>
      <c r="S1" s="58"/>
      <c r="T1" s="58"/>
      <c r="U1" s="58"/>
      <c r="V1" s="58"/>
      <c r="W1" s="58"/>
      <c r="X1" s="58"/>
      <c r="Y1" s="58"/>
      <c r="Z1" s="58"/>
      <c r="AA1" s="58"/>
      <c r="AB1" s="58"/>
    </row>
    <row r="2" spans="1:45">
      <c r="B2" s="58"/>
      <c r="C2" s="58"/>
      <c r="D2" s="58"/>
      <c r="E2" s="58"/>
      <c r="F2" s="58"/>
      <c r="G2" s="58"/>
      <c r="H2" s="58"/>
      <c r="I2" s="58"/>
      <c r="J2" s="58"/>
      <c r="K2" s="58"/>
      <c r="L2" s="58"/>
      <c r="M2" s="58"/>
      <c r="N2" s="58"/>
      <c r="O2" s="58"/>
      <c r="P2" s="58"/>
      <c r="Q2" s="58"/>
      <c r="R2" s="58"/>
      <c r="S2" s="58"/>
      <c r="T2" s="58"/>
      <c r="U2" s="58"/>
      <c r="V2" s="58"/>
      <c r="W2" s="58"/>
      <c r="X2" s="58"/>
      <c r="Y2" s="58"/>
      <c r="Z2" s="58"/>
      <c r="AA2" s="58"/>
      <c r="AB2" s="58"/>
      <c r="AE2" s="90"/>
      <c r="AF2" s="90"/>
      <c r="AG2" s="90"/>
      <c r="AH2" s="90"/>
      <c r="AI2" s="90"/>
      <c r="AJ2" s="90"/>
      <c r="AK2" s="90"/>
      <c r="AL2" s="90"/>
      <c r="AM2" s="90"/>
      <c r="AN2" s="90"/>
      <c r="AO2" s="90"/>
      <c r="AP2" s="90"/>
      <c r="AQ2" s="90"/>
      <c r="AR2" s="90"/>
      <c r="AS2" s="101"/>
    </row>
    <row r="3" spans="1:45">
      <c r="B3" s="58" t="s">
        <v>56</v>
      </c>
      <c r="C3" s="58" t="s">
        <v>54</v>
      </c>
      <c r="D3" s="58" t="s">
        <v>57</v>
      </c>
      <c r="E3" s="58"/>
      <c r="F3" s="58"/>
      <c r="G3" s="58"/>
      <c r="H3" s="58" t="s">
        <v>56</v>
      </c>
      <c r="I3" s="58" t="s">
        <v>31</v>
      </c>
      <c r="J3" s="58" t="s">
        <v>57</v>
      </c>
      <c r="K3" s="58"/>
      <c r="L3" s="58"/>
      <c r="M3" s="58"/>
      <c r="N3" s="58"/>
      <c r="O3" s="58"/>
      <c r="P3" s="58" t="s">
        <v>74</v>
      </c>
      <c r="Q3" s="58"/>
      <c r="R3" s="58"/>
      <c r="S3" s="58"/>
      <c r="T3" s="58"/>
      <c r="U3" s="58"/>
      <c r="V3" s="58">
        <v>31.25</v>
      </c>
      <c r="W3" s="58">
        <v>62.5</v>
      </c>
      <c r="X3" s="58">
        <v>125</v>
      </c>
      <c r="Y3" s="58">
        <v>250</v>
      </c>
      <c r="Z3" s="58">
        <v>500</v>
      </c>
      <c r="AA3" s="58">
        <v>1000</v>
      </c>
      <c r="AB3" s="58">
        <v>2000</v>
      </c>
      <c r="AE3" s="90" t="s">
        <v>53</v>
      </c>
      <c r="AF3" s="90" t="s">
        <v>66</v>
      </c>
      <c r="AG3" s="90" t="s">
        <v>97</v>
      </c>
      <c r="AH3" s="90"/>
      <c r="AI3" s="90"/>
      <c r="AJ3" s="90" t="s">
        <v>99</v>
      </c>
      <c r="AK3" s="90"/>
      <c r="AL3" s="90"/>
      <c r="AM3" s="90" t="s">
        <v>663</v>
      </c>
      <c r="AN3" s="90" t="s">
        <v>396</v>
      </c>
      <c r="AO3" s="90" t="s">
        <v>664</v>
      </c>
      <c r="AP3" s="90" t="s">
        <v>663</v>
      </c>
      <c r="AQ3" s="90" t="s">
        <v>396</v>
      </c>
      <c r="AR3" s="90" t="s">
        <v>664</v>
      </c>
      <c r="AS3" s="101" t="s">
        <v>665</v>
      </c>
    </row>
    <row r="4" spans="1:45">
      <c r="B4" s="58"/>
      <c r="C4" s="58"/>
      <c r="D4" s="58" t="s">
        <v>58</v>
      </c>
      <c r="E4" s="58">
        <v>9.6000000000000002E-2</v>
      </c>
      <c r="F4" s="58">
        <v>0.10199999999999999</v>
      </c>
      <c r="G4" s="58">
        <v>0.11</v>
      </c>
      <c r="H4" s="58"/>
      <c r="I4" s="58"/>
      <c r="J4" s="58" t="s">
        <v>58</v>
      </c>
      <c r="K4" s="58">
        <v>4.9000000000000002E-2</v>
      </c>
      <c r="L4" s="58">
        <v>4.8000000000000001E-2</v>
      </c>
      <c r="M4" s="58">
        <v>4.8000000000000001E-2</v>
      </c>
      <c r="N4" s="58"/>
      <c r="O4" s="58"/>
      <c r="P4" s="58" t="s">
        <v>56</v>
      </c>
      <c r="Q4" s="58">
        <v>2.81</v>
      </c>
      <c r="R4" s="58">
        <v>1.4790000000000001</v>
      </c>
      <c r="S4" s="58">
        <v>0.749</v>
      </c>
      <c r="T4" s="58"/>
      <c r="U4" s="58" t="s">
        <v>76</v>
      </c>
      <c r="V4" s="58">
        <v>6.5000000000000002E-2</v>
      </c>
      <c r="W4" s="58">
        <v>0.108</v>
      </c>
      <c r="X4" s="58">
        <v>0.19900000000000001</v>
      </c>
      <c r="Y4" s="58">
        <v>0.36599999999999999</v>
      </c>
      <c r="Z4" s="58">
        <v>0.72899999999999998</v>
      </c>
      <c r="AA4" s="58">
        <v>1.4550000000000001</v>
      </c>
      <c r="AB4" s="58">
        <v>2.7829999999999999</v>
      </c>
      <c r="AE4" s="90"/>
      <c r="AF4" s="90">
        <v>0</v>
      </c>
      <c r="AG4" s="90">
        <v>104.28571428571431</v>
      </c>
      <c r="AH4" s="90">
        <v>108.57142857142857</v>
      </c>
      <c r="AI4" s="90">
        <v>115.71428571428572</v>
      </c>
      <c r="AJ4" s="90">
        <v>145.71428571428572</v>
      </c>
      <c r="AK4" s="90">
        <v>142.85714285714286</v>
      </c>
      <c r="AL4" s="90">
        <v>151.42857142857144</v>
      </c>
      <c r="AM4" s="90">
        <f>AVERAGE(AG4:AI4)</f>
        <v>109.52380952380953</v>
      </c>
      <c r="AN4" s="90">
        <f>STDEV(AG4:AI4)</f>
        <v>5.7735026918962529</v>
      </c>
      <c r="AO4" s="90">
        <f>AN4/SQRT(3)</f>
        <v>3.3333333333333308</v>
      </c>
      <c r="AP4" s="90">
        <f>AVERAGE(AJ4:AL4)</f>
        <v>146.66666666666666</v>
      </c>
      <c r="AQ4" s="90">
        <f>STDEV(AJ4:AL4)</f>
        <v>4.3643578047198535</v>
      </c>
      <c r="AR4" s="90">
        <f>AQ4/SQRT(3)</f>
        <v>2.5197631533948517</v>
      </c>
      <c r="AS4" s="99">
        <v>0.7782</v>
      </c>
    </row>
    <row r="5" spans="1:45">
      <c r="B5" s="58"/>
      <c r="C5" s="58"/>
      <c r="D5" s="58" t="s">
        <v>59</v>
      </c>
      <c r="E5" s="58">
        <v>0.13</v>
      </c>
      <c r="F5" s="58">
        <v>0.128</v>
      </c>
      <c r="G5" s="58">
        <v>0.13200000000000001</v>
      </c>
      <c r="H5" s="58"/>
      <c r="I5" s="58"/>
      <c r="J5" s="58" t="s">
        <v>59</v>
      </c>
      <c r="K5" s="58">
        <v>5.2000000000000005E-2</v>
      </c>
      <c r="L5" s="58">
        <v>4.9000000000000002E-2</v>
      </c>
      <c r="M5" s="58">
        <v>4.3999999999999997E-2</v>
      </c>
      <c r="N5" s="58"/>
      <c r="O5" s="58"/>
      <c r="P5" s="58"/>
      <c r="Q5" s="58">
        <v>0.76300000000000001</v>
      </c>
      <c r="R5" s="58">
        <v>0.38900000000000001</v>
      </c>
      <c r="S5" s="58">
        <v>0.39100000000000001</v>
      </c>
      <c r="T5" s="58"/>
      <c r="U5" s="58"/>
      <c r="V5" s="58"/>
      <c r="W5" s="58"/>
      <c r="X5" s="58"/>
      <c r="Y5" s="58"/>
      <c r="Z5" s="58"/>
      <c r="AA5" s="58"/>
      <c r="AB5" s="58"/>
      <c r="AE5" s="90"/>
      <c r="AF5" s="90">
        <v>3</v>
      </c>
      <c r="AG5" s="90">
        <v>1061.4285714285713</v>
      </c>
      <c r="AH5" s="90">
        <v>1044.2857142857142</v>
      </c>
      <c r="AI5" s="90">
        <v>1020</v>
      </c>
      <c r="AJ5" s="90">
        <v>1471.4285714285716</v>
      </c>
      <c r="AK5" s="90">
        <v>1458.5714285714287</v>
      </c>
      <c r="AL5" s="90">
        <v>1438.5714285714287</v>
      </c>
      <c r="AM5" s="90">
        <f>AVERAGE(AG5:AI5)</f>
        <v>1041.9047619047617</v>
      </c>
      <c r="AN5" s="90">
        <f>STDEV(AG5:AI5)</f>
        <v>20.816659994661279</v>
      </c>
      <c r="AO5" s="90">
        <f t="shared" ref="AO5:AO6" si="0">AN5/SQRT(3)</f>
        <v>12.018504251546604</v>
      </c>
      <c r="AP5" s="90">
        <f>AVERAGE(AJ5:AL5)</f>
        <v>1456.1904761904761</v>
      </c>
      <c r="AQ5" s="90">
        <f t="shared" ref="AQ5" si="1">STDEV(AJ5:AL5)</f>
        <v>16.55746538163212</v>
      </c>
      <c r="AR5" s="90">
        <f>AQ5/SQRT(3)</f>
        <v>9.5594570951832143</v>
      </c>
      <c r="AS5" s="99" t="s">
        <v>666</v>
      </c>
    </row>
    <row r="6" spans="1:45">
      <c r="B6" s="58"/>
      <c r="C6" s="58"/>
      <c r="D6" s="58" t="s">
        <v>60</v>
      </c>
      <c r="E6" s="58">
        <v>0.77</v>
      </c>
      <c r="F6" s="58">
        <v>0.76</v>
      </c>
      <c r="G6" s="58">
        <v>0.74</v>
      </c>
      <c r="H6" s="58"/>
      <c r="I6" s="58"/>
      <c r="J6" s="58" t="s">
        <v>60</v>
      </c>
      <c r="K6" s="58">
        <v>0.255</v>
      </c>
      <c r="L6" s="58">
        <v>0.21999999999999997</v>
      </c>
      <c r="M6" s="58">
        <v>0.20500000000000002</v>
      </c>
      <c r="N6" s="58"/>
      <c r="O6" s="58"/>
      <c r="P6" s="58"/>
      <c r="Q6" s="58">
        <v>0.22500000000000001</v>
      </c>
      <c r="R6" s="58">
        <v>0.22</v>
      </c>
      <c r="S6" s="58">
        <v>0.13100000000000001</v>
      </c>
      <c r="T6" s="58"/>
      <c r="U6" s="58"/>
      <c r="V6" s="58"/>
      <c r="W6" s="58"/>
      <c r="X6" s="58"/>
      <c r="Y6" s="58"/>
      <c r="Z6" s="58"/>
      <c r="AA6" s="58"/>
      <c r="AB6" s="58"/>
      <c r="AE6" s="90"/>
      <c r="AF6" s="90">
        <v>6</v>
      </c>
      <c r="AG6" s="90">
        <v>1341.4285714285713</v>
      </c>
      <c r="AH6" s="90">
        <v>1297.1428571428571</v>
      </c>
      <c r="AI6" s="90">
        <v>1311.4285714285713</v>
      </c>
      <c r="AJ6" s="90">
        <v>2090</v>
      </c>
      <c r="AK6" s="90">
        <v>2074.2857142857142</v>
      </c>
      <c r="AL6" s="90">
        <v>1872.8571428571431</v>
      </c>
      <c r="AM6" s="90">
        <f>AVERAGE(AG6:AI6)</f>
        <v>1316.6666666666667</v>
      </c>
      <c r="AN6" s="90">
        <f>STDEV(AG6:AI6)</f>
        <v>22.602751021534864</v>
      </c>
      <c r="AO6" s="90">
        <f t="shared" si="0"/>
        <v>13.049704386709243</v>
      </c>
      <c r="AP6" s="90">
        <f t="shared" ref="AP6" si="2">AVERAGE(AJ6:AL6)</f>
        <v>2012.3809523809523</v>
      </c>
      <c r="AQ6" s="90">
        <f>STDEV(AJ6:AL6)</f>
        <v>121.08635250062132</v>
      </c>
      <c r="AR6" s="90">
        <f t="shared" ref="AR6" si="3">AQ6/SQRT(3)</f>
        <v>69.909238211423641</v>
      </c>
      <c r="AS6" s="99" t="s">
        <v>666</v>
      </c>
    </row>
    <row r="7" spans="1:45">
      <c r="B7" s="58"/>
      <c r="C7" s="58"/>
      <c r="D7" s="58" t="s">
        <v>61</v>
      </c>
      <c r="E7" s="58">
        <v>1.056</v>
      </c>
      <c r="F7" s="58">
        <v>1.044</v>
      </c>
      <c r="G7" s="58">
        <v>1.032</v>
      </c>
      <c r="H7" s="58"/>
      <c r="I7" s="58"/>
      <c r="J7" s="58" t="s">
        <v>61</v>
      </c>
      <c r="K7" s="58">
        <v>0.33</v>
      </c>
      <c r="L7" s="58">
        <v>0.34200000000000003</v>
      </c>
      <c r="M7" s="58">
        <v>0.33</v>
      </c>
      <c r="N7" s="58"/>
      <c r="O7" s="58"/>
      <c r="P7" s="58"/>
      <c r="Q7" s="58">
        <v>0.09</v>
      </c>
      <c r="R7" s="58"/>
      <c r="S7" s="58"/>
      <c r="T7" s="58"/>
      <c r="U7" s="58"/>
      <c r="V7" s="58"/>
      <c r="W7" s="58"/>
      <c r="X7" s="58"/>
      <c r="Y7" s="58"/>
      <c r="Z7" s="58"/>
      <c r="AA7" s="58"/>
      <c r="AB7" s="58"/>
      <c r="AE7" s="90"/>
      <c r="AF7" s="90"/>
      <c r="AG7" s="90"/>
      <c r="AH7" s="90"/>
      <c r="AI7" s="90"/>
      <c r="AJ7" s="90"/>
      <c r="AK7" s="90"/>
      <c r="AL7" s="90"/>
      <c r="AM7" s="90"/>
      <c r="AN7" s="90"/>
      <c r="AO7" s="90"/>
      <c r="AP7" s="90"/>
      <c r="AQ7" s="90"/>
      <c r="AR7" s="90"/>
      <c r="AS7" s="99"/>
    </row>
    <row r="8" spans="1:45">
      <c r="B8" s="58"/>
      <c r="C8" s="58"/>
      <c r="D8" s="58" t="s">
        <v>62</v>
      </c>
      <c r="E8" s="58">
        <v>0.96</v>
      </c>
      <c r="F8" s="58">
        <v>0.92999999999999994</v>
      </c>
      <c r="G8" s="58">
        <v>0.94</v>
      </c>
      <c r="H8" s="58"/>
      <c r="I8" s="58"/>
      <c r="J8" s="58" t="s">
        <v>62</v>
      </c>
      <c r="K8" s="58">
        <v>0.25</v>
      </c>
      <c r="L8" s="58">
        <v>0.21499999999999997</v>
      </c>
      <c r="M8" s="58">
        <v>0.20500000000000002</v>
      </c>
      <c r="N8" s="58"/>
      <c r="O8" s="58"/>
      <c r="P8" s="58" t="s">
        <v>64</v>
      </c>
      <c r="Q8" s="58">
        <v>2.7E-2</v>
      </c>
      <c r="R8" s="58">
        <v>2.4E-2</v>
      </c>
      <c r="S8" s="58">
        <v>2.5000000000000001E-2</v>
      </c>
      <c r="T8" s="58"/>
      <c r="U8" s="58"/>
      <c r="V8" s="58"/>
      <c r="W8" s="58"/>
      <c r="X8" s="58"/>
      <c r="Y8" s="58"/>
      <c r="Z8" s="58"/>
      <c r="AA8" s="58"/>
      <c r="AB8" s="58"/>
      <c r="AE8" s="90"/>
      <c r="AF8" s="90"/>
      <c r="AG8" s="90"/>
      <c r="AH8" s="90"/>
      <c r="AI8" s="90"/>
      <c r="AJ8" s="90"/>
      <c r="AK8" s="90"/>
      <c r="AL8" s="90"/>
      <c r="AM8" s="90"/>
      <c r="AN8" s="90"/>
      <c r="AO8" s="90"/>
      <c r="AP8" s="90"/>
      <c r="AQ8" s="90"/>
      <c r="AR8" s="90"/>
      <c r="AS8" s="99"/>
    </row>
    <row r="9" spans="1:45">
      <c r="B9" s="58"/>
      <c r="C9" s="58"/>
      <c r="D9" s="58" t="s">
        <v>63</v>
      </c>
      <c r="E9" s="58">
        <v>1.488</v>
      </c>
      <c r="F9" s="58">
        <v>1.476</v>
      </c>
      <c r="G9" s="58">
        <v>1.3320000000000001</v>
      </c>
      <c r="H9" s="58"/>
      <c r="I9" s="58"/>
      <c r="J9" s="58" t="s">
        <v>63</v>
      </c>
      <c r="K9" s="58">
        <v>0.41400000000000003</v>
      </c>
      <c r="L9" s="58">
        <v>0.40200000000000002</v>
      </c>
      <c r="M9" s="58">
        <v>0.498</v>
      </c>
      <c r="N9" s="58"/>
      <c r="O9" s="58"/>
      <c r="P9" s="58"/>
      <c r="Q9" s="58">
        <v>2.8000000000000001E-2</v>
      </c>
      <c r="R9" s="58">
        <v>2.4E-2</v>
      </c>
      <c r="S9" s="58">
        <v>2.4E-2</v>
      </c>
      <c r="T9" s="58"/>
      <c r="U9" s="58"/>
      <c r="V9" s="58"/>
      <c r="W9" s="58"/>
      <c r="X9" s="58"/>
      <c r="Y9" s="58"/>
      <c r="Z9" s="58"/>
      <c r="AA9" s="58"/>
      <c r="AB9" s="58"/>
      <c r="AE9" s="90"/>
      <c r="AF9" s="90"/>
      <c r="AG9" s="90"/>
      <c r="AH9" s="90"/>
      <c r="AI9" s="90"/>
      <c r="AJ9" s="90"/>
      <c r="AK9" s="90"/>
      <c r="AL9" s="90"/>
      <c r="AM9" s="90"/>
      <c r="AN9" s="90"/>
      <c r="AO9" s="90"/>
      <c r="AP9" s="90"/>
      <c r="AQ9" s="90"/>
      <c r="AR9" s="90"/>
      <c r="AS9" s="99"/>
    </row>
    <row r="10" spans="1:45">
      <c r="B10" s="58" t="s">
        <v>64</v>
      </c>
      <c r="C10" s="58" t="s">
        <v>54</v>
      </c>
      <c r="D10" s="58" t="s">
        <v>57</v>
      </c>
      <c r="E10" s="58"/>
      <c r="F10" s="58"/>
      <c r="G10" s="58"/>
      <c r="H10" s="58" t="s">
        <v>64</v>
      </c>
      <c r="I10" s="58" t="s">
        <v>31</v>
      </c>
      <c r="J10" s="58" t="s">
        <v>57</v>
      </c>
      <c r="K10" s="58"/>
      <c r="L10" s="58"/>
      <c r="M10" s="58"/>
      <c r="N10" s="58"/>
      <c r="O10" s="58"/>
      <c r="P10" s="58"/>
      <c r="Q10" s="58">
        <v>2.4E-2</v>
      </c>
      <c r="R10" s="58">
        <v>2.3E-2</v>
      </c>
      <c r="S10" s="58">
        <v>2.3E-2</v>
      </c>
      <c r="T10" s="58"/>
      <c r="U10" s="58"/>
      <c r="V10" s="58"/>
      <c r="W10" s="58"/>
      <c r="X10" s="58"/>
      <c r="Y10" s="58"/>
      <c r="Z10" s="58"/>
      <c r="AA10" s="58"/>
      <c r="AB10" s="58"/>
      <c r="AE10" s="90"/>
      <c r="AF10" s="90"/>
      <c r="AG10" s="90"/>
      <c r="AH10" s="90"/>
      <c r="AI10" s="90"/>
      <c r="AJ10" s="90"/>
      <c r="AK10" s="90"/>
      <c r="AL10" s="90"/>
      <c r="AM10" s="90"/>
      <c r="AN10" s="90"/>
      <c r="AO10" s="90"/>
      <c r="AP10" s="99"/>
      <c r="AQ10" s="90"/>
      <c r="AR10" s="90"/>
      <c r="AS10" s="101"/>
    </row>
    <row r="11" spans="1:45">
      <c r="B11" s="58"/>
      <c r="C11" s="58"/>
      <c r="D11" s="58" t="s">
        <v>58</v>
      </c>
      <c r="E11" s="58">
        <v>2.3E-2</v>
      </c>
      <c r="F11" s="58">
        <v>2.5999999999999999E-2</v>
      </c>
      <c r="G11" s="58">
        <v>2.9000000000000001E-2</v>
      </c>
      <c r="H11" s="58"/>
      <c r="I11" s="58"/>
      <c r="J11" s="58" t="s">
        <v>58</v>
      </c>
      <c r="K11" s="58">
        <v>3.1E-2</v>
      </c>
      <c r="L11" s="58">
        <v>2.8000000000000001E-2</v>
      </c>
      <c r="M11" s="58">
        <v>2.9000000000000001E-2</v>
      </c>
      <c r="N11" s="58"/>
      <c r="O11" s="58"/>
      <c r="P11" s="58"/>
      <c r="Q11" s="58">
        <v>2.5000000000000001E-2</v>
      </c>
      <c r="R11" s="58">
        <v>2.7E-2</v>
      </c>
      <c r="S11" s="58">
        <v>2.3E-2</v>
      </c>
      <c r="T11" s="58"/>
      <c r="U11" s="58"/>
      <c r="V11" s="58"/>
      <c r="W11" s="58"/>
      <c r="X11" s="58"/>
      <c r="Y11" s="58"/>
      <c r="Z11" s="58"/>
      <c r="AA11" s="58"/>
      <c r="AB11" s="58"/>
      <c r="AE11" s="90"/>
      <c r="AF11" s="90"/>
      <c r="AG11" s="90"/>
      <c r="AH11" s="90"/>
      <c r="AI11" s="90"/>
      <c r="AJ11" s="90"/>
      <c r="AK11" s="90"/>
      <c r="AL11" s="90"/>
      <c r="AM11" s="90"/>
      <c r="AN11" s="90"/>
      <c r="AO11" s="90"/>
      <c r="AP11" s="99"/>
      <c r="AQ11" s="90"/>
      <c r="AR11" s="90"/>
      <c r="AS11" s="101"/>
    </row>
    <row r="12" spans="1:45">
      <c r="B12" s="58"/>
      <c r="C12" s="58"/>
      <c r="D12" s="58" t="s">
        <v>59</v>
      </c>
      <c r="E12" s="58">
        <v>2.8000000000000001E-2</v>
      </c>
      <c r="F12" s="58">
        <v>2.8000000000000001E-2</v>
      </c>
      <c r="G12" s="58">
        <v>2.5999999999999999E-2</v>
      </c>
      <c r="H12" s="58"/>
      <c r="I12" s="58"/>
      <c r="J12" s="58" t="s">
        <v>59</v>
      </c>
      <c r="K12" s="58">
        <v>3.9E-2</v>
      </c>
      <c r="L12" s="58">
        <v>3.1E-2</v>
      </c>
      <c r="M12" s="58">
        <v>2.7E-2</v>
      </c>
      <c r="N12" s="58"/>
      <c r="O12" s="58"/>
      <c r="P12" s="58" t="s">
        <v>65</v>
      </c>
      <c r="Q12" s="58">
        <f t="shared" ref="Q12:S14" si="4">Q4-Q8</f>
        <v>2.7829999999999999</v>
      </c>
      <c r="R12" s="58">
        <f t="shared" si="4"/>
        <v>1.4550000000000001</v>
      </c>
      <c r="S12" s="58">
        <f t="shared" si="4"/>
        <v>0.72399999999999998</v>
      </c>
      <c r="T12" s="58"/>
      <c r="U12" s="58"/>
      <c r="V12" s="58"/>
      <c r="W12" s="58"/>
      <c r="X12" s="58"/>
      <c r="Y12" s="58"/>
      <c r="Z12" s="58"/>
      <c r="AA12" s="58"/>
      <c r="AB12" s="58"/>
      <c r="AE12" s="90"/>
      <c r="AF12" s="90"/>
      <c r="AG12" s="90"/>
      <c r="AH12" s="90"/>
      <c r="AI12" s="90"/>
      <c r="AJ12" s="90"/>
      <c r="AK12" s="90"/>
      <c r="AL12" s="90"/>
      <c r="AM12" s="90"/>
      <c r="AN12" s="90"/>
      <c r="AO12" s="90"/>
      <c r="AP12" s="99"/>
      <c r="AQ12" s="90"/>
      <c r="AR12" s="90"/>
      <c r="AS12" s="101"/>
    </row>
    <row r="13" spans="1:45">
      <c r="B13" s="58"/>
      <c r="C13" s="58"/>
      <c r="D13" s="58" t="s">
        <v>60</v>
      </c>
      <c r="E13" s="58">
        <v>2.7E-2</v>
      </c>
      <c r="F13" s="58">
        <v>2.9000000000000001E-2</v>
      </c>
      <c r="G13" s="58">
        <v>2.5999999999999999E-2</v>
      </c>
      <c r="H13" s="58"/>
      <c r="I13" s="58"/>
      <c r="J13" s="58" t="s">
        <v>60</v>
      </c>
      <c r="K13" s="58">
        <v>3.5999999999999997E-2</v>
      </c>
      <c r="L13" s="58">
        <v>2.7E-2</v>
      </c>
      <c r="M13" s="58">
        <v>2.5000000000000001E-2</v>
      </c>
      <c r="N13" s="58"/>
      <c r="O13" s="58"/>
      <c r="P13" s="58"/>
      <c r="Q13" s="58">
        <f t="shared" si="4"/>
        <v>0.73499999999999999</v>
      </c>
      <c r="R13" s="58">
        <f t="shared" si="4"/>
        <v>0.36499999999999999</v>
      </c>
      <c r="S13" s="58">
        <f t="shared" si="4"/>
        <v>0.36699999999999999</v>
      </c>
      <c r="T13" s="58"/>
      <c r="U13" s="58"/>
      <c r="V13" s="58"/>
      <c r="W13" s="58"/>
      <c r="X13" s="58"/>
      <c r="Y13" s="58"/>
      <c r="Z13" s="58"/>
      <c r="AA13" s="58"/>
      <c r="AB13" s="58"/>
      <c r="AE13" s="90"/>
      <c r="AF13" s="90"/>
      <c r="AG13" s="90"/>
      <c r="AH13" s="90"/>
      <c r="AI13" s="90"/>
      <c r="AJ13" s="90"/>
      <c r="AK13" s="90"/>
      <c r="AL13" s="90"/>
      <c r="AM13" s="90"/>
      <c r="AN13" s="90"/>
      <c r="AO13" s="90"/>
      <c r="AP13" s="99"/>
      <c r="AQ13" s="90"/>
      <c r="AR13" s="90"/>
      <c r="AS13" s="101"/>
    </row>
    <row r="14" spans="1:45">
      <c r="B14" s="58"/>
      <c r="C14" s="58"/>
      <c r="D14" s="58" t="s">
        <v>61</v>
      </c>
      <c r="E14" s="58">
        <v>2.5999999999999999E-2</v>
      </c>
      <c r="F14" s="58">
        <v>2.3E-2</v>
      </c>
      <c r="G14" s="58">
        <v>2.5000000000000001E-2</v>
      </c>
      <c r="H14" s="58"/>
      <c r="I14" s="58"/>
      <c r="J14" s="58" t="s">
        <v>61</v>
      </c>
      <c r="K14" s="58">
        <v>0.03</v>
      </c>
      <c r="L14" s="58">
        <v>0.04</v>
      </c>
      <c r="M14" s="58">
        <v>2.5000000000000001E-2</v>
      </c>
      <c r="N14" s="58"/>
      <c r="O14" s="58"/>
      <c r="P14" s="58"/>
      <c r="Q14" s="58">
        <f t="shared" si="4"/>
        <v>0.20100000000000001</v>
      </c>
      <c r="R14" s="58">
        <f t="shared" si="4"/>
        <v>0.19700000000000001</v>
      </c>
      <c r="S14" s="58">
        <f t="shared" si="4"/>
        <v>0.10800000000000001</v>
      </c>
      <c r="T14" s="58"/>
      <c r="U14" s="58"/>
      <c r="V14" s="58"/>
      <c r="W14" s="58"/>
      <c r="X14" s="58"/>
      <c r="Y14" s="58"/>
      <c r="Z14" s="58"/>
      <c r="AA14" s="58"/>
      <c r="AB14" s="58"/>
      <c r="AE14" s="90" t="s">
        <v>477</v>
      </c>
      <c r="AF14" s="90" t="s">
        <v>66</v>
      </c>
      <c r="AG14" s="90" t="s">
        <v>97</v>
      </c>
      <c r="AH14" s="90"/>
      <c r="AI14" s="90"/>
      <c r="AJ14" s="90" t="s">
        <v>99</v>
      </c>
      <c r="AK14" s="90"/>
      <c r="AL14" s="90"/>
      <c r="AM14" s="90" t="s">
        <v>663</v>
      </c>
      <c r="AN14" s="90" t="s">
        <v>396</v>
      </c>
      <c r="AO14" s="90" t="s">
        <v>664</v>
      </c>
      <c r="AP14" s="90" t="s">
        <v>663</v>
      </c>
      <c r="AQ14" s="90" t="s">
        <v>396</v>
      </c>
      <c r="AR14" s="90" t="s">
        <v>664</v>
      </c>
      <c r="AS14" s="101" t="s">
        <v>665</v>
      </c>
    </row>
    <row r="15" spans="1:45">
      <c r="B15" s="58"/>
      <c r="C15" s="58"/>
      <c r="D15" s="58" t="s">
        <v>62</v>
      </c>
      <c r="E15" s="58">
        <v>2.1000000000000001E-2</v>
      </c>
      <c r="F15" s="58">
        <v>2.1999999999999999E-2</v>
      </c>
      <c r="G15" s="58">
        <v>2.1999999999999999E-2</v>
      </c>
      <c r="H15" s="58"/>
      <c r="I15" s="58"/>
      <c r="J15" s="58" t="s">
        <v>62</v>
      </c>
      <c r="K15" s="58">
        <v>4.8000000000000001E-2</v>
      </c>
      <c r="L15" s="58">
        <v>2.8000000000000001E-2</v>
      </c>
      <c r="M15" s="58">
        <v>2.5999999999999999E-2</v>
      </c>
      <c r="N15" s="58"/>
      <c r="O15" s="58"/>
      <c r="P15" s="58"/>
      <c r="Q15" s="58">
        <f>Q7-Q11</f>
        <v>6.5000000000000002E-2</v>
      </c>
      <c r="R15" s="58"/>
      <c r="S15" s="58"/>
      <c r="T15" s="58"/>
      <c r="U15" s="58"/>
      <c r="V15" s="58"/>
      <c r="W15" s="58"/>
      <c r="X15" s="58"/>
      <c r="Y15" s="58"/>
      <c r="Z15" s="58"/>
      <c r="AA15" s="58"/>
      <c r="AB15" s="58"/>
      <c r="AE15" s="90"/>
      <c r="AF15" s="90">
        <v>0</v>
      </c>
      <c r="AG15" s="90">
        <v>25.714285714285719</v>
      </c>
      <c r="AH15" s="90">
        <v>28.571428571428573</v>
      </c>
      <c r="AI15" s="90">
        <v>27.142857142857142</v>
      </c>
      <c r="AJ15" s="90">
        <v>18.571428571428577</v>
      </c>
      <c r="AK15" s="90">
        <v>25.714285714285719</v>
      </c>
      <c r="AL15" s="90">
        <v>24.285714285714281</v>
      </c>
      <c r="AM15" s="90">
        <f>AVERAGE(AG15:AI15)</f>
        <v>27.142857142857142</v>
      </c>
      <c r="AN15" s="90">
        <f>STDEV(AG15:AI15)</f>
        <v>1.428571428571427</v>
      </c>
      <c r="AO15" s="90">
        <f>AN15/SQRT(3)</f>
        <v>0.82478609884232168</v>
      </c>
      <c r="AP15" s="90">
        <f>AVERAGE(AJ15:AL15)</f>
        <v>22.857142857142858</v>
      </c>
      <c r="AQ15" s="90">
        <f>STDEV(AJ15:AL15)</f>
        <v>3.779644730092294</v>
      </c>
      <c r="AR15" s="90">
        <f>AQ15/SQRT(3)</f>
        <v>2.1821789023599365</v>
      </c>
      <c r="AS15" s="99">
        <v>0.99819999999999998</v>
      </c>
    </row>
    <row r="16" spans="1:45">
      <c r="B16" s="58"/>
      <c r="C16" s="58"/>
      <c r="D16" s="58" t="s">
        <v>63</v>
      </c>
      <c r="E16" s="58">
        <v>2.5000000000000001E-2</v>
      </c>
      <c r="F16" s="58">
        <v>2.4E-2</v>
      </c>
      <c r="G16" s="58">
        <v>2.1000000000000001E-2</v>
      </c>
      <c r="H16" s="58"/>
      <c r="I16" s="58"/>
      <c r="J16" s="58" t="s">
        <v>63</v>
      </c>
      <c r="K16" s="58">
        <v>2.9000000000000001E-2</v>
      </c>
      <c r="L16" s="58">
        <v>2.5000000000000001E-2</v>
      </c>
      <c r="M16" s="58">
        <v>2.7E-2</v>
      </c>
      <c r="N16" s="58"/>
      <c r="O16" s="58"/>
      <c r="P16" s="58"/>
      <c r="Q16" s="58"/>
      <c r="R16" s="58"/>
      <c r="S16" s="58"/>
      <c r="T16" s="58"/>
      <c r="U16" s="58"/>
      <c r="V16" s="58"/>
      <c r="W16" s="58"/>
      <c r="X16" s="58"/>
      <c r="Y16" s="58"/>
      <c r="Z16" s="58"/>
      <c r="AA16" s="58"/>
      <c r="AB16" s="58"/>
      <c r="AE16" s="90"/>
      <c r="AF16" s="90">
        <v>3</v>
      </c>
      <c r="AG16" s="90">
        <v>312.85714285714283</v>
      </c>
      <c r="AH16" s="90">
        <v>275.71428571428567</v>
      </c>
      <c r="AI16" s="90">
        <v>257.14285714285717</v>
      </c>
      <c r="AJ16" s="90">
        <v>428.57142857142861</v>
      </c>
      <c r="AK16" s="90">
        <v>431.4285714285715</v>
      </c>
      <c r="AL16" s="90">
        <v>435.71428571428572</v>
      </c>
      <c r="AM16" s="90">
        <f>AVERAGE(AG16:AI16)</f>
        <v>281.90476190476187</v>
      </c>
      <c r="AN16" s="90">
        <f>STDEV(AG16:AI16)</f>
        <v>28.36832573067899</v>
      </c>
      <c r="AO16" s="90">
        <f t="shared" ref="AO16:AO17" si="5">AN16/SQRT(3)</f>
        <v>16.378460497066502</v>
      </c>
      <c r="AP16" s="90">
        <f>AVERAGE(AJ16:AL16)</f>
        <v>431.90476190476193</v>
      </c>
      <c r="AQ16" s="90">
        <f t="shared" ref="AQ16" si="6">STDEV(AJ16:AL16)</f>
        <v>3.595159254890814</v>
      </c>
      <c r="AR16" s="90">
        <f>AQ16/SQRT(3)</f>
        <v>2.0756661635907858</v>
      </c>
      <c r="AS16" s="99">
        <v>4.0000000000000002E-4</v>
      </c>
    </row>
    <row r="17" spans="2:45">
      <c r="B17" s="58" t="s">
        <v>65</v>
      </c>
      <c r="C17" s="58" t="s">
        <v>53</v>
      </c>
      <c r="D17" s="58" t="s">
        <v>66</v>
      </c>
      <c r="E17" s="58"/>
      <c r="F17" s="58"/>
      <c r="G17" s="58"/>
      <c r="H17" s="58" t="s">
        <v>65</v>
      </c>
      <c r="I17" s="58" t="s">
        <v>31</v>
      </c>
      <c r="J17" s="58" t="s">
        <v>66</v>
      </c>
      <c r="K17" s="58"/>
      <c r="L17" s="58"/>
      <c r="M17" s="58"/>
      <c r="N17" s="58"/>
      <c r="O17" s="58"/>
      <c r="P17" s="58"/>
      <c r="Q17" s="58"/>
      <c r="R17" s="58"/>
      <c r="S17" s="58"/>
      <c r="T17" s="58"/>
      <c r="U17" s="58"/>
      <c r="V17" s="58"/>
      <c r="W17" s="58"/>
      <c r="X17" s="58"/>
      <c r="Y17" s="58"/>
      <c r="Z17" s="58"/>
      <c r="AA17" s="58"/>
      <c r="AB17" s="58"/>
      <c r="AE17" s="90"/>
      <c r="AF17" s="90">
        <v>6</v>
      </c>
      <c r="AG17" s="90">
        <v>288.57142857142861</v>
      </c>
      <c r="AH17" s="90">
        <v>267.14285714285711</v>
      </c>
      <c r="AI17" s="90">
        <v>255.71428571428575</v>
      </c>
      <c r="AJ17" s="90">
        <v>550</v>
      </c>
      <c r="AK17" s="90">
        <v>538.57142857142856</v>
      </c>
      <c r="AL17" s="90">
        <v>672.85714285714278</v>
      </c>
      <c r="AM17" s="90">
        <f>AVERAGE(AG17:AI17)</f>
        <v>270.47619047619054</v>
      </c>
      <c r="AN17" s="90">
        <f>STDEV(AG17:AI17)</f>
        <v>16.68026656013048</v>
      </c>
      <c r="AO17" s="90">
        <f t="shared" si="5"/>
        <v>9.6303563886460459</v>
      </c>
      <c r="AP17" s="90">
        <f t="shared" ref="AP17" si="7">AVERAGE(AJ17:AL17)</f>
        <v>587.142857142857</v>
      </c>
      <c r="AQ17" s="90">
        <f>STDEV(AJ17:AL17)</f>
        <v>74.450366975974504</v>
      </c>
      <c r="AR17" s="90">
        <f t="shared" ref="AR17" si="8">AQ17/SQRT(3)</f>
        <v>42.98393941484531</v>
      </c>
      <c r="AS17" s="99" t="s">
        <v>666</v>
      </c>
    </row>
    <row r="18" spans="2:45">
      <c r="B18" s="58"/>
      <c r="C18" s="58"/>
      <c r="D18" s="58" t="s">
        <v>58</v>
      </c>
      <c r="E18" s="58">
        <f t="shared" ref="E18:G23" si="9">E4-E11</f>
        <v>7.3000000000000009E-2</v>
      </c>
      <c r="F18" s="58">
        <f t="shared" si="9"/>
        <v>7.5999999999999998E-2</v>
      </c>
      <c r="G18" s="58">
        <f t="shared" si="9"/>
        <v>8.1000000000000003E-2</v>
      </c>
      <c r="H18" s="58"/>
      <c r="I18" s="58"/>
      <c r="J18" s="58" t="s">
        <v>67</v>
      </c>
      <c r="K18" s="58">
        <f t="shared" ref="K18:M23" si="10">K4-K11</f>
        <v>1.8000000000000002E-2</v>
      </c>
      <c r="L18" s="58">
        <f t="shared" si="10"/>
        <v>0.02</v>
      </c>
      <c r="M18" s="58">
        <f t="shared" si="10"/>
        <v>1.9E-2</v>
      </c>
      <c r="N18" s="58"/>
      <c r="O18" s="58"/>
      <c r="P18" s="58"/>
      <c r="Q18" s="58"/>
      <c r="R18" s="58"/>
      <c r="S18" s="58"/>
      <c r="T18" s="58"/>
      <c r="U18" s="58"/>
      <c r="V18" s="58"/>
      <c r="W18" s="58"/>
      <c r="X18" s="58"/>
      <c r="Y18" s="58"/>
      <c r="Z18" s="58"/>
      <c r="AA18" s="58"/>
      <c r="AB18" s="58"/>
      <c r="AE18" s="90"/>
      <c r="AF18" s="90"/>
      <c r="AG18" s="90"/>
      <c r="AH18" s="90"/>
      <c r="AI18" s="90"/>
      <c r="AJ18" s="90"/>
      <c r="AK18" s="90"/>
      <c r="AL18" s="90"/>
      <c r="AM18" s="90"/>
      <c r="AN18" s="90"/>
      <c r="AO18" s="90"/>
      <c r="AP18" s="90"/>
      <c r="AQ18" s="90"/>
      <c r="AR18" s="90"/>
      <c r="AS18" s="101"/>
    </row>
    <row r="19" spans="2:45">
      <c r="B19" s="58"/>
      <c r="C19" s="58"/>
      <c r="D19" s="58" t="s">
        <v>59</v>
      </c>
      <c r="E19" s="58">
        <f t="shared" si="9"/>
        <v>0.10200000000000001</v>
      </c>
      <c r="F19" s="58">
        <f t="shared" si="9"/>
        <v>0.1</v>
      </c>
      <c r="G19" s="58">
        <f t="shared" si="9"/>
        <v>0.10600000000000001</v>
      </c>
      <c r="H19" s="58"/>
      <c r="I19" s="58"/>
      <c r="J19" s="58" t="s">
        <v>68</v>
      </c>
      <c r="K19" s="58">
        <f t="shared" si="10"/>
        <v>1.3000000000000005E-2</v>
      </c>
      <c r="L19" s="58">
        <f t="shared" si="10"/>
        <v>1.8000000000000002E-2</v>
      </c>
      <c r="M19" s="58">
        <f t="shared" si="10"/>
        <v>1.6999999999999998E-2</v>
      </c>
      <c r="N19" s="58"/>
      <c r="O19" s="58"/>
      <c r="P19" s="58"/>
      <c r="Q19" s="58"/>
      <c r="R19" s="58"/>
      <c r="S19" s="58"/>
      <c r="T19" s="58"/>
      <c r="U19" s="58"/>
      <c r="V19" s="58"/>
      <c r="W19" s="58"/>
      <c r="X19" s="58"/>
      <c r="Y19" s="58"/>
      <c r="Z19" s="58"/>
      <c r="AA19" s="58"/>
      <c r="AB19" s="58"/>
    </row>
    <row r="20" spans="2:45">
      <c r="B20" s="58"/>
      <c r="C20" s="58"/>
      <c r="D20" s="58" t="s">
        <v>60</v>
      </c>
      <c r="E20" s="58">
        <f t="shared" si="9"/>
        <v>0.74299999999999999</v>
      </c>
      <c r="F20" s="58">
        <f t="shared" si="9"/>
        <v>0.73099999999999998</v>
      </c>
      <c r="G20" s="58">
        <f t="shared" si="9"/>
        <v>0.71399999999999997</v>
      </c>
      <c r="H20" s="58"/>
      <c r="I20" s="58"/>
      <c r="J20" s="58" t="s">
        <v>69</v>
      </c>
      <c r="K20" s="58">
        <f t="shared" si="10"/>
        <v>0.219</v>
      </c>
      <c r="L20" s="58">
        <f t="shared" si="10"/>
        <v>0.19299999999999998</v>
      </c>
      <c r="M20" s="58">
        <f t="shared" si="10"/>
        <v>0.18000000000000002</v>
      </c>
      <c r="N20" s="58"/>
      <c r="O20" s="58"/>
      <c r="P20" s="58"/>
      <c r="Q20" s="58"/>
      <c r="R20" s="58"/>
      <c r="S20" s="58"/>
      <c r="T20" s="58"/>
      <c r="U20" s="58"/>
      <c r="V20" s="58"/>
      <c r="W20" s="58"/>
      <c r="X20" s="58"/>
      <c r="Y20" s="58"/>
      <c r="Z20" s="58"/>
      <c r="AA20" s="58"/>
      <c r="AB20" s="58"/>
    </row>
    <row r="21" spans="2:45">
      <c r="B21" s="58"/>
      <c r="C21" s="58"/>
      <c r="D21" s="58" t="s">
        <v>61</v>
      </c>
      <c r="E21" s="58">
        <f t="shared" si="9"/>
        <v>1.03</v>
      </c>
      <c r="F21" s="58">
        <f t="shared" si="9"/>
        <v>1.0210000000000001</v>
      </c>
      <c r="G21" s="58">
        <f t="shared" si="9"/>
        <v>1.0070000000000001</v>
      </c>
      <c r="H21" s="58"/>
      <c r="I21" s="58"/>
      <c r="J21" s="58" t="s">
        <v>70</v>
      </c>
      <c r="K21" s="58">
        <f t="shared" si="10"/>
        <v>0.30000000000000004</v>
      </c>
      <c r="L21" s="58">
        <f t="shared" si="10"/>
        <v>0.30200000000000005</v>
      </c>
      <c r="M21" s="58">
        <f t="shared" si="10"/>
        <v>0.30499999999999999</v>
      </c>
      <c r="N21" s="58"/>
      <c r="O21" s="58"/>
      <c r="P21" s="58"/>
      <c r="Q21" s="58"/>
      <c r="R21" s="58"/>
      <c r="S21" s="58"/>
      <c r="T21" s="58"/>
      <c r="U21" s="58"/>
      <c r="V21" s="58"/>
      <c r="W21" s="58"/>
      <c r="X21" s="58"/>
      <c r="Y21" s="58"/>
      <c r="Z21" s="58"/>
      <c r="AA21" s="58"/>
      <c r="AB21" s="58"/>
    </row>
    <row r="22" spans="2:45">
      <c r="B22" s="58"/>
      <c r="C22" s="58"/>
      <c r="D22" s="58" t="s">
        <v>62</v>
      </c>
      <c r="E22" s="58">
        <f t="shared" si="9"/>
        <v>0.93899999999999995</v>
      </c>
      <c r="F22" s="58">
        <f t="shared" si="9"/>
        <v>0.90799999999999992</v>
      </c>
      <c r="G22" s="58">
        <f t="shared" si="9"/>
        <v>0.91799999999999993</v>
      </c>
      <c r="H22" s="58"/>
      <c r="I22" s="58"/>
      <c r="J22" s="58" t="s">
        <v>71</v>
      </c>
      <c r="K22" s="58">
        <f t="shared" si="10"/>
        <v>0.20200000000000001</v>
      </c>
      <c r="L22" s="58">
        <f t="shared" si="10"/>
        <v>0.18699999999999997</v>
      </c>
      <c r="M22" s="58">
        <f t="shared" si="10"/>
        <v>0.17900000000000002</v>
      </c>
      <c r="N22" s="58"/>
      <c r="O22" s="58"/>
      <c r="P22" s="58"/>
      <c r="Q22" s="58"/>
      <c r="R22" s="58"/>
      <c r="S22" s="58"/>
      <c r="T22" s="58"/>
      <c r="U22" s="58"/>
      <c r="V22" s="58"/>
      <c r="W22" s="58"/>
      <c r="X22" s="58"/>
      <c r="Y22" s="58"/>
      <c r="Z22" s="58"/>
      <c r="AA22" s="58"/>
      <c r="AB22" s="58"/>
    </row>
    <row r="23" spans="2:45">
      <c r="B23" s="58"/>
      <c r="C23" s="58"/>
      <c r="D23" s="58" t="s">
        <v>63</v>
      </c>
      <c r="E23" s="58">
        <f t="shared" si="9"/>
        <v>1.4630000000000001</v>
      </c>
      <c r="F23" s="58">
        <f t="shared" si="9"/>
        <v>1.452</v>
      </c>
      <c r="G23" s="58">
        <f t="shared" si="9"/>
        <v>1.3110000000000002</v>
      </c>
      <c r="H23" s="58"/>
      <c r="I23" s="58"/>
      <c r="J23" s="58" t="s">
        <v>72</v>
      </c>
      <c r="K23" s="58">
        <f t="shared" si="10"/>
        <v>0.38500000000000001</v>
      </c>
      <c r="L23" s="58">
        <f t="shared" si="10"/>
        <v>0.377</v>
      </c>
      <c r="M23" s="58">
        <f t="shared" si="10"/>
        <v>0.47099999999999997</v>
      </c>
      <c r="N23" s="58"/>
      <c r="O23" s="58"/>
      <c r="P23" s="58"/>
      <c r="Q23" s="58"/>
      <c r="R23" s="58"/>
      <c r="S23" s="58"/>
      <c r="T23" s="58"/>
      <c r="U23" s="58"/>
      <c r="V23" s="58"/>
      <c r="W23" s="58"/>
      <c r="X23" s="58"/>
      <c r="Y23" s="58"/>
      <c r="Z23" s="58"/>
      <c r="AA23" s="58"/>
      <c r="AB23" s="58"/>
    </row>
    <row r="24" spans="2:45">
      <c r="B24" s="58" t="s">
        <v>74</v>
      </c>
      <c r="C24" s="58" t="s">
        <v>53</v>
      </c>
      <c r="D24" s="58" t="s">
        <v>66</v>
      </c>
      <c r="E24" s="58"/>
      <c r="F24" s="58"/>
      <c r="G24" s="58"/>
      <c r="H24" s="58" t="s">
        <v>74</v>
      </c>
      <c r="I24" s="58" t="s">
        <v>31</v>
      </c>
      <c r="J24" s="58" t="s">
        <v>66</v>
      </c>
      <c r="K24" s="58"/>
      <c r="L24" s="58"/>
      <c r="M24" s="58"/>
      <c r="N24" s="58"/>
      <c r="O24" s="58"/>
      <c r="P24" s="58"/>
      <c r="Q24" s="58"/>
      <c r="R24" s="58"/>
      <c r="S24" s="58"/>
      <c r="T24" s="58"/>
      <c r="U24" s="58"/>
      <c r="V24" s="58"/>
      <c r="W24" s="58"/>
      <c r="X24" s="58"/>
      <c r="Y24" s="58"/>
      <c r="Z24" s="58"/>
      <c r="AA24" s="58"/>
      <c r="AB24" s="58"/>
    </row>
    <row r="25" spans="2:45">
      <c r="B25" s="58" t="s">
        <v>73</v>
      </c>
      <c r="C25" s="58"/>
      <c r="D25" s="58" t="s">
        <v>58</v>
      </c>
      <c r="E25" s="58">
        <f t="shared" ref="E25:G30" si="11">E18/0.0014</f>
        <v>52.142857142857153</v>
      </c>
      <c r="F25" s="58">
        <f t="shared" si="11"/>
        <v>54.285714285714285</v>
      </c>
      <c r="G25" s="58">
        <f t="shared" si="11"/>
        <v>57.857142857142861</v>
      </c>
      <c r="H25" s="58" t="s">
        <v>73</v>
      </c>
      <c r="I25" s="58"/>
      <c r="J25" s="58" t="s">
        <v>67</v>
      </c>
      <c r="K25" s="58">
        <f t="shared" ref="K25:M30" si="12">K18/0.0014</f>
        <v>12.857142857142859</v>
      </c>
      <c r="L25" s="58">
        <f t="shared" si="12"/>
        <v>14.285714285714286</v>
      </c>
      <c r="M25" s="58">
        <f t="shared" si="12"/>
        <v>13.571428571428571</v>
      </c>
      <c r="N25" s="58"/>
      <c r="O25" s="58"/>
      <c r="P25" s="58"/>
      <c r="Q25" s="58"/>
      <c r="R25" s="58"/>
      <c r="S25" s="58"/>
      <c r="T25" s="58"/>
      <c r="U25" s="58"/>
      <c r="V25" s="58"/>
      <c r="W25" s="58"/>
      <c r="X25" s="58"/>
      <c r="Y25" s="58"/>
      <c r="Z25" s="58"/>
      <c r="AA25" s="58"/>
      <c r="AB25" s="58"/>
    </row>
    <row r="26" spans="2:45">
      <c r="B26" s="58"/>
      <c r="C26" s="58"/>
      <c r="D26" s="58" t="s">
        <v>59</v>
      </c>
      <c r="E26" s="58">
        <f t="shared" si="11"/>
        <v>72.857142857142861</v>
      </c>
      <c r="F26" s="58">
        <f t="shared" si="11"/>
        <v>71.428571428571431</v>
      </c>
      <c r="G26" s="58">
        <f t="shared" si="11"/>
        <v>75.714285714285722</v>
      </c>
      <c r="H26" s="58"/>
      <c r="I26" s="58"/>
      <c r="J26" s="58" t="s">
        <v>68</v>
      </c>
      <c r="K26" s="58">
        <f t="shared" si="12"/>
        <v>9.2857142857142883</v>
      </c>
      <c r="L26" s="58">
        <f t="shared" si="12"/>
        <v>12.857142857142859</v>
      </c>
      <c r="M26" s="58">
        <f t="shared" si="12"/>
        <v>12.142857142857141</v>
      </c>
      <c r="N26" s="58"/>
      <c r="O26" s="58"/>
      <c r="P26" s="58"/>
      <c r="Q26" s="58"/>
      <c r="R26" s="58"/>
      <c r="S26" s="58"/>
      <c r="T26" s="58"/>
      <c r="U26" s="58"/>
      <c r="V26" s="58"/>
      <c r="W26" s="58"/>
      <c r="X26" s="58"/>
      <c r="Y26" s="58"/>
      <c r="Z26" s="58"/>
      <c r="AA26" s="58"/>
      <c r="AB26" s="58"/>
    </row>
    <row r="27" spans="2:45">
      <c r="B27" s="58"/>
      <c r="C27" s="58"/>
      <c r="D27" s="58" t="s">
        <v>60</v>
      </c>
      <c r="E27" s="58">
        <f t="shared" si="11"/>
        <v>530.71428571428567</v>
      </c>
      <c r="F27" s="58">
        <f t="shared" si="11"/>
        <v>522.14285714285711</v>
      </c>
      <c r="G27" s="58">
        <f t="shared" si="11"/>
        <v>510</v>
      </c>
      <c r="H27" s="58"/>
      <c r="I27" s="58"/>
      <c r="J27" s="58" t="s">
        <v>69</v>
      </c>
      <c r="K27" s="58">
        <f t="shared" si="12"/>
        <v>156.42857142857142</v>
      </c>
      <c r="L27" s="58">
        <f t="shared" si="12"/>
        <v>137.85714285714283</v>
      </c>
      <c r="M27" s="58">
        <f t="shared" si="12"/>
        <v>128.57142857142858</v>
      </c>
      <c r="N27" s="58"/>
      <c r="O27" s="58"/>
      <c r="P27" s="58"/>
      <c r="Q27" s="58"/>
      <c r="R27" s="58"/>
      <c r="S27" s="58"/>
      <c r="T27" s="58"/>
      <c r="U27" s="58"/>
      <c r="V27" s="58"/>
      <c r="W27" s="58"/>
      <c r="X27" s="58"/>
      <c r="Y27" s="58"/>
      <c r="Z27" s="58"/>
      <c r="AA27" s="58"/>
      <c r="AB27" s="58"/>
    </row>
    <row r="28" spans="2:45">
      <c r="B28" s="58"/>
      <c r="C28" s="58"/>
      <c r="D28" s="58" t="s">
        <v>61</v>
      </c>
      <c r="E28" s="58">
        <f t="shared" si="11"/>
        <v>735.71428571428578</v>
      </c>
      <c r="F28" s="58">
        <f t="shared" si="11"/>
        <v>729.28571428571433</v>
      </c>
      <c r="G28" s="58">
        <f t="shared" si="11"/>
        <v>719.28571428571433</v>
      </c>
      <c r="H28" s="58"/>
      <c r="I28" s="58"/>
      <c r="J28" s="58" t="s">
        <v>70</v>
      </c>
      <c r="K28" s="58">
        <f t="shared" si="12"/>
        <v>214.28571428571431</v>
      </c>
      <c r="L28" s="58">
        <f t="shared" si="12"/>
        <v>215.71428571428575</v>
      </c>
      <c r="M28" s="58">
        <f t="shared" si="12"/>
        <v>217.85714285714286</v>
      </c>
      <c r="N28" s="58"/>
      <c r="O28" s="58"/>
      <c r="P28" s="58"/>
      <c r="Q28" s="58"/>
      <c r="R28" s="58"/>
      <c r="S28" s="58"/>
      <c r="T28" s="58"/>
      <c r="U28" s="58"/>
      <c r="V28" s="58"/>
      <c r="W28" s="58"/>
      <c r="X28" s="58"/>
      <c r="Y28" s="58"/>
      <c r="Z28" s="58"/>
      <c r="AA28" s="58"/>
      <c r="AB28" s="58"/>
    </row>
    <row r="29" spans="2:45">
      <c r="B29" s="58"/>
      <c r="C29" s="58"/>
      <c r="D29" s="58" t="s">
        <v>62</v>
      </c>
      <c r="E29" s="58">
        <f t="shared" si="11"/>
        <v>670.71428571428567</v>
      </c>
      <c r="F29" s="58">
        <f t="shared" si="11"/>
        <v>648.57142857142856</v>
      </c>
      <c r="G29" s="58">
        <f t="shared" si="11"/>
        <v>655.71428571428567</v>
      </c>
      <c r="H29" s="58"/>
      <c r="I29" s="58"/>
      <c r="J29" s="58" t="s">
        <v>71</v>
      </c>
      <c r="K29" s="58">
        <f t="shared" si="12"/>
        <v>144.28571428571431</v>
      </c>
      <c r="L29" s="58">
        <f t="shared" si="12"/>
        <v>133.57142857142856</v>
      </c>
      <c r="M29" s="58">
        <f t="shared" si="12"/>
        <v>127.85714285714288</v>
      </c>
      <c r="N29" s="58"/>
      <c r="O29" s="58"/>
      <c r="P29" s="58"/>
      <c r="Q29" s="58"/>
      <c r="R29" s="58"/>
      <c r="S29" s="58"/>
      <c r="T29" s="58"/>
      <c r="U29" s="58"/>
      <c r="V29" s="58"/>
      <c r="W29" s="58"/>
      <c r="X29" s="58"/>
      <c r="Y29" s="58"/>
      <c r="Z29" s="58"/>
      <c r="AA29" s="58"/>
      <c r="AB29" s="58"/>
    </row>
    <row r="30" spans="2:45">
      <c r="B30" s="58"/>
      <c r="C30" s="58"/>
      <c r="D30" s="58" t="s">
        <v>63</v>
      </c>
      <c r="E30" s="58">
        <f t="shared" si="11"/>
        <v>1045</v>
      </c>
      <c r="F30" s="58">
        <f t="shared" si="11"/>
        <v>1037.1428571428571</v>
      </c>
      <c r="G30" s="58">
        <f t="shared" si="11"/>
        <v>936.42857142857156</v>
      </c>
      <c r="H30" s="58"/>
      <c r="I30" s="58"/>
      <c r="J30" s="58" t="s">
        <v>72</v>
      </c>
      <c r="K30" s="58">
        <f t="shared" si="12"/>
        <v>275</v>
      </c>
      <c r="L30" s="58">
        <f t="shared" si="12"/>
        <v>269.28571428571428</v>
      </c>
      <c r="M30" s="58">
        <f t="shared" si="12"/>
        <v>336.42857142857139</v>
      </c>
      <c r="N30" s="58"/>
      <c r="O30" s="58"/>
      <c r="P30" s="58"/>
      <c r="Q30" s="58"/>
      <c r="R30" s="58"/>
      <c r="S30" s="58"/>
      <c r="T30" s="58"/>
      <c r="U30" s="58"/>
      <c r="V30" s="58"/>
      <c r="W30" s="58"/>
      <c r="X30" s="58"/>
      <c r="Y30" s="58"/>
      <c r="Z30" s="58"/>
      <c r="AA30" s="58"/>
      <c r="AB30" s="58"/>
    </row>
    <row r="31" spans="2:45">
      <c r="B31" s="58" t="s">
        <v>75</v>
      </c>
      <c r="C31" s="58" t="s">
        <v>53</v>
      </c>
      <c r="D31" s="90" t="s">
        <v>66</v>
      </c>
      <c r="E31" s="90"/>
      <c r="F31" s="90"/>
      <c r="G31" s="90"/>
      <c r="H31" s="58" t="s">
        <v>75</v>
      </c>
      <c r="I31" s="58" t="s">
        <v>31</v>
      </c>
      <c r="J31" s="90" t="s">
        <v>66</v>
      </c>
      <c r="K31" s="90"/>
      <c r="L31" s="90"/>
      <c r="M31" s="90"/>
      <c r="N31" s="58"/>
      <c r="O31" s="58"/>
      <c r="P31" s="58"/>
      <c r="Q31" s="58"/>
      <c r="R31" s="58"/>
      <c r="S31" s="58"/>
      <c r="T31" s="58"/>
      <c r="U31" s="58"/>
      <c r="V31" s="58"/>
      <c r="W31" s="58"/>
      <c r="X31" s="58"/>
      <c r="Y31" s="58"/>
      <c r="Z31" s="58"/>
      <c r="AA31" s="58"/>
      <c r="AB31" s="58"/>
    </row>
    <row r="32" spans="2:45">
      <c r="B32" s="58"/>
      <c r="C32" s="58"/>
      <c r="D32" s="90" t="s">
        <v>58</v>
      </c>
      <c r="E32" s="90">
        <f t="shared" ref="E32:G37" si="13">E25*2</f>
        <v>104.28571428571431</v>
      </c>
      <c r="F32" s="90">
        <f t="shared" si="13"/>
        <v>108.57142857142857</v>
      </c>
      <c r="G32" s="90">
        <f t="shared" si="13"/>
        <v>115.71428571428572</v>
      </c>
      <c r="H32" s="58"/>
      <c r="I32" s="58"/>
      <c r="J32" s="90" t="s">
        <v>67</v>
      </c>
      <c r="K32" s="90">
        <f t="shared" ref="K32:M37" si="14">K25*2</f>
        <v>25.714285714285719</v>
      </c>
      <c r="L32" s="90">
        <f t="shared" si="14"/>
        <v>28.571428571428573</v>
      </c>
      <c r="M32" s="90">
        <f t="shared" si="14"/>
        <v>27.142857142857142</v>
      </c>
      <c r="N32" s="58"/>
      <c r="O32" s="58"/>
      <c r="P32" s="58"/>
      <c r="Q32" s="58"/>
      <c r="R32" s="58"/>
      <c r="S32" s="58"/>
      <c r="T32" s="58"/>
      <c r="U32" s="58"/>
      <c r="V32" s="58"/>
      <c r="W32" s="58"/>
      <c r="X32" s="58"/>
      <c r="Y32" s="58"/>
      <c r="Z32" s="58"/>
      <c r="AA32" s="58"/>
      <c r="AB32" s="58"/>
    </row>
    <row r="33" spans="2:45">
      <c r="B33" s="58"/>
      <c r="C33" s="58"/>
      <c r="D33" s="90" t="s">
        <v>59</v>
      </c>
      <c r="E33" s="90">
        <f t="shared" si="13"/>
        <v>145.71428571428572</v>
      </c>
      <c r="F33" s="90">
        <f t="shared" si="13"/>
        <v>142.85714285714286</v>
      </c>
      <c r="G33" s="90">
        <f t="shared" si="13"/>
        <v>151.42857142857144</v>
      </c>
      <c r="H33" s="58"/>
      <c r="I33" s="58"/>
      <c r="J33" s="90" t="s">
        <v>68</v>
      </c>
      <c r="K33" s="90">
        <f t="shared" si="14"/>
        <v>18.571428571428577</v>
      </c>
      <c r="L33" s="90">
        <f t="shared" si="14"/>
        <v>25.714285714285719</v>
      </c>
      <c r="M33" s="90">
        <f t="shared" si="14"/>
        <v>24.285714285714281</v>
      </c>
      <c r="N33" s="58"/>
      <c r="O33" s="58"/>
      <c r="P33" s="58"/>
      <c r="Q33" s="58"/>
      <c r="R33" s="58"/>
      <c r="S33" s="58"/>
      <c r="T33" s="58"/>
      <c r="U33" s="58"/>
      <c r="V33" s="58"/>
      <c r="W33" s="58"/>
      <c r="X33" s="58"/>
      <c r="Y33" s="58"/>
      <c r="Z33" s="58"/>
      <c r="AA33" s="58"/>
      <c r="AB33" s="58"/>
    </row>
    <row r="34" spans="2:45">
      <c r="B34" s="58"/>
      <c r="C34" s="58"/>
      <c r="D34" s="90" t="s">
        <v>60</v>
      </c>
      <c r="E34" s="90">
        <f t="shared" si="13"/>
        <v>1061.4285714285713</v>
      </c>
      <c r="F34" s="90">
        <f t="shared" si="13"/>
        <v>1044.2857142857142</v>
      </c>
      <c r="G34" s="90">
        <f t="shared" si="13"/>
        <v>1020</v>
      </c>
      <c r="H34" s="58"/>
      <c r="I34" s="58"/>
      <c r="J34" s="90" t="s">
        <v>69</v>
      </c>
      <c r="K34" s="90">
        <f t="shared" si="14"/>
        <v>312.85714285714283</v>
      </c>
      <c r="L34" s="90">
        <f t="shared" si="14"/>
        <v>275.71428571428567</v>
      </c>
      <c r="M34" s="90">
        <f t="shared" si="14"/>
        <v>257.14285714285717</v>
      </c>
      <c r="N34" s="58"/>
      <c r="O34" s="58"/>
      <c r="P34" s="58"/>
      <c r="Q34" s="58"/>
      <c r="R34" s="58"/>
      <c r="S34" s="58"/>
      <c r="T34" s="58"/>
      <c r="U34" s="58"/>
      <c r="V34" s="58"/>
      <c r="W34" s="58"/>
      <c r="X34" s="58"/>
      <c r="Y34" s="58"/>
      <c r="Z34" s="58"/>
      <c r="AA34" s="58"/>
      <c r="AB34" s="58"/>
    </row>
    <row r="35" spans="2:45">
      <c r="B35" s="58"/>
      <c r="C35" s="58"/>
      <c r="D35" s="90" t="s">
        <v>61</v>
      </c>
      <c r="E35" s="90">
        <f t="shared" si="13"/>
        <v>1471.4285714285716</v>
      </c>
      <c r="F35" s="90">
        <f t="shared" si="13"/>
        <v>1458.5714285714287</v>
      </c>
      <c r="G35" s="90">
        <f t="shared" si="13"/>
        <v>1438.5714285714287</v>
      </c>
      <c r="H35" s="58"/>
      <c r="I35" s="58"/>
      <c r="J35" s="90" t="s">
        <v>70</v>
      </c>
      <c r="K35" s="90">
        <f t="shared" si="14"/>
        <v>428.57142857142861</v>
      </c>
      <c r="L35" s="90">
        <f t="shared" si="14"/>
        <v>431.4285714285715</v>
      </c>
      <c r="M35" s="90">
        <f t="shared" si="14"/>
        <v>435.71428571428572</v>
      </c>
      <c r="N35" s="58"/>
      <c r="O35" s="58"/>
      <c r="P35" s="58"/>
      <c r="Q35" s="58"/>
      <c r="R35" s="58"/>
      <c r="S35" s="58"/>
      <c r="T35" s="58"/>
      <c r="U35" s="58"/>
      <c r="V35" s="58"/>
      <c r="W35" s="58"/>
      <c r="X35" s="58"/>
      <c r="Y35" s="58"/>
      <c r="Z35" s="58"/>
      <c r="AA35" s="58"/>
      <c r="AB35" s="58"/>
    </row>
    <row r="36" spans="2:45">
      <c r="B36" s="58"/>
      <c r="C36" s="58"/>
      <c r="D36" s="90" t="s">
        <v>62</v>
      </c>
      <c r="E36" s="90">
        <f t="shared" si="13"/>
        <v>1341.4285714285713</v>
      </c>
      <c r="F36" s="90">
        <f t="shared" si="13"/>
        <v>1297.1428571428571</v>
      </c>
      <c r="G36" s="90">
        <f t="shared" si="13"/>
        <v>1311.4285714285713</v>
      </c>
      <c r="H36" s="58"/>
      <c r="I36" s="58"/>
      <c r="J36" s="90" t="s">
        <v>71</v>
      </c>
      <c r="K36" s="90">
        <f t="shared" si="14"/>
        <v>288.57142857142861</v>
      </c>
      <c r="L36" s="90">
        <f t="shared" si="14"/>
        <v>267.14285714285711</v>
      </c>
      <c r="M36" s="90">
        <f t="shared" si="14"/>
        <v>255.71428571428575</v>
      </c>
      <c r="N36" s="58"/>
      <c r="O36" s="58"/>
      <c r="P36" s="58"/>
      <c r="Q36" s="58"/>
      <c r="R36" s="58"/>
      <c r="S36" s="58"/>
      <c r="T36" s="58"/>
      <c r="U36" s="58"/>
      <c r="V36" s="58"/>
      <c r="W36" s="58"/>
      <c r="X36" s="58"/>
      <c r="Y36" s="58"/>
      <c r="Z36" s="58"/>
      <c r="AA36" s="58"/>
      <c r="AB36" s="58"/>
    </row>
    <row r="37" spans="2:45">
      <c r="B37" s="58"/>
      <c r="C37" s="58"/>
      <c r="D37" s="90" t="s">
        <v>63</v>
      </c>
      <c r="E37" s="90">
        <f t="shared" si="13"/>
        <v>2090</v>
      </c>
      <c r="F37" s="90">
        <f t="shared" si="13"/>
        <v>2074.2857142857142</v>
      </c>
      <c r="G37" s="90">
        <f t="shared" si="13"/>
        <v>1872.8571428571431</v>
      </c>
      <c r="H37" s="58"/>
      <c r="I37" s="58"/>
      <c r="J37" s="90" t="s">
        <v>72</v>
      </c>
      <c r="K37" s="90">
        <f t="shared" si="14"/>
        <v>550</v>
      </c>
      <c r="L37" s="90">
        <f t="shared" si="14"/>
        <v>538.57142857142856</v>
      </c>
      <c r="M37" s="90">
        <f t="shared" si="14"/>
        <v>672.85714285714278</v>
      </c>
      <c r="N37" s="58"/>
      <c r="O37" s="58"/>
      <c r="P37" s="58"/>
      <c r="Q37" s="58"/>
      <c r="R37" s="58"/>
      <c r="S37" s="58"/>
      <c r="T37" s="58"/>
      <c r="U37" s="58"/>
      <c r="V37" s="58"/>
      <c r="W37" s="58"/>
      <c r="X37" s="58"/>
      <c r="Y37" s="58"/>
      <c r="Z37" s="58"/>
      <c r="AA37" s="58"/>
      <c r="AB37" s="58"/>
    </row>
    <row r="40" spans="2:45">
      <c r="B40" s="58"/>
      <c r="C40" s="58" t="s">
        <v>50</v>
      </c>
      <c r="D40" s="58"/>
      <c r="E40" s="58"/>
      <c r="F40" s="58"/>
      <c r="G40" s="58"/>
      <c r="H40" s="58"/>
      <c r="I40" s="58"/>
      <c r="J40" s="58"/>
      <c r="K40" s="58"/>
      <c r="L40" s="58"/>
      <c r="M40" s="58"/>
      <c r="N40" s="58"/>
      <c r="O40" s="58"/>
      <c r="P40" s="58"/>
      <c r="Q40" s="58"/>
      <c r="R40" s="58"/>
      <c r="S40" s="58"/>
      <c r="T40" s="58"/>
      <c r="U40" s="58"/>
      <c r="V40" s="58"/>
      <c r="W40" s="58"/>
      <c r="X40" s="58"/>
      <c r="Y40" s="58"/>
      <c r="Z40" s="58"/>
      <c r="AA40" s="58"/>
      <c r="AE40" s="90"/>
      <c r="AF40" s="90"/>
      <c r="AG40" s="90"/>
      <c r="AH40" s="90"/>
      <c r="AI40" s="90"/>
      <c r="AJ40" s="90"/>
      <c r="AK40" s="90"/>
      <c r="AL40" s="90"/>
      <c r="AM40" s="90"/>
      <c r="AN40" s="90"/>
      <c r="AO40" s="90"/>
      <c r="AP40" s="90"/>
      <c r="AQ40" s="90"/>
      <c r="AR40" s="90"/>
      <c r="AS40" s="101"/>
    </row>
    <row r="41" spans="2:45">
      <c r="B41" s="58" t="s">
        <v>56</v>
      </c>
      <c r="C41" s="58" t="s">
        <v>54</v>
      </c>
      <c r="D41" s="58" t="s">
        <v>57</v>
      </c>
      <c r="E41" s="58"/>
      <c r="F41" s="58"/>
      <c r="G41" s="58"/>
      <c r="H41" s="58" t="s">
        <v>56</v>
      </c>
      <c r="I41" s="58" t="s">
        <v>31</v>
      </c>
      <c r="J41" s="58" t="s">
        <v>57</v>
      </c>
      <c r="K41" s="58"/>
      <c r="L41" s="58"/>
      <c r="M41" s="58"/>
      <c r="N41" s="58"/>
      <c r="O41" s="58"/>
      <c r="P41" s="58" t="s">
        <v>74</v>
      </c>
      <c r="Q41" s="58"/>
      <c r="R41" s="58"/>
      <c r="S41" s="58"/>
      <c r="T41" s="58"/>
      <c r="U41" s="58" t="s">
        <v>79</v>
      </c>
      <c r="V41" s="58">
        <v>31.25</v>
      </c>
      <c r="W41" s="58">
        <v>62.5</v>
      </c>
      <c r="X41" s="58">
        <v>125</v>
      </c>
      <c r="Y41" s="58">
        <v>250</v>
      </c>
      <c r="Z41" s="58">
        <v>500</v>
      </c>
      <c r="AA41" s="58">
        <v>1000</v>
      </c>
      <c r="AE41" s="90" t="s">
        <v>53</v>
      </c>
      <c r="AF41" s="90" t="s">
        <v>66</v>
      </c>
      <c r="AG41" s="90" t="s">
        <v>97</v>
      </c>
      <c r="AH41" s="90"/>
      <c r="AI41" s="90"/>
      <c r="AJ41" s="90" t="s">
        <v>99</v>
      </c>
      <c r="AK41" s="90"/>
      <c r="AL41" s="90"/>
      <c r="AM41" s="90" t="s">
        <v>663</v>
      </c>
      <c r="AN41" s="90" t="s">
        <v>396</v>
      </c>
      <c r="AO41" s="90" t="s">
        <v>664</v>
      </c>
      <c r="AP41" s="90" t="s">
        <v>663</v>
      </c>
      <c r="AQ41" s="90" t="s">
        <v>396</v>
      </c>
      <c r="AR41" s="90" t="s">
        <v>664</v>
      </c>
      <c r="AS41" s="101" t="s">
        <v>665</v>
      </c>
    </row>
    <row r="42" spans="2:45">
      <c r="B42" s="58"/>
      <c r="C42" s="58"/>
      <c r="D42" s="58" t="s">
        <v>58</v>
      </c>
      <c r="E42" s="58">
        <v>0.127</v>
      </c>
      <c r="F42" s="58">
        <v>0.129</v>
      </c>
      <c r="G42" s="58">
        <v>0.128</v>
      </c>
      <c r="H42" s="58"/>
      <c r="I42" s="58"/>
      <c r="J42" s="58" t="s">
        <v>58</v>
      </c>
      <c r="K42" s="58">
        <v>4.2999999999999997E-2</v>
      </c>
      <c r="L42" s="58">
        <v>4.9000000000000002E-2</v>
      </c>
      <c r="M42" s="58">
        <v>4.8000000000000001E-2</v>
      </c>
      <c r="N42" s="58"/>
      <c r="O42" s="58"/>
      <c r="P42" s="58" t="s">
        <v>56</v>
      </c>
      <c r="Q42" s="58">
        <v>3.2189999999999999</v>
      </c>
      <c r="R42" s="58">
        <v>1.3280000000000001</v>
      </c>
      <c r="S42" s="58">
        <v>0.53400000000000003</v>
      </c>
      <c r="T42" s="58"/>
      <c r="U42" s="58" t="s">
        <v>76</v>
      </c>
      <c r="V42" s="58">
        <v>8.4000000000000005E-2</v>
      </c>
      <c r="W42" s="58">
        <v>0.12</v>
      </c>
      <c r="X42" s="58">
        <v>0.245</v>
      </c>
      <c r="Y42" s="58">
        <v>0.501</v>
      </c>
      <c r="Z42" s="58">
        <v>1.2929999999999999</v>
      </c>
      <c r="AA42" s="58">
        <v>3.1890000000000001</v>
      </c>
      <c r="AE42" s="90"/>
      <c r="AF42" s="90">
        <v>0</v>
      </c>
      <c r="AG42" s="90">
        <v>157.8125</v>
      </c>
      <c r="AH42" s="90">
        <v>157.8125</v>
      </c>
      <c r="AI42" s="90">
        <v>157.8125</v>
      </c>
      <c r="AJ42" s="90">
        <v>207.8125</v>
      </c>
      <c r="AK42" s="90">
        <v>204.6875</v>
      </c>
      <c r="AL42" s="90">
        <v>165.3125</v>
      </c>
      <c r="AM42" s="90">
        <f>AVERAGE(AG42:AI42)</f>
        <v>157.8125</v>
      </c>
      <c r="AN42" s="90">
        <f>STDEV(AG42:AI42)</f>
        <v>0</v>
      </c>
      <c r="AO42" s="90">
        <f>AN42/SQRT(3)</f>
        <v>0</v>
      </c>
      <c r="AP42" s="90">
        <f>AVERAGE(AJ42:AL42)</f>
        <v>192.60416666666666</v>
      </c>
      <c r="AQ42" s="90">
        <f>STDEV(AJ42:AL42)</f>
        <v>23.686867845566525</v>
      </c>
      <c r="AR42" s="90">
        <f>AQ42/SQRT(3)</f>
        <v>13.675619526896925</v>
      </c>
      <c r="AS42" s="99">
        <v>0.94430000000000003</v>
      </c>
    </row>
    <row r="43" spans="2:45">
      <c r="B43" s="58"/>
      <c r="C43" s="58"/>
      <c r="D43" s="58" t="s">
        <v>59</v>
      </c>
      <c r="E43" s="58">
        <v>0.20399999999999999</v>
      </c>
      <c r="F43" s="58">
        <v>0.20200000000000001</v>
      </c>
      <c r="G43" s="58">
        <v>0.13700000000000001</v>
      </c>
      <c r="H43" s="58"/>
      <c r="I43" s="58"/>
      <c r="J43" s="58" t="s">
        <v>59</v>
      </c>
      <c r="K43" s="58">
        <v>0.05</v>
      </c>
      <c r="L43" s="58">
        <v>4.7E-2</v>
      </c>
      <c r="M43" s="58">
        <v>4.4999999999999998E-2</v>
      </c>
      <c r="N43" s="58"/>
      <c r="O43" s="58"/>
      <c r="P43" s="58"/>
      <c r="Q43" s="58">
        <v>0.52600000000000002</v>
      </c>
      <c r="R43" s="58">
        <v>0.29199999999999998</v>
      </c>
      <c r="S43" s="58">
        <v>0.25700000000000001</v>
      </c>
      <c r="T43" s="58"/>
      <c r="U43" s="58"/>
      <c r="V43" s="58"/>
      <c r="W43" s="58"/>
      <c r="X43" s="58"/>
      <c r="Y43" s="58"/>
      <c r="Z43" s="58"/>
      <c r="AA43" s="58"/>
      <c r="AE43" s="90"/>
      <c r="AF43" s="90">
        <v>3</v>
      </c>
      <c r="AG43" s="90">
        <v>1305.625</v>
      </c>
      <c r="AH43" s="90">
        <v>1304.6874999999998</v>
      </c>
      <c r="AI43" s="90">
        <v>1271.5625</v>
      </c>
      <c r="AJ43" s="90">
        <v>1951.5625</v>
      </c>
      <c r="AK43" s="90">
        <v>1949.0625</v>
      </c>
      <c r="AL43" s="90">
        <v>1907.8124999999998</v>
      </c>
      <c r="AM43" s="90">
        <f>AVERAGE(AG43:AI43)</f>
        <v>1293.9583333333333</v>
      </c>
      <c r="AN43" s="90">
        <f>STDEV(AG43:AI43)</f>
        <v>19.401024189030096</v>
      </c>
      <c r="AO43" s="90">
        <f t="shared" ref="AO43:AO44" si="15">AN43/SQRT(3)</f>
        <v>11.201186538090967</v>
      </c>
      <c r="AP43" s="90">
        <f>AVERAGE(AJ43:AL43)</f>
        <v>1936.1458333333333</v>
      </c>
      <c r="AQ43" s="90">
        <f t="shared" ref="AQ43" si="16">STDEV(AJ43:AL43)</f>
        <v>24.569204979676076</v>
      </c>
      <c r="AR43" s="90">
        <f>AQ43/SQRT(3)</f>
        <v>14.185037108791077</v>
      </c>
      <c r="AS43" s="99" t="s">
        <v>666</v>
      </c>
    </row>
    <row r="44" spans="2:45">
      <c r="B44" s="58"/>
      <c r="C44" s="58"/>
      <c r="D44" s="58" t="s">
        <v>60</v>
      </c>
      <c r="E44" s="58">
        <v>1.9655</v>
      </c>
      <c r="F44" s="58">
        <v>1.968</v>
      </c>
      <c r="G44" s="58">
        <v>1.913</v>
      </c>
      <c r="H44" s="58"/>
      <c r="I44" s="58"/>
      <c r="J44" s="58" t="s">
        <v>60</v>
      </c>
      <c r="K44" s="58">
        <v>0.25600000000000001</v>
      </c>
      <c r="L44" s="58">
        <v>0.252</v>
      </c>
      <c r="M44" s="58">
        <v>0.251</v>
      </c>
      <c r="N44" s="58"/>
      <c r="O44" s="58"/>
      <c r="P44" s="58"/>
      <c r="Q44" s="58">
        <v>0.14499999999999999</v>
      </c>
      <c r="R44" s="58">
        <v>0.14799999999999999</v>
      </c>
      <c r="S44" s="58">
        <v>0.11</v>
      </c>
      <c r="T44" s="58"/>
      <c r="U44" s="58"/>
      <c r="V44" s="58"/>
      <c r="W44" s="58"/>
      <c r="X44" s="58"/>
      <c r="Y44" s="58"/>
      <c r="Z44" s="58"/>
      <c r="AA44" s="58"/>
      <c r="AE44" s="90"/>
      <c r="AF44" s="90">
        <v>6</v>
      </c>
      <c r="AG44" s="90">
        <v>876.5625</v>
      </c>
      <c r="AH44" s="90">
        <v>615.31249999999989</v>
      </c>
      <c r="AI44" s="90">
        <v>851.56250000000011</v>
      </c>
      <c r="AJ44" s="90">
        <v>1801.25</v>
      </c>
      <c r="AK44" s="90">
        <v>1542.8125</v>
      </c>
      <c r="AL44" s="90">
        <v>1760.3125</v>
      </c>
      <c r="AM44" s="90">
        <f>AVERAGE(AG44:AI44)</f>
        <v>781.14583333333337</v>
      </c>
      <c r="AN44" s="90">
        <f>STDEV(AG44:AI44)</f>
        <v>144.15883890117001</v>
      </c>
      <c r="AO44" s="90">
        <f t="shared" si="15"/>
        <v>83.230144445654403</v>
      </c>
      <c r="AP44" s="90">
        <f t="shared" ref="AP44" si="17">AVERAGE(AJ44:AL44)</f>
        <v>1701.4583333333333</v>
      </c>
      <c r="AQ44" s="90">
        <f>STDEV(AJ44:AL44)</f>
        <v>138.90768536003807</v>
      </c>
      <c r="AR44" s="90">
        <f t="shared" ref="AR44" si="18">AQ44/SQRT(3)</f>
        <v>80.198389535125827</v>
      </c>
      <c r="AS44" s="99" t="s">
        <v>666</v>
      </c>
    </row>
    <row r="45" spans="2:45">
      <c r="B45" s="58"/>
      <c r="C45" s="58"/>
      <c r="D45" s="58" t="s">
        <v>61</v>
      </c>
      <c r="E45" s="58">
        <v>3</v>
      </c>
      <c r="F45" s="58">
        <v>3</v>
      </c>
      <c r="G45" s="58">
        <v>2.9369999999999998</v>
      </c>
      <c r="H45" s="58"/>
      <c r="I45" s="58"/>
      <c r="J45" s="58" t="s">
        <v>61</v>
      </c>
      <c r="K45" s="58">
        <v>0.32200000000000001</v>
      </c>
      <c r="L45" s="58">
        <v>0.44700000000000001</v>
      </c>
      <c r="M45" s="58">
        <v>0.44800000000000001</v>
      </c>
      <c r="N45" s="58"/>
      <c r="O45" s="58"/>
      <c r="P45" s="58" t="s">
        <v>64</v>
      </c>
      <c r="Q45" s="58">
        <v>0.03</v>
      </c>
      <c r="R45" s="58">
        <v>3.5000000000000003E-2</v>
      </c>
      <c r="S45" s="58">
        <v>3.3000000000000002E-2</v>
      </c>
      <c r="T45" s="58"/>
      <c r="U45" s="58"/>
      <c r="V45" s="58"/>
      <c r="W45" s="58"/>
      <c r="X45" s="58"/>
      <c r="Y45" s="58"/>
      <c r="Z45" s="58"/>
      <c r="AA45" s="58"/>
      <c r="AE45" s="90"/>
      <c r="AF45" s="90"/>
      <c r="AG45" s="90"/>
      <c r="AH45" s="90"/>
      <c r="AI45" s="90"/>
      <c r="AJ45" s="90"/>
      <c r="AK45" s="90"/>
      <c r="AL45" s="90"/>
      <c r="AM45" s="90"/>
      <c r="AN45" s="90"/>
      <c r="AO45" s="90"/>
      <c r="AP45" s="90"/>
      <c r="AQ45" s="90"/>
      <c r="AR45" s="90"/>
      <c r="AS45" s="101"/>
    </row>
    <row r="46" spans="2:45">
      <c r="B46" s="58"/>
      <c r="C46" s="58"/>
      <c r="D46" s="58" t="s">
        <v>62</v>
      </c>
      <c r="E46" s="58">
        <v>1.2749999999999999</v>
      </c>
      <c r="F46" s="58">
        <v>0.85899999999999999</v>
      </c>
      <c r="G46" s="58">
        <v>1.2350000000000001</v>
      </c>
      <c r="H46" s="58"/>
      <c r="I46" s="58"/>
      <c r="J46" s="58" t="s">
        <v>62</v>
      </c>
      <c r="K46" s="58">
        <v>1.0620000000000001</v>
      </c>
      <c r="L46" s="58">
        <v>1.141</v>
      </c>
      <c r="M46" s="58">
        <v>1.1479999999999999</v>
      </c>
      <c r="N46" s="58"/>
      <c r="O46" s="58"/>
      <c r="P46" s="58"/>
      <c r="Q46" s="58">
        <v>2.5000000000000001E-2</v>
      </c>
      <c r="R46" s="58">
        <v>3.1E-2</v>
      </c>
      <c r="S46" s="58">
        <v>2.9000000000000001E-2</v>
      </c>
      <c r="T46" s="58"/>
      <c r="U46" s="58"/>
      <c r="V46" s="58"/>
      <c r="W46" s="58"/>
      <c r="X46" s="58"/>
      <c r="Y46" s="58"/>
      <c r="Z46" s="58"/>
      <c r="AA46" s="58"/>
      <c r="AE46" s="90"/>
      <c r="AF46" s="90"/>
      <c r="AG46" s="90"/>
      <c r="AH46" s="90"/>
      <c r="AI46" s="90"/>
      <c r="AJ46" s="90"/>
      <c r="AK46" s="90"/>
      <c r="AL46" s="90"/>
      <c r="AM46" s="90"/>
      <c r="AN46" s="90"/>
      <c r="AO46" s="90"/>
      <c r="AP46" s="90"/>
      <c r="AQ46" s="90"/>
      <c r="AR46" s="90"/>
      <c r="AS46" s="101"/>
    </row>
    <row r="47" spans="2:45">
      <c r="B47" s="58"/>
      <c r="C47" s="58"/>
      <c r="D47" s="58" t="s">
        <v>63</v>
      </c>
      <c r="E47" s="58">
        <v>2.7635000000000001</v>
      </c>
      <c r="F47" s="58">
        <v>2.3460000000000001</v>
      </c>
      <c r="G47" s="58">
        <v>2.6970000000000001</v>
      </c>
      <c r="H47" s="58"/>
      <c r="I47" s="58"/>
      <c r="J47" s="58" t="s">
        <v>63</v>
      </c>
      <c r="K47" s="58">
        <v>1.395</v>
      </c>
      <c r="L47" s="58">
        <v>1.492</v>
      </c>
      <c r="M47" s="58">
        <v>1.4690000000000001</v>
      </c>
      <c r="N47" s="58"/>
      <c r="O47" s="58"/>
      <c r="P47" s="58"/>
      <c r="Q47" s="58">
        <v>2.8000000000000001E-2</v>
      </c>
      <c r="R47" s="58">
        <v>2.5999999999999999E-2</v>
      </c>
      <c r="S47" s="58">
        <v>2.5999999999999999E-2</v>
      </c>
      <c r="T47" s="58"/>
      <c r="U47" s="58"/>
      <c r="V47" s="58"/>
      <c r="W47" s="58"/>
      <c r="X47" s="58"/>
      <c r="Y47" s="58"/>
      <c r="Z47" s="58"/>
      <c r="AA47" s="58"/>
      <c r="AE47" s="90"/>
      <c r="AF47" s="90"/>
      <c r="AG47" s="90"/>
      <c r="AH47" s="90"/>
      <c r="AI47" s="90"/>
      <c r="AJ47" s="90"/>
      <c r="AK47" s="90"/>
      <c r="AL47" s="90"/>
      <c r="AM47" s="90"/>
      <c r="AN47" s="90"/>
      <c r="AO47" s="90"/>
      <c r="AP47" s="90"/>
      <c r="AQ47" s="90"/>
      <c r="AR47" s="90"/>
      <c r="AS47" s="101"/>
    </row>
    <row r="48" spans="2:45">
      <c r="B48" s="58" t="s">
        <v>64</v>
      </c>
      <c r="C48" s="58" t="s">
        <v>54</v>
      </c>
      <c r="D48" s="58" t="s">
        <v>57</v>
      </c>
      <c r="E48" s="58"/>
      <c r="F48" s="58"/>
      <c r="G48" s="58"/>
      <c r="H48" s="58" t="s">
        <v>64</v>
      </c>
      <c r="I48" s="58" t="s">
        <v>31</v>
      </c>
      <c r="J48" s="58" t="s">
        <v>57</v>
      </c>
      <c r="K48" s="58"/>
      <c r="L48" s="58"/>
      <c r="M48" s="58"/>
      <c r="N48" s="58"/>
      <c r="O48" s="58"/>
      <c r="P48" s="58" t="s">
        <v>65</v>
      </c>
      <c r="Q48" s="58">
        <v>3.1890000000000001</v>
      </c>
      <c r="R48" s="58">
        <v>1.2930000000000001</v>
      </c>
      <c r="S48" s="58">
        <v>0.501</v>
      </c>
      <c r="T48" s="58"/>
      <c r="U48" s="58"/>
      <c r="V48" s="58"/>
      <c r="W48" s="58"/>
      <c r="X48" s="58"/>
      <c r="Y48" s="58"/>
      <c r="Z48" s="58"/>
      <c r="AA48" s="58"/>
      <c r="AE48" s="90"/>
      <c r="AF48" s="90"/>
      <c r="AG48" s="90"/>
      <c r="AH48" s="90"/>
      <c r="AI48" s="90"/>
      <c r="AJ48" s="90"/>
      <c r="AK48" s="90"/>
      <c r="AL48" s="90"/>
      <c r="AM48" s="90"/>
      <c r="AN48" s="90"/>
      <c r="AO48" s="90"/>
      <c r="AP48" s="90"/>
      <c r="AQ48" s="90"/>
      <c r="AR48" s="90"/>
      <c r="AS48" s="101"/>
    </row>
    <row r="49" spans="2:45">
      <c r="B49" s="58"/>
      <c r="C49" s="58"/>
      <c r="D49" s="58" t="s">
        <v>58</v>
      </c>
      <c r="E49" s="58">
        <v>2.9000000000000001E-2</v>
      </c>
      <c r="F49" s="58">
        <v>3.1E-2</v>
      </c>
      <c r="G49" s="58">
        <v>0.03</v>
      </c>
      <c r="H49" s="58"/>
      <c r="I49" s="58"/>
      <c r="J49" s="58" t="s">
        <v>58</v>
      </c>
      <c r="K49" s="58">
        <v>3.7999999999999999E-2</v>
      </c>
      <c r="L49" s="58">
        <v>2.8000000000000001E-2</v>
      </c>
      <c r="M49" s="58">
        <v>2.8000000000000001E-2</v>
      </c>
      <c r="N49" s="58"/>
      <c r="O49" s="58"/>
      <c r="P49" s="58"/>
      <c r="Q49" s="58">
        <v>0.501</v>
      </c>
      <c r="R49" s="58">
        <v>0.26100000000000001</v>
      </c>
      <c r="S49" s="58">
        <v>0.22800000000000001</v>
      </c>
      <c r="T49" s="58"/>
      <c r="U49" s="58"/>
      <c r="V49" s="58"/>
      <c r="W49" s="58"/>
      <c r="X49" s="58"/>
      <c r="Y49" s="58"/>
      <c r="Z49" s="58"/>
      <c r="AA49" s="58"/>
      <c r="AE49" s="90"/>
      <c r="AF49" s="90"/>
      <c r="AG49" s="90"/>
      <c r="AH49" s="90"/>
      <c r="AI49" s="90"/>
      <c r="AJ49" s="90"/>
      <c r="AK49" s="90"/>
      <c r="AL49" s="90"/>
      <c r="AM49" s="90"/>
      <c r="AN49" s="90"/>
      <c r="AO49" s="90"/>
      <c r="AP49" s="90"/>
      <c r="AQ49" s="90"/>
      <c r="AR49" s="90"/>
      <c r="AS49" s="101"/>
    </row>
    <row r="50" spans="2:45">
      <c r="B50" s="58"/>
      <c r="C50" s="58"/>
      <c r="D50" s="58" t="s">
        <v>59</v>
      </c>
      <c r="E50" s="58">
        <v>2.5999999999999999E-2</v>
      </c>
      <c r="F50" s="58">
        <v>2.9000000000000001E-2</v>
      </c>
      <c r="G50" s="58">
        <v>2.7E-2</v>
      </c>
      <c r="H50" s="58"/>
      <c r="I50" s="58"/>
      <c r="J50" s="58" t="s">
        <v>59</v>
      </c>
      <c r="K50" s="58">
        <v>2.8000000000000001E-2</v>
      </c>
      <c r="L50" s="58">
        <v>2.5000000000000001E-2</v>
      </c>
      <c r="M50" s="58">
        <v>2.4E-2</v>
      </c>
      <c r="N50" s="58"/>
      <c r="O50" s="58"/>
      <c r="P50" s="58"/>
      <c r="Q50" s="58">
        <v>0.11699999999999999</v>
      </c>
      <c r="R50" s="58">
        <v>0.122</v>
      </c>
      <c r="S50" s="58">
        <v>8.4000000000000005E-2</v>
      </c>
      <c r="T50" s="58"/>
      <c r="U50" s="58"/>
      <c r="V50" s="58"/>
      <c r="W50" s="58"/>
      <c r="X50" s="58"/>
      <c r="Y50" s="58"/>
      <c r="Z50" s="58"/>
      <c r="AA50" s="58"/>
      <c r="AE50" s="90"/>
      <c r="AF50" s="90"/>
      <c r="AG50" s="90"/>
      <c r="AH50" s="90"/>
      <c r="AI50" s="90"/>
      <c r="AJ50" s="90"/>
      <c r="AK50" s="90"/>
      <c r="AL50" s="90"/>
      <c r="AM50" s="90"/>
      <c r="AN50" s="90"/>
      <c r="AO50" s="90"/>
      <c r="AP50" s="90"/>
      <c r="AQ50" s="90"/>
      <c r="AR50" s="90"/>
      <c r="AS50" s="101"/>
    </row>
    <row r="51" spans="2:45">
      <c r="B51" s="58"/>
      <c r="C51" s="58"/>
      <c r="D51" s="58" t="s">
        <v>60</v>
      </c>
      <c r="E51" s="58">
        <v>3.1E-2</v>
      </c>
      <c r="F51" s="58">
        <v>3.5000000000000003E-2</v>
      </c>
      <c r="G51" s="58">
        <v>3.3000000000000002E-2</v>
      </c>
      <c r="H51" s="58"/>
      <c r="I51" s="58"/>
      <c r="J51" s="58" t="s">
        <v>60</v>
      </c>
      <c r="K51" s="58">
        <v>2.5999999999999999E-2</v>
      </c>
      <c r="L51" s="58">
        <v>2.5000000000000001E-2</v>
      </c>
      <c r="M51" s="58">
        <v>2.3E-2</v>
      </c>
      <c r="N51" s="58"/>
      <c r="O51" s="58"/>
      <c r="P51" s="58"/>
      <c r="Q51" s="58"/>
      <c r="R51" s="58"/>
      <c r="S51" s="58"/>
      <c r="T51" s="58"/>
      <c r="U51" s="58"/>
      <c r="V51" s="58"/>
      <c r="W51" s="58"/>
      <c r="X51" s="58"/>
      <c r="Y51" s="58"/>
      <c r="Z51" s="58"/>
      <c r="AA51" s="58"/>
      <c r="AE51" s="90"/>
      <c r="AF51" s="90"/>
      <c r="AG51" s="90"/>
      <c r="AH51" s="90"/>
      <c r="AI51" s="90"/>
      <c r="AJ51" s="90"/>
      <c r="AK51" s="90"/>
      <c r="AL51" s="90"/>
      <c r="AM51" s="90"/>
      <c r="AN51" s="90"/>
      <c r="AO51" s="90"/>
      <c r="AP51" s="90"/>
      <c r="AQ51" s="90"/>
      <c r="AR51" s="90"/>
      <c r="AS51" s="101"/>
    </row>
    <row r="52" spans="2:45">
      <c r="B52" s="58"/>
      <c r="C52" s="58"/>
      <c r="D52" s="58" t="s">
        <v>61</v>
      </c>
      <c r="E52" s="58">
        <v>3.2000000000000001E-2</v>
      </c>
      <c r="F52" s="58">
        <v>3.5999999999999997E-2</v>
      </c>
      <c r="G52" s="58">
        <v>3.9E-2</v>
      </c>
      <c r="H52" s="58"/>
      <c r="I52" s="58"/>
      <c r="J52" s="58" t="s">
        <v>61</v>
      </c>
      <c r="K52" s="58">
        <v>2.1000000000000001E-2</v>
      </c>
      <c r="L52" s="58">
        <v>2.7E-2</v>
      </c>
      <c r="M52" s="58">
        <v>2.5999999999999999E-2</v>
      </c>
      <c r="N52" s="58"/>
      <c r="O52" s="58"/>
      <c r="P52" s="58"/>
      <c r="Q52" s="58"/>
      <c r="R52" s="58"/>
      <c r="S52" s="58"/>
      <c r="T52" s="58"/>
      <c r="U52" s="58"/>
      <c r="V52" s="58"/>
      <c r="W52" s="58"/>
      <c r="X52" s="58"/>
      <c r="Y52" s="58"/>
      <c r="Z52" s="58"/>
      <c r="AA52" s="58"/>
      <c r="AE52" s="90"/>
      <c r="AF52" s="90"/>
      <c r="AG52" s="90"/>
      <c r="AH52" s="90"/>
      <c r="AI52" s="90"/>
      <c r="AJ52" s="90"/>
      <c r="AK52" s="90"/>
      <c r="AL52" s="90"/>
      <c r="AM52" s="90"/>
      <c r="AN52" s="90"/>
      <c r="AO52" s="90"/>
      <c r="AP52" s="90"/>
      <c r="AQ52" s="90"/>
      <c r="AR52" s="90"/>
      <c r="AS52" s="101"/>
    </row>
    <row r="53" spans="2:45">
      <c r="B53" s="58"/>
      <c r="C53" s="58"/>
      <c r="D53" s="58" t="s">
        <v>62</v>
      </c>
      <c r="E53" s="58">
        <v>2.7E-2</v>
      </c>
      <c r="F53" s="58">
        <v>2.9000000000000001E-2</v>
      </c>
      <c r="G53" s="58">
        <v>2.7E-2</v>
      </c>
      <c r="H53" s="58"/>
      <c r="I53" s="58"/>
      <c r="J53" s="58" t="s">
        <v>62</v>
      </c>
      <c r="K53" s="58">
        <v>2.5999999999999999E-2</v>
      </c>
      <c r="L53" s="58">
        <v>2.5999999999999999E-2</v>
      </c>
      <c r="M53" s="58">
        <v>2.5999999999999999E-2</v>
      </c>
      <c r="N53" s="58"/>
      <c r="O53" s="58"/>
      <c r="P53" s="58"/>
      <c r="Q53" s="58"/>
      <c r="R53" s="58"/>
      <c r="S53" s="58"/>
      <c r="T53" s="58"/>
      <c r="U53" s="58"/>
      <c r="V53" s="58"/>
      <c r="W53" s="58"/>
      <c r="X53" s="58"/>
      <c r="Y53" s="58"/>
      <c r="Z53" s="58"/>
      <c r="AA53" s="58"/>
      <c r="AE53" s="90"/>
      <c r="AF53" s="90"/>
      <c r="AG53" s="90"/>
      <c r="AH53" s="90"/>
      <c r="AI53" s="90"/>
      <c r="AJ53" s="90"/>
      <c r="AK53" s="90"/>
      <c r="AL53" s="90"/>
      <c r="AM53" s="90"/>
      <c r="AN53" s="90"/>
      <c r="AO53" s="90"/>
      <c r="AP53" s="90"/>
      <c r="AQ53" s="90"/>
      <c r="AR53" s="90"/>
      <c r="AS53" s="101"/>
    </row>
    <row r="54" spans="2:45">
      <c r="B54" s="58"/>
      <c r="C54" s="58"/>
      <c r="D54" s="58" t="s">
        <v>63</v>
      </c>
      <c r="E54" s="58">
        <v>3.5999999999999997E-2</v>
      </c>
      <c r="F54" s="58">
        <v>3.2000000000000001E-2</v>
      </c>
      <c r="G54" s="58">
        <v>3.5000000000000003E-2</v>
      </c>
      <c r="H54" s="58"/>
      <c r="I54" s="58"/>
      <c r="J54" s="58" t="s">
        <v>63</v>
      </c>
      <c r="K54" s="58">
        <v>2.8000000000000001E-2</v>
      </c>
      <c r="L54" s="58">
        <v>2.7E-2</v>
      </c>
      <c r="M54" s="58">
        <v>2.5999999999999999E-2</v>
      </c>
      <c r="N54" s="58"/>
      <c r="O54" s="58"/>
      <c r="P54" s="58"/>
      <c r="Q54" s="58"/>
      <c r="R54" s="58"/>
      <c r="S54" s="58"/>
      <c r="T54" s="58"/>
      <c r="U54" s="58"/>
      <c r="V54" s="58"/>
      <c r="W54" s="58"/>
      <c r="X54" s="58"/>
      <c r="Y54" s="58"/>
      <c r="Z54" s="58"/>
      <c r="AA54" s="58"/>
      <c r="AE54" s="90"/>
      <c r="AF54" s="90"/>
      <c r="AG54" s="90"/>
      <c r="AH54" s="90"/>
      <c r="AI54" s="90"/>
      <c r="AJ54" s="90"/>
      <c r="AK54" s="90"/>
      <c r="AL54" s="90"/>
      <c r="AM54" s="90"/>
      <c r="AN54" s="90"/>
      <c r="AO54" s="90"/>
      <c r="AP54" s="90"/>
      <c r="AQ54" s="90"/>
      <c r="AR54" s="90"/>
      <c r="AS54" s="101"/>
    </row>
    <row r="55" spans="2:45">
      <c r="B55" s="58" t="s">
        <v>65</v>
      </c>
      <c r="C55" s="58" t="s">
        <v>53</v>
      </c>
      <c r="D55" s="58" t="s">
        <v>66</v>
      </c>
      <c r="E55" s="58"/>
      <c r="F55" s="58"/>
      <c r="G55" s="58"/>
      <c r="H55" s="58" t="s">
        <v>65</v>
      </c>
      <c r="I55" s="58" t="s">
        <v>31</v>
      </c>
      <c r="J55" s="58" t="s">
        <v>66</v>
      </c>
      <c r="K55" s="58"/>
      <c r="L55" s="58"/>
      <c r="M55" s="58"/>
      <c r="N55" s="58"/>
      <c r="O55" s="58"/>
      <c r="P55" s="58"/>
      <c r="Q55" s="58"/>
      <c r="R55" s="58"/>
      <c r="S55" s="58"/>
      <c r="T55" s="58"/>
      <c r="U55" s="58"/>
      <c r="V55" s="58"/>
      <c r="W55" s="58"/>
      <c r="X55" s="58"/>
      <c r="Y55" s="58"/>
      <c r="Z55" s="58"/>
      <c r="AA55" s="58"/>
      <c r="AE55" s="90" t="s">
        <v>477</v>
      </c>
      <c r="AF55" s="90" t="s">
        <v>66</v>
      </c>
      <c r="AG55" s="90" t="s">
        <v>97</v>
      </c>
      <c r="AH55" s="90"/>
      <c r="AI55" s="90"/>
      <c r="AJ55" s="90" t="s">
        <v>99</v>
      </c>
      <c r="AK55" s="90"/>
      <c r="AL55" s="90"/>
      <c r="AM55" s="90" t="s">
        <v>663</v>
      </c>
      <c r="AN55" s="90" t="s">
        <v>396</v>
      </c>
      <c r="AO55" s="90" t="s">
        <v>664</v>
      </c>
      <c r="AP55" s="90" t="s">
        <v>663</v>
      </c>
      <c r="AQ55" s="90" t="s">
        <v>396</v>
      </c>
      <c r="AR55" s="90" t="s">
        <v>664</v>
      </c>
      <c r="AS55" s="101" t="s">
        <v>665</v>
      </c>
    </row>
    <row r="56" spans="2:45">
      <c r="B56" s="58"/>
      <c r="C56" s="58"/>
      <c r="D56" s="58" t="s">
        <v>67</v>
      </c>
      <c r="E56" s="58">
        <f t="shared" ref="E56:G61" si="19">E42-E49</f>
        <v>9.8000000000000004E-2</v>
      </c>
      <c r="F56" s="58">
        <f t="shared" si="19"/>
        <v>9.8000000000000004E-2</v>
      </c>
      <c r="G56" s="58">
        <f t="shared" si="19"/>
        <v>9.8000000000000004E-2</v>
      </c>
      <c r="H56" s="58"/>
      <c r="I56" s="58"/>
      <c r="J56" s="58" t="s">
        <v>67</v>
      </c>
      <c r="K56" s="58">
        <v>4.9999999999999975E-3</v>
      </c>
      <c r="L56" s="58">
        <v>2.1000000000000001E-2</v>
      </c>
      <c r="M56" s="58">
        <v>0.02</v>
      </c>
      <c r="N56" s="58"/>
      <c r="O56" s="58"/>
      <c r="P56" s="58"/>
      <c r="Q56" s="58"/>
      <c r="R56" s="58"/>
      <c r="S56" s="58"/>
      <c r="T56" s="58"/>
      <c r="U56" s="58"/>
      <c r="V56" s="58"/>
      <c r="W56" s="58"/>
      <c r="X56" s="58"/>
      <c r="Y56" s="58"/>
      <c r="Z56" s="58"/>
      <c r="AA56" s="58"/>
      <c r="AE56" s="90"/>
      <c r="AF56" s="90">
        <v>0</v>
      </c>
      <c r="AG56" s="90">
        <v>99.6875</v>
      </c>
      <c r="AH56" s="90">
        <v>109.68749999999999</v>
      </c>
      <c r="AI56" s="90">
        <v>109.06249999999999</v>
      </c>
      <c r="AJ56" s="90">
        <v>110.31249999999999</v>
      </c>
      <c r="AK56" s="90">
        <v>110.31249999999999</v>
      </c>
      <c r="AL56" s="90">
        <v>109.68749999999999</v>
      </c>
      <c r="AM56" s="90">
        <f>AVERAGE(AG56:AI56)</f>
        <v>106.14583333333333</v>
      </c>
      <c r="AN56" s="90">
        <f>STDEV(AG56:AI56)</f>
        <v>5.6018040248953058</v>
      </c>
      <c r="AO56" s="90">
        <f>AN56/SQRT(3)</f>
        <v>3.2342030617208342</v>
      </c>
      <c r="AP56" s="90">
        <f>AVERAGE(AJ56:AL56)</f>
        <v>110.10416666666664</v>
      </c>
      <c r="AQ56" s="90">
        <f>STDEV(AJ56:AL56)</f>
        <v>0.36084391824351614</v>
      </c>
      <c r="AR56" s="90">
        <f>AQ56/SQRT(3)</f>
        <v>0.20833333333333337</v>
      </c>
      <c r="AS56" s="99">
        <v>0.99670000000000003</v>
      </c>
    </row>
    <row r="57" spans="2:45">
      <c r="B57" s="58"/>
      <c r="C57" s="58"/>
      <c r="D57" s="58" t="s">
        <v>68</v>
      </c>
      <c r="E57" s="58">
        <f t="shared" si="19"/>
        <v>0.17799999999999999</v>
      </c>
      <c r="F57" s="58">
        <f t="shared" si="19"/>
        <v>0.17300000000000001</v>
      </c>
      <c r="G57" s="58">
        <f t="shared" si="19"/>
        <v>0.11000000000000001</v>
      </c>
      <c r="H57" s="58"/>
      <c r="I57" s="58"/>
      <c r="J57" s="58" t="s">
        <v>68</v>
      </c>
      <c r="K57" s="58">
        <v>2.2000000000000002E-2</v>
      </c>
      <c r="L57" s="58">
        <v>2.1999999999999999E-2</v>
      </c>
      <c r="M57" s="58">
        <v>2.0999999999999998E-2</v>
      </c>
      <c r="N57" s="58"/>
      <c r="O57" s="58"/>
      <c r="P57" s="58"/>
      <c r="Q57" s="58"/>
      <c r="R57" s="58"/>
      <c r="S57" s="58"/>
      <c r="T57" s="58"/>
      <c r="U57" s="58"/>
      <c r="V57" s="58"/>
      <c r="W57" s="58"/>
      <c r="X57" s="58"/>
      <c r="Y57" s="58"/>
      <c r="Z57" s="58"/>
      <c r="AA57" s="58"/>
      <c r="AE57" s="90"/>
      <c r="AF57" s="90">
        <v>3</v>
      </c>
      <c r="AG57" s="90">
        <v>240.3125</v>
      </c>
      <c r="AH57" s="90">
        <v>238.4375</v>
      </c>
      <c r="AI57" s="90">
        <v>239.0625</v>
      </c>
      <c r="AJ57" s="90">
        <v>284.6875</v>
      </c>
      <c r="AK57" s="90">
        <v>359.0625</v>
      </c>
      <c r="AL57" s="90">
        <v>360.3125</v>
      </c>
      <c r="AM57" s="90">
        <f>AVERAGE(AG57:AI57)</f>
        <v>239.27083333333334</v>
      </c>
      <c r="AN57" s="90">
        <f>STDEV(AG57:AI57)</f>
        <v>0.95470326978246667</v>
      </c>
      <c r="AO57" s="90">
        <f t="shared" ref="AO57:AO58" si="20">AN57/SQRT(3)</f>
        <v>0.55119818980512303</v>
      </c>
      <c r="AP57" s="90">
        <f>AVERAGE(AJ57:AL57)</f>
        <v>334.6875</v>
      </c>
      <c r="AQ57" s="90">
        <f t="shared" ref="AQ57" si="21">STDEV(AJ57:AL57)</f>
        <v>43.305780503300021</v>
      </c>
      <c r="AR57" s="90">
        <f>AQ57/SQRT(3)</f>
        <v>25.002604031047117</v>
      </c>
      <c r="AS57" s="99">
        <v>1.8E-3</v>
      </c>
    </row>
    <row r="58" spans="2:45">
      <c r="B58" s="58"/>
      <c r="C58" s="58"/>
      <c r="D58" s="58" t="s">
        <v>69</v>
      </c>
      <c r="E58" s="58">
        <f t="shared" si="19"/>
        <v>1.9345000000000001</v>
      </c>
      <c r="F58" s="58">
        <f t="shared" si="19"/>
        <v>1.9330000000000001</v>
      </c>
      <c r="G58" s="58">
        <f t="shared" si="19"/>
        <v>1.8800000000000001</v>
      </c>
      <c r="H58" s="58"/>
      <c r="I58" s="58"/>
      <c r="J58" s="58" t="s">
        <v>69</v>
      </c>
      <c r="K58" s="58">
        <v>0.23</v>
      </c>
      <c r="L58" s="58">
        <v>0.22700000000000001</v>
      </c>
      <c r="M58" s="58">
        <v>0.22800000000000001</v>
      </c>
      <c r="N58" s="58"/>
      <c r="O58" s="58"/>
      <c r="P58" s="58"/>
      <c r="Q58" s="58"/>
      <c r="R58" s="58"/>
      <c r="S58" s="58"/>
      <c r="T58" s="58"/>
      <c r="U58" s="58"/>
      <c r="V58" s="58"/>
      <c r="W58" s="58"/>
      <c r="X58" s="58"/>
      <c r="Y58" s="58"/>
      <c r="Z58" s="58"/>
      <c r="AA58" s="58"/>
      <c r="AE58" s="90"/>
      <c r="AF58" s="90">
        <v>6</v>
      </c>
      <c r="AG58" s="90">
        <v>744.0625</v>
      </c>
      <c r="AH58" s="90">
        <v>793.4375</v>
      </c>
      <c r="AI58" s="90">
        <v>797.81249999999989</v>
      </c>
      <c r="AJ58" s="90">
        <v>950.9375</v>
      </c>
      <c r="AK58" s="90">
        <v>1012.1875</v>
      </c>
      <c r="AL58" s="90">
        <v>998.4375</v>
      </c>
      <c r="AM58" s="90">
        <f>AVERAGE(AG58:AI58)</f>
        <v>778.4375</v>
      </c>
      <c r="AN58" s="90">
        <f>STDEV(AG58:AI58)</f>
        <v>29.849884840648844</v>
      </c>
      <c r="AO58" s="90">
        <f t="shared" si="20"/>
        <v>17.233839048027942</v>
      </c>
      <c r="AP58" s="90">
        <f t="shared" ref="AP58" si="22">AVERAGE(AJ58:AL58)</f>
        <v>987.1875</v>
      </c>
      <c r="AQ58" s="90">
        <f>STDEV(AJ58:AL58)</f>
        <v>32.137400330456103</v>
      </c>
      <c r="AR58" s="90">
        <f t="shared" ref="AR58" si="23">AQ58/SQRT(3)</f>
        <v>18.554536731843601</v>
      </c>
      <c r="AS58" s="99" t="s">
        <v>666</v>
      </c>
    </row>
    <row r="59" spans="2:45">
      <c r="B59" s="58"/>
      <c r="C59" s="58"/>
      <c r="D59" s="58" t="s">
        <v>70</v>
      </c>
      <c r="E59" s="58">
        <f t="shared" si="19"/>
        <v>2.968</v>
      </c>
      <c r="F59" s="58">
        <f t="shared" si="19"/>
        <v>2.964</v>
      </c>
      <c r="G59" s="58">
        <f t="shared" si="19"/>
        <v>2.8979999999999997</v>
      </c>
      <c r="H59" s="58"/>
      <c r="I59" s="58"/>
      <c r="J59" s="58" t="s">
        <v>70</v>
      </c>
      <c r="K59" s="58">
        <v>0.30099999999999999</v>
      </c>
      <c r="L59" s="58">
        <v>0.42</v>
      </c>
      <c r="M59" s="58">
        <v>0.42199999999999999</v>
      </c>
      <c r="N59" s="58"/>
      <c r="O59" s="58"/>
      <c r="P59" s="58"/>
      <c r="Q59" s="58"/>
      <c r="R59" s="58"/>
      <c r="S59" s="58"/>
      <c r="T59" s="58"/>
      <c r="U59" s="58"/>
      <c r="V59" s="58"/>
      <c r="W59" s="58"/>
      <c r="X59" s="58"/>
      <c r="Y59" s="58"/>
      <c r="Z59" s="58"/>
      <c r="AA59" s="58"/>
      <c r="AE59" s="90"/>
      <c r="AF59" s="90"/>
      <c r="AG59" s="90"/>
      <c r="AH59" s="90"/>
      <c r="AI59" s="90"/>
      <c r="AJ59" s="90"/>
      <c r="AK59" s="90"/>
      <c r="AL59" s="90"/>
      <c r="AM59" s="90"/>
      <c r="AN59" s="90"/>
      <c r="AO59" s="90"/>
      <c r="AP59" s="90"/>
      <c r="AQ59" s="90"/>
      <c r="AR59" s="90"/>
      <c r="AS59" s="101"/>
    </row>
    <row r="60" spans="2:45">
      <c r="B60" s="58"/>
      <c r="C60" s="58"/>
      <c r="D60" s="58" t="s">
        <v>71</v>
      </c>
      <c r="E60" s="58">
        <f t="shared" si="19"/>
        <v>1.248</v>
      </c>
      <c r="F60" s="58">
        <f t="shared" si="19"/>
        <v>0.83</v>
      </c>
      <c r="G60" s="58">
        <f t="shared" si="19"/>
        <v>1.2080000000000002</v>
      </c>
      <c r="H60" s="58"/>
      <c r="I60" s="58"/>
      <c r="J60" s="58" t="s">
        <v>71</v>
      </c>
      <c r="K60" s="58">
        <v>1.036</v>
      </c>
      <c r="L60" s="58">
        <v>1.115</v>
      </c>
      <c r="M60" s="58">
        <v>1.1219999999999999</v>
      </c>
      <c r="N60" s="58"/>
      <c r="O60" s="58"/>
      <c r="P60" s="58"/>
      <c r="Q60" s="58"/>
      <c r="R60" s="58"/>
      <c r="S60" s="58"/>
      <c r="T60" s="58"/>
      <c r="U60" s="58"/>
      <c r="V60" s="58"/>
      <c r="W60" s="58"/>
      <c r="X60" s="58"/>
      <c r="Y60" s="58"/>
      <c r="Z60" s="58"/>
      <c r="AA60" s="58"/>
    </row>
    <row r="61" spans="2:45">
      <c r="B61" s="58"/>
      <c r="C61" s="58"/>
      <c r="D61" s="58" t="s">
        <v>72</v>
      </c>
      <c r="E61" s="58">
        <f t="shared" si="19"/>
        <v>2.7275</v>
      </c>
      <c r="F61" s="58">
        <f t="shared" si="19"/>
        <v>2.3140000000000001</v>
      </c>
      <c r="G61" s="58">
        <f t="shared" si="19"/>
        <v>2.6619999999999999</v>
      </c>
      <c r="H61" s="58"/>
      <c r="I61" s="58"/>
      <c r="J61" s="58" t="s">
        <v>72</v>
      </c>
      <c r="K61" s="58">
        <v>1.367</v>
      </c>
      <c r="L61" s="58">
        <v>1.4650000000000001</v>
      </c>
      <c r="M61" s="58">
        <v>1.4430000000000001</v>
      </c>
      <c r="N61" s="58"/>
      <c r="O61" s="58"/>
      <c r="P61" s="58"/>
      <c r="Q61" s="58"/>
      <c r="R61" s="58"/>
      <c r="S61" s="58"/>
      <c r="T61" s="58"/>
      <c r="U61" s="58"/>
      <c r="V61" s="58"/>
      <c r="W61" s="58"/>
      <c r="X61" s="58"/>
      <c r="Y61" s="58"/>
      <c r="Z61" s="58"/>
      <c r="AA61" s="58"/>
    </row>
    <row r="62" spans="2:45">
      <c r="B62" s="58" t="s">
        <v>74</v>
      </c>
      <c r="C62" s="58" t="s">
        <v>53</v>
      </c>
      <c r="D62" s="58" t="s">
        <v>66</v>
      </c>
      <c r="E62" s="58"/>
      <c r="F62" s="58"/>
      <c r="G62" s="58"/>
      <c r="H62" s="58" t="s">
        <v>74</v>
      </c>
      <c r="I62" s="58" t="s">
        <v>31</v>
      </c>
      <c r="J62" s="58" t="s">
        <v>66</v>
      </c>
      <c r="K62" s="58"/>
      <c r="L62" s="58"/>
      <c r="M62" s="58"/>
      <c r="N62" s="58"/>
      <c r="O62" s="58"/>
      <c r="P62" s="58"/>
      <c r="Q62" s="58"/>
      <c r="R62" s="58"/>
      <c r="S62" s="58"/>
      <c r="T62" s="58"/>
      <c r="U62" s="58"/>
      <c r="V62" s="58"/>
      <c r="W62" s="58"/>
      <c r="X62" s="58"/>
      <c r="Y62" s="58"/>
      <c r="Z62" s="58"/>
      <c r="AA62" s="58"/>
    </row>
    <row r="63" spans="2:45">
      <c r="B63" s="58" t="s">
        <v>78</v>
      </c>
      <c r="C63" s="58"/>
      <c r="D63" s="58" t="s">
        <v>67</v>
      </c>
      <c r="E63" s="58">
        <f t="shared" ref="E63:G68" si="24">(E56+0.1545)/0.0032</f>
        <v>78.90625</v>
      </c>
      <c r="F63" s="58">
        <f t="shared" si="24"/>
        <v>78.90625</v>
      </c>
      <c r="G63" s="58">
        <f t="shared" si="24"/>
        <v>78.90625</v>
      </c>
      <c r="H63" s="58" t="s">
        <v>78</v>
      </c>
      <c r="I63" s="58"/>
      <c r="J63" s="58" t="s">
        <v>67</v>
      </c>
      <c r="K63" s="58">
        <v>49.84375</v>
      </c>
      <c r="L63" s="58">
        <v>54.843749999999993</v>
      </c>
      <c r="M63" s="58">
        <v>54.531249999999993</v>
      </c>
      <c r="N63" s="58"/>
      <c r="O63" s="58"/>
      <c r="P63" s="58"/>
      <c r="Q63" s="58"/>
      <c r="R63" s="58"/>
      <c r="S63" s="58"/>
      <c r="T63" s="58"/>
      <c r="U63" s="58"/>
      <c r="V63" s="58"/>
      <c r="W63" s="58"/>
      <c r="X63" s="58"/>
      <c r="Y63" s="58"/>
      <c r="Z63" s="58"/>
      <c r="AA63" s="58"/>
    </row>
    <row r="64" spans="2:45">
      <c r="B64" s="58"/>
      <c r="C64" s="58"/>
      <c r="D64" s="58" t="s">
        <v>68</v>
      </c>
      <c r="E64" s="58">
        <f t="shared" si="24"/>
        <v>103.90625</v>
      </c>
      <c r="F64" s="58">
        <f t="shared" si="24"/>
        <v>102.34375</v>
      </c>
      <c r="G64" s="58">
        <f t="shared" si="24"/>
        <v>82.65625</v>
      </c>
      <c r="H64" s="58"/>
      <c r="I64" s="58"/>
      <c r="J64" s="58" t="s">
        <v>68</v>
      </c>
      <c r="K64" s="58">
        <v>55.156249999999993</v>
      </c>
      <c r="L64" s="58">
        <v>55.156249999999993</v>
      </c>
      <c r="M64" s="58">
        <v>54.843749999999993</v>
      </c>
      <c r="N64" s="58"/>
      <c r="O64" s="58"/>
      <c r="P64" s="58"/>
      <c r="Q64" s="58"/>
      <c r="R64" s="58"/>
      <c r="S64" s="58"/>
      <c r="T64" s="58"/>
      <c r="U64" s="58"/>
      <c r="V64" s="58"/>
      <c r="W64" s="58"/>
      <c r="X64" s="58"/>
      <c r="Y64" s="58"/>
      <c r="Z64" s="58"/>
      <c r="AA64" s="58"/>
    </row>
    <row r="65" spans="2:27">
      <c r="B65" s="58"/>
      <c r="C65" s="58"/>
      <c r="D65" s="58" t="s">
        <v>69</v>
      </c>
      <c r="E65" s="58">
        <f t="shared" si="24"/>
        <v>652.8125</v>
      </c>
      <c r="F65" s="58">
        <f t="shared" si="24"/>
        <v>652.34374999999989</v>
      </c>
      <c r="G65" s="58">
        <f t="shared" si="24"/>
        <v>635.78125</v>
      </c>
      <c r="H65" s="58"/>
      <c r="I65" s="58"/>
      <c r="J65" s="58" t="s">
        <v>69</v>
      </c>
      <c r="K65" s="58">
        <v>120.15625</v>
      </c>
      <c r="L65" s="58">
        <v>119.21875</v>
      </c>
      <c r="M65" s="58">
        <v>119.53125</v>
      </c>
      <c r="N65" s="58"/>
      <c r="O65" s="58"/>
      <c r="P65" s="58"/>
      <c r="Q65" s="58"/>
      <c r="R65" s="58"/>
      <c r="S65" s="58"/>
      <c r="T65" s="58"/>
      <c r="U65" s="58"/>
      <c r="V65" s="58"/>
      <c r="W65" s="58"/>
      <c r="X65" s="58"/>
      <c r="Y65" s="58"/>
      <c r="Z65" s="58"/>
      <c r="AA65" s="58"/>
    </row>
    <row r="66" spans="2:27">
      <c r="B66" s="58"/>
      <c r="C66" s="58"/>
      <c r="D66" s="58" t="s">
        <v>70</v>
      </c>
      <c r="E66" s="58">
        <f t="shared" si="24"/>
        <v>975.78125</v>
      </c>
      <c r="F66" s="58">
        <f t="shared" si="24"/>
        <v>974.53125</v>
      </c>
      <c r="G66" s="58">
        <f t="shared" si="24"/>
        <v>953.90624999999989</v>
      </c>
      <c r="H66" s="58"/>
      <c r="I66" s="58"/>
      <c r="J66" s="58" t="s">
        <v>70</v>
      </c>
      <c r="K66" s="58">
        <v>142.34375</v>
      </c>
      <c r="L66" s="58">
        <v>179.53125</v>
      </c>
      <c r="M66" s="58">
        <v>180.15625</v>
      </c>
      <c r="N66" s="58"/>
      <c r="O66" s="58"/>
      <c r="P66" s="58"/>
      <c r="Q66" s="58"/>
      <c r="R66" s="58"/>
      <c r="S66" s="58"/>
      <c r="T66" s="58"/>
      <c r="U66" s="58"/>
      <c r="V66" s="58"/>
      <c r="W66" s="58"/>
      <c r="X66" s="58"/>
      <c r="Y66" s="58"/>
      <c r="Z66" s="58"/>
      <c r="AA66" s="58"/>
    </row>
    <row r="67" spans="2:27">
      <c r="B67" s="58"/>
      <c r="C67" s="58"/>
      <c r="D67" s="58" t="s">
        <v>71</v>
      </c>
      <c r="E67" s="58">
        <f t="shared" si="24"/>
        <v>438.28125</v>
      </c>
      <c r="F67" s="58">
        <f t="shared" si="24"/>
        <v>307.65624999999994</v>
      </c>
      <c r="G67" s="58">
        <f t="shared" si="24"/>
        <v>425.78125000000006</v>
      </c>
      <c r="H67" s="58"/>
      <c r="I67" s="58"/>
      <c r="J67" s="58" t="s">
        <v>71</v>
      </c>
      <c r="K67" s="58">
        <v>372.03125</v>
      </c>
      <c r="L67" s="58">
        <v>396.71875</v>
      </c>
      <c r="M67" s="58">
        <v>398.90624999999994</v>
      </c>
      <c r="N67" s="58"/>
      <c r="O67" s="58"/>
      <c r="P67" s="58"/>
      <c r="Q67" s="58"/>
      <c r="R67" s="58"/>
      <c r="S67" s="58"/>
      <c r="T67" s="58"/>
      <c r="U67" s="58"/>
      <c r="V67" s="58"/>
      <c r="W67" s="58"/>
      <c r="X67" s="58"/>
      <c r="Y67" s="58"/>
      <c r="Z67" s="58"/>
      <c r="AA67" s="58"/>
    </row>
    <row r="68" spans="2:27">
      <c r="B68" s="58"/>
      <c r="C68" s="58"/>
      <c r="D68" s="58" t="s">
        <v>72</v>
      </c>
      <c r="E68" s="58">
        <f t="shared" si="24"/>
        <v>900.625</v>
      </c>
      <c r="F68" s="58">
        <f t="shared" si="24"/>
        <v>771.40625</v>
      </c>
      <c r="G68" s="58">
        <f t="shared" si="24"/>
        <v>880.15625</v>
      </c>
      <c r="H68" s="58"/>
      <c r="I68" s="58"/>
      <c r="J68" s="58" t="s">
        <v>72</v>
      </c>
      <c r="K68" s="58">
        <v>475.46875</v>
      </c>
      <c r="L68" s="58">
        <v>506.09375</v>
      </c>
      <c r="M68" s="58">
        <v>499.21875</v>
      </c>
      <c r="N68" s="58"/>
      <c r="O68" s="58"/>
      <c r="P68" s="58"/>
      <c r="Q68" s="58"/>
      <c r="R68" s="58"/>
      <c r="S68" s="58"/>
      <c r="T68" s="58"/>
      <c r="U68" s="58"/>
      <c r="V68" s="58"/>
      <c r="W68" s="58"/>
      <c r="X68" s="58"/>
      <c r="Y68" s="58"/>
      <c r="Z68" s="58"/>
      <c r="AA68" s="58"/>
    </row>
    <row r="69" spans="2:27">
      <c r="B69" s="58" t="s">
        <v>75</v>
      </c>
      <c r="C69" s="58" t="s">
        <v>53</v>
      </c>
      <c r="D69" s="90" t="s">
        <v>66</v>
      </c>
      <c r="E69" s="90"/>
      <c r="F69" s="90"/>
      <c r="G69" s="90"/>
      <c r="H69" s="58" t="s">
        <v>75</v>
      </c>
      <c r="I69" s="58" t="s">
        <v>31</v>
      </c>
      <c r="J69" s="90" t="s">
        <v>66</v>
      </c>
      <c r="K69" s="90"/>
      <c r="L69" s="90"/>
      <c r="M69" s="90"/>
      <c r="N69" s="58"/>
      <c r="O69" s="58"/>
      <c r="P69" s="58"/>
      <c r="Q69" s="58"/>
      <c r="R69" s="58"/>
      <c r="S69" s="58"/>
      <c r="T69" s="58"/>
      <c r="U69" s="58"/>
      <c r="V69" s="58"/>
      <c r="W69" s="58"/>
      <c r="X69" s="58"/>
      <c r="Y69" s="58"/>
      <c r="Z69" s="58"/>
      <c r="AA69" s="58"/>
    </row>
    <row r="70" spans="2:27">
      <c r="B70" s="58"/>
      <c r="C70" s="58"/>
      <c r="D70" s="90" t="s">
        <v>67</v>
      </c>
      <c r="E70" s="90">
        <f t="shared" ref="E70:G75" si="25">E63*2</f>
        <v>157.8125</v>
      </c>
      <c r="F70" s="90">
        <f t="shared" si="25"/>
        <v>157.8125</v>
      </c>
      <c r="G70" s="90">
        <f t="shared" si="25"/>
        <v>157.8125</v>
      </c>
      <c r="H70" s="58"/>
      <c r="I70" s="58"/>
      <c r="J70" s="90" t="s">
        <v>67</v>
      </c>
      <c r="K70" s="90">
        <v>99.6875</v>
      </c>
      <c r="L70" s="90">
        <v>109.68749999999999</v>
      </c>
      <c r="M70" s="90">
        <v>109.06249999999999</v>
      </c>
      <c r="N70" s="58"/>
      <c r="O70" s="58"/>
      <c r="P70" s="58"/>
      <c r="Q70" s="58"/>
      <c r="R70" s="58"/>
      <c r="S70" s="58"/>
      <c r="T70" s="58"/>
      <c r="U70" s="58"/>
      <c r="V70" s="58"/>
      <c r="W70" s="58"/>
      <c r="X70" s="58"/>
      <c r="Y70" s="58"/>
      <c r="Z70" s="58"/>
      <c r="AA70" s="58"/>
    </row>
    <row r="71" spans="2:27">
      <c r="B71" s="58"/>
      <c r="C71" s="58"/>
      <c r="D71" s="90" t="s">
        <v>68</v>
      </c>
      <c r="E71" s="90">
        <f t="shared" si="25"/>
        <v>207.8125</v>
      </c>
      <c r="F71" s="90">
        <f t="shared" si="25"/>
        <v>204.6875</v>
      </c>
      <c r="G71" s="90">
        <f t="shared" si="25"/>
        <v>165.3125</v>
      </c>
      <c r="H71" s="58"/>
      <c r="I71" s="58"/>
      <c r="J71" s="90" t="s">
        <v>68</v>
      </c>
      <c r="K71" s="90">
        <v>110.31249999999999</v>
      </c>
      <c r="L71" s="90">
        <v>110.31249999999999</v>
      </c>
      <c r="M71" s="90">
        <v>109.68749999999999</v>
      </c>
      <c r="N71" s="58"/>
      <c r="O71" s="58"/>
      <c r="P71" s="58"/>
      <c r="Q71" s="58"/>
      <c r="R71" s="58"/>
      <c r="S71" s="58"/>
      <c r="T71" s="58"/>
      <c r="U71" s="58"/>
      <c r="V71" s="58"/>
      <c r="W71" s="58"/>
      <c r="X71" s="58"/>
      <c r="Y71" s="58"/>
      <c r="Z71" s="58"/>
      <c r="AA71" s="58"/>
    </row>
    <row r="72" spans="2:27">
      <c r="B72" s="58"/>
      <c r="C72" s="58"/>
      <c r="D72" s="90" t="s">
        <v>69</v>
      </c>
      <c r="E72" s="90">
        <f t="shared" si="25"/>
        <v>1305.625</v>
      </c>
      <c r="F72" s="90">
        <f t="shared" si="25"/>
        <v>1304.6874999999998</v>
      </c>
      <c r="G72" s="90">
        <f t="shared" si="25"/>
        <v>1271.5625</v>
      </c>
      <c r="H72" s="58"/>
      <c r="I72" s="58"/>
      <c r="J72" s="90" t="s">
        <v>69</v>
      </c>
      <c r="K72" s="90">
        <v>240.3125</v>
      </c>
      <c r="L72" s="90">
        <v>238.4375</v>
      </c>
      <c r="M72" s="90">
        <v>239.0625</v>
      </c>
      <c r="N72" s="58"/>
      <c r="O72" s="58"/>
      <c r="P72" s="58"/>
      <c r="Q72" s="58"/>
      <c r="R72" s="58"/>
      <c r="S72" s="58"/>
      <c r="T72" s="58"/>
      <c r="U72" s="58"/>
      <c r="V72" s="58"/>
      <c r="W72" s="58"/>
      <c r="X72" s="58"/>
      <c r="Y72" s="58"/>
      <c r="Z72" s="58"/>
      <c r="AA72" s="58"/>
    </row>
    <row r="73" spans="2:27">
      <c r="B73" s="58"/>
      <c r="C73" s="58"/>
      <c r="D73" s="90" t="s">
        <v>70</v>
      </c>
      <c r="E73" s="90">
        <f t="shared" si="25"/>
        <v>1951.5625</v>
      </c>
      <c r="F73" s="90">
        <f t="shared" si="25"/>
        <v>1949.0625</v>
      </c>
      <c r="G73" s="90">
        <f t="shared" si="25"/>
        <v>1907.8124999999998</v>
      </c>
      <c r="H73" s="58"/>
      <c r="I73" s="58"/>
      <c r="J73" s="90" t="s">
        <v>70</v>
      </c>
      <c r="K73" s="90">
        <v>284.6875</v>
      </c>
      <c r="L73" s="90">
        <v>359.0625</v>
      </c>
      <c r="M73" s="90">
        <v>360.3125</v>
      </c>
      <c r="N73" s="58"/>
      <c r="O73" s="58"/>
      <c r="P73" s="58"/>
      <c r="Q73" s="58"/>
      <c r="R73" s="58"/>
      <c r="S73" s="58"/>
      <c r="T73" s="58"/>
      <c r="U73" s="58"/>
      <c r="V73" s="58"/>
      <c r="W73" s="58"/>
      <c r="X73" s="58"/>
      <c r="Y73" s="58"/>
      <c r="Z73" s="58"/>
      <c r="AA73" s="58"/>
    </row>
    <row r="74" spans="2:27">
      <c r="B74" s="58"/>
      <c r="C74" s="58"/>
      <c r="D74" s="90" t="s">
        <v>71</v>
      </c>
      <c r="E74" s="90">
        <f t="shared" si="25"/>
        <v>876.5625</v>
      </c>
      <c r="F74" s="90">
        <f t="shared" si="25"/>
        <v>615.31249999999989</v>
      </c>
      <c r="G74" s="90">
        <f t="shared" si="25"/>
        <v>851.56250000000011</v>
      </c>
      <c r="H74" s="58"/>
      <c r="I74" s="58"/>
      <c r="J74" s="90" t="s">
        <v>71</v>
      </c>
      <c r="K74" s="90">
        <v>744.0625</v>
      </c>
      <c r="L74" s="90">
        <v>793.4375</v>
      </c>
      <c r="M74" s="90">
        <v>797.81249999999989</v>
      </c>
      <c r="N74" s="58"/>
      <c r="O74" s="58"/>
      <c r="P74" s="58"/>
      <c r="Q74" s="58"/>
      <c r="R74" s="58"/>
      <c r="S74" s="58"/>
      <c r="T74" s="58"/>
      <c r="U74" s="58"/>
      <c r="V74" s="58"/>
      <c r="W74" s="58"/>
      <c r="X74" s="58"/>
      <c r="Y74" s="58"/>
      <c r="Z74" s="58"/>
      <c r="AA74" s="58"/>
    </row>
    <row r="75" spans="2:27">
      <c r="B75" s="58"/>
      <c r="C75" s="58"/>
      <c r="D75" s="90" t="s">
        <v>72</v>
      </c>
      <c r="E75" s="90">
        <f t="shared" si="25"/>
        <v>1801.25</v>
      </c>
      <c r="F75" s="90">
        <f t="shared" si="25"/>
        <v>1542.8125</v>
      </c>
      <c r="G75" s="90">
        <f t="shared" si="25"/>
        <v>1760.3125</v>
      </c>
      <c r="H75" s="58"/>
      <c r="I75" s="58"/>
      <c r="J75" s="90" t="s">
        <v>72</v>
      </c>
      <c r="K75" s="90">
        <v>950.9375</v>
      </c>
      <c r="L75" s="90">
        <v>1012.1875</v>
      </c>
      <c r="M75" s="90">
        <v>998.4375</v>
      </c>
      <c r="N75" s="58"/>
      <c r="O75" s="58"/>
      <c r="P75" s="58"/>
      <c r="Q75" s="58"/>
      <c r="R75" s="58"/>
      <c r="S75" s="58"/>
      <c r="T75" s="58"/>
      <c r="U75" s="58"/>
      <c r="V75" s="58"/>
      <c r="W75" s="58"/>
      <c r="X75" s="58"/>
      <c r="Y75" s="58"/>
      <c r="Z75" s="58"/>
      <c r="AA75" s="58"/>
    </row>
    <row r="76" spans="2:27">
      <c r="B76" s="58"/>
      <c r="C76" s="58"/>
      <c r="D76" s="58"/>
      <c r="E76" s="58"/>
      <c r="F76" s="58"/>
      <c r="G76" s="58"/>
      <c r="H76" s="58"/>
      <c r="I76" s="58"/>
      <c r="J76" s="58"/>
      <c r="K76" s="58"/>
      <c r="L76" s="58"/>
      <c r="M76" s="58"/>
      <c r="N76" s="58"/>
      <c r="O76" s="58"/>
      <c r="P76" s="58"/>
      <c r="Q76" s="58"/>
      <c r="R76" s="58"/>
      <c r="S76" s="58"/>
      <c r="T76" s="58"/>
      <c r="U76" s="58"/>
      <c r="V76" s="58"/>
      <c r="W76" s="58"/>
      <c r="X76" s="58"/>
      <c r="Y76" s="58"/>
      <c r="Z76" s="58"/>
      <c r="AA76" s="58"/>
    </row>
  </sheetData>
  <phoneticPr fontId="2" type="noConversion"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EEFE54-DBD2-004C-B2C6-9184373D69DD}">
  <dimension ref="A1"/>
  <sheetViews>
    <sheetView zoomScale="75" workbookViewId="0">
      <selection activeCell="M24" sqref="M24"/>
    </sheetView>
  </sheetViews>
  <sheetFormatPr baseColWidth="10" defaultRowHeight="16"/>
  <sheetData>
    <row r="1" spans="1:1">
      <c r="A1" t="s">
        <v>80</v>
      </c>
    </row>
  </sheetData>
  <phoneticPr fontId="2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9126B-4E95-8549-B5F3-3CD494DCA7A9}">
  <dimension ref="A1:BF158"/>
  <sheetViews>
    <sheetView topLeftCell="A8" zoomScale="32" workbookViewId="0">
      <selection activeCell="N49" sqref="N49"/>
    </sheetView>
  </sheetViews>
  <sheetFormatPr baseColWidth="10" defaultRowHeight="16"/>
  <sheetData>
    <row r="1" spans="1:58">
      <c r="A1" t="s">
        <v>81</v>
      </c>
    </row>
    <row r="3" spans="1:58">
      <c r="B3" t="s">
        <v>447</v>
      </c>
    </row>
    <row r="6" spans="1:58">
      <c r="B6" s="23" t="s">
        <v>30</v>
      </c>
      <c r="C6" s="23" t="s">
        <v>112</v>
      </c>
      <c r="D6" s="23">
        <v>15.619</v>
      </c>
      <c r="E6" s="23"/>
      <c r="F6" s="23" t="s">
        <v>30</v>
      </c>
      <c r="G6" s="23" t="s">
        <v>113</v>
      </c>
      <c r="H6" s="23">
        <v>26.314</v>
      </c>
      <c r="I6" s="23">
        <f>H6-E8</f>
        <v>10.576000000000001</v>
      </c>
      <c r="J6" s="23">
        <f t="shared" ref="J6:J23" si="0">POWER(2,-I6)</f>
        <v>6.5509874261829163E-4</v>
      </c>
      <c r="K6" s="23"/>
      <c r="L6" s="23">
        <f t="shared" ref="L6:L23" si="1">J6/0.000145021614884356</f>
        <v>4.517248984854322</v>
      </c>
      <c r="AX6" s="52"/>
      <c r="AY6" s="52"/>
      <c r="AZ6" s="52"/>
      <c r="BA6" s="52"/>
      <c r="BB6" s="52"/>
      <c r="BC6" s="52"/>
      <c r="BD6" s="52"/>
      <c r="BE6" s="52"/>
      <c r="BF6" s="52"/>
    </row>
    <row r="7" spans="1:58">
      <c r="B7" s="23" t="s">
        <v>30</v>
      </c>
      <c r="C7" s="23" t="s">
        <v>112</v>
      </c>
      <c r="D7" s="23">
        <v>15.723000000000001</v>
      </c>
      <c r="E7" s="23"/>
      <c r="F7" s="23" t="s">
        <v>30</v>
      </c>
      <c r="G7" s="23" t="s">
        <v>113</v>
      </c>
      <c r="H7" s="23">
        <v>26.481000000000002</v>
      </c>
      <c r="I7" s="23">
        <f>H7-E8</f>
        <v>10.743000000000002</v>
      </c>
      <c r="J7" s="23">
        <f t="shared" si="0"/>
        <v>5.834917992464751E-4</v>
      </c>
      <c r="K7" s="23"/>
      <c r="L7" s="23">
        <f t="shared" si="1"/>
        <v>4.0234816010824774</v>
      </c>
      <c r="AX7" s="52"/>
      <c r="AY7" s="52"/>
      <c r="AZ7" s="52"/>
      <c r="BA7" s="52"/>
      <c r="BB7" s="52"/>
      <c r="BC7" s="52"/>
      <c r="BD7" s="52"/>
      <c r="BE7" s="52"/>
      <c r="BF7" s="52"/>
    </row>
    <row r="8" spans="1:58">
      <c r="B8" s="23" t="s">
        <v>30</v>
      </c>
      <c r="C8" s="23" t="s">
        <v>112</v>
      </c>
      <c r="D8" s="23">
        <v>15.872</v>
      </c>
      <c r="E8" s="23">
        <f>AVERAGE(D6:D8)</f>
        <v>15.738</v>
      </c>
      <c r="F8" s="23" t="s">
        <v>30</v>
      </c>
      <c r="G8" s="23" t="s">
        <v>113</v>
      </c>
      <c r="H8" s="23">
        <v>26.623000000000001</v>
      </c>
      <c r="I8" s="23">
        <f>H8-E8</f>
        <v>10.885000000000002</v>
      </c>
      <c r="J8" s="23">
        <f t="shared" si="0"/>
        <v>5.2879640894820494E-4</v>
      </c>
      <c r="K8" s="23"/>
      <c r="L8" s="23">
        <f t="shared" si="1"/>
        <v>3.6463282343799639</v>
      </c>
      <c r="N8" t="s">
        <v>535</v>
      </c>
      <c r="AX8" s="57"/>
      <c r="AY8" s="57"/>
      <c r="AZ8" s="63"/>
      <c r="BA8" s="63"/>
      <c r="BB8" s="63"/>
      <c r="BC8" s="63"/>
      <c r="BD8" s="63"/>
      <c r="BE8" s="52"/>
      <c r="BF8" s="52"/>
    </row>
    <row r="9" spans="1:58">
      <c r="B9" s="23" t="s">
        <v>27</v>
      </c>
      <c r="C9" s="23" t="s">
        <v>112</v>
      </c>
      <c r="D9" s="23">
        <v>14.852</v>
      </c>
      <c r="E9" s="23"/>
      <c r="F9" s="23" t="s">
        <v>27</v>
      </c>
      <c r="G9" s="23" t="s">
        <v>113</v>
      </c>
      <c r="H9" s="23">
        <v>27.32</v>
      </c>
      <c r="I9" s="23">
        <f t="shared" ref="I9" si="2">H9-E11</f>
        <v>12.626666666666667</v>
      </c>
      <c r="J9" s="23">
        <f t="shared" si="0"/>
        <v>1.5812283348290375E-4</v>
      </c>
      <c r="K9" s="23"/>
      <c r="L9" s="23">
        <f t="shared" si="1"/>
        <v>1.090339764930869</v>
      </c>
      <c r="AX9" s="57"/>
      <c r="AY9" s="57"/>
      <c r="AZ9" s="63"/>
      <c r="BA9" s="63"/>
      <c r="BB9" s="63"/>
      <c r="BC9" s="63"/>
      <c r="BD9" s="63"/>
      <c r="BE9" s="52"/>
      <c r="BF9" s="52"/>
    </row>
    <row r="10" spans="1:58">
      <c r="B10" s="23" t="s">
        <v>27</v>
      </c>
      <c r="C10" s="23" t="s">
        <v>112</v>
      </c>
      <c r="D10" s="23">
        <v>14.782</v>
      </c>
      <c r="E10" s="23"/>
      <c r="F10" s="23" t="s">
        <v>27</v>
      </c>
      <c r="G10" s="23" t="s">
        <v>113</v>
      </c>
      <c r="H10" s="23">
        <v>27.501000000000001</v>
      </c>
      <c r="I10" s="23">
        <f t="shared" ref="I10" si="3">H10-E11</f>
        <v>12.807666666666668</v>
      </c>
      <c r="J10" s="23">
        <f t="shared" si="0"/>
        <v>1.3947878605578029E-4</v>
      </c>
      <c r="K10" s="23">
        <v>1.45021614884356E-4</v>
      </c>
      <c r="L10" s="23">
        <f t="shared" si="1"/>
        <v>0.96177929177663823</v>
      </c>
      <c r="AX10" s="52"/>
      <c r="AY10" s="52"/>
      <c r="AZ10" s="52"/>
      <c r="BA10" s="52"/>
      <c r="BB10" s="52"/>
      <c r="BC10" s="52"/>
      <c r="BD10" s="52"/>
      <c r="BE10" s="52"/>
      <c r="BF10" s="52"/>
    </row>
    <row r="11" spans="1:58">
      <c r="B11" s="23" t="s">
        <v>27</v>
      </c>
      <c r="C11" s="23" t="s">
        <v>112</v>
      </c>
      <c r="D11" s="23">
        <v>14.446</v>
      </c>
      <c r="E11" s="23">
        <f t="shared" ref="E11" si="4">AVERAGE(D9:D11)</f>
        <v>14.693333333333333</v>
      </c>
      <c r="F11" s="23" t="s">
        <v>27</v>
      </c>
      <c r="G11" s="23" t="s">
        <v>113</v>
      </c>
      <c r="H11" s="23">
        <v>27.521999999999998</v>
      </c>
      <c r="I11" s="23">
        <f t="shared" ref="I11" si="5">H11-E11</f>
        <v>12.828666666666665</v>
      </c>
      <c r="J11" s="23">
        <f t="shared" si="0"/>
        <v>1.3746322511438289E-4</v>
      </c>
      <c r="K11" s="23"/>
      <c r="L11" s="23">
        <f t="shared" si="1"/>
        <v>0.94788094329248529</v>
      </c>
      <c r="AX11" s="52"/>
      <c r="AY11" s="52"/>
      <c r="AZ11" s="52"/>
      <c r="BA11" s="52"/>
      <c r="BB11" s="52"/>
      <c r="BC11" s="52"/>
      <c r="BD11" s="52"/>
      <c r="BE11" s="52"/>
      <c r="BF11" s="52"/>
    </row>
    <row r="12" spans="1:58">
      <c r="B12" s="23" t="s">
        <v>104</v>
      </c>
      <c r="C12" s="23" t="s">
        <v>112</v>
      </c>
      <c r="D12" s="23">
        <v>15.957000000000001</v>
      </c>
      <c r="E12" s="23"/>
      <c r="F12" s="23" t="s">
        <v>104</v>
      </c>
      <c r="G12" s="23" t="s">
        <v>113</v>
      </c>
      <c r="H12" s="23">
        <v>17.571000000000002</v>
      </c>
      <c r="I12" s="23">
        <f t="shared" ref="I12" si="6">H12-E14</f>
        <v>1.5036666666666676</v>
      </c>
      <c r="J12" s="23">
        <f t="shared" si="0"/>
        <v>0.35265596153727008</v>
      </c>
      <c r="K12" s="23"/>
      <c r="L12" s="23">
        <f t="shared" si="1"/>
        <v>2431.7475834101497</v>
      </c>
      <c r="N12" s="90" t="s">
        <v>448</v>
      </c>
      <c r="O12" s="90"/>
      <c r="P12" s="90"/>
      <c r="Q12" s="90"/>
      <c r="R12" s="90"/>
      <c r="S12" s="90"/>
      <c r="T12" s="90"/>
      <c r="U12" s="90"/>
      <c r="V12" s="90"/>
      <c r="W12" s="90"/>
      <c r="X12" s="90"/>
      <c r="Y12" s="90"/>
      <c r="Z12" s="90"/>
      <c r="AA12" s="90"/>
      <c r="AX12" s="52"/>
      <c r="AY12" s="52"/>
      <c r="AZ12" s="52"/>
      <c r="BA12" s="52"/>
      <c r="BB12" s="52"/>
      <c r="BC12" s="52"/>
      <c r="BD12" s="52"/>
      <c r="BE12" s="52"/>
      <c r="BF12" s="52"/>
    </row>
    <row r="13" spans="1:58">
      <c r="B13" s="23" t="s">
        <v>104</v>
      </c>
      <c r="C13" s="23" t="s">
        <v>112</v>
      </c>
      <c r="D13" s="23">
        <v>16.151</v>
      </c>
      <c r="E13" s="23"/>
      <c r="F13" s="23" t="s">
        <v>104</v>
      </c>
      <c r="G13" s="23" t="s">
        <v>113</v>
      </c>
      <c r="H13" s="23">
        <v>17.655000000000001</v>
      </c>
      <c r="I13" s="23">
        <f t="shared" ref="I13" si="7">H13-E14</f>
        <v>1.5876666666666672</v>
      </c>
      <c r="J13" s="23">
        <f t="shared" si="0"/>
        <v>0.33270912352054349</v>
      </c>
      <c r="K13" s="23"/>
      <c r="L13" s="23">
        <f t="shared" si="1"/>
        <v>2294.2036867114903</v>
      </c>
      <c r="N13" s="90"/>
      <c r="O13" s="90" t="s">
        <v>449</v>
      </c>
      <c r="P13" s="90"/>
      <c r="Q13" s="90"/>
      <c r="R13" s="90" t="s">
        <v>450</v>
      </c>
      <c r="S13" s="90"/>
      <c r="T13" s="90"/>
      <c r="U13" s="90" t="s">
        <v>663</v>
      </c>
      <c r="V13" s="90" t="s">
        <v>396</v>
      </c>
      <c r="W13" s="90" t="s">
        <v>664</v>
      </c>
      <c r="X13" s="90" t="s">
        <v>663</v>
      </c>
      <c r="Y13" s="90" t="s">
        <v>396</v>
      </c>
      <c r="Z13" s="90" t="s">
        <v>664</v>
      </c>
      <c r="AA13" s="101" t="s">
        <v>665</v>
      </c>
      <c r="AX13" s="52"/>
      <c r="AY13" s="52"/>
      <c r="AZ13" s="52"/>
      <c r="BA13" s="52"/>
      <c r="BB13" s="52"/>
      <c r="BC13" s="52"/>
      <c r="BD13" s="52"/>
      <c r="BE13" s="52"/>
      <c r="BF13" s="52"/>
    </row>
    <row r="14" spans="1:58">
      <c r="B14" s="23" t="s">
        <v>104</v>
      </c>
      <c r="C14" s="23" t="s">
        <v>112</v>
      </c>
      <c r="D14" s="23">
        <v>16.094000000000001</v>
      </c>
      <c r="E14" s="23">
        <f t="shared" ref="E14" si="8">AVERAGE(D12:D14)</f>
        <v>16.067333333333334</v>
      </c>
      <c r="F14" s="23" t="s">
        <v>104</v>
      </c>
      <c r="G14" s="23" t="s">
        <v>113</v>
      </c>
      <c r="H14" s="23">
        <v>17.686</v>
      </c>
      <c r="I14" s="23">
        <f t="shared" ref="I14" si="9">H14-E14</f>
        <v>1.618666666666666</v>
      </c>
      <c r="J14" s="23">
        <f t="shared" si="0"/>
        <v>0.32563627665678141</v>
      </c>
      <c r="K14" s="23"/>
      <c r="L14" s="23">
        <f t="shared" si="1"/>
        <v>2245.4327026798883</v>
      </c>
      <c r="N14" s="90" t="s">
        <v>451</v>
      </c>
      <c r="O14" s="90">
        <v>1.090339764930869</v>
      </c>
      <c r="P14" s="90">
        <v>0.96177929177663823</v>
      </c>
      <c r="Q14" s="90">
        <v>0.94788094329248529</v>
      </c>
      <c r="R14" s="90">
        <v>4.517248984854322</v>
      </c>
      <c r="S14" s="90">
        <v>4.0234816010824774</v>
      </c>
      <c r="T14" s="90">
        <v>3.6463282343799639</v>
      </c>
      <c r="U14" s="90">
        <f>AVERAGE(O14:Q14)</f>
        <v>0.99999999999999767</v>
      </c>
      <c r="V14" s="90">
        <f>STDEV(O14:Q14)</f>
        <v>7.8544547032054254E-2</v>
      </c>
      <c r="W14" s="90">
        <f>V14/SQRT(3)</f>
        <v>4.5347715372333751E-2</v>
      </c>
      <c r="X14" s="90">
        <f>AVERAGE(R14:T14)</f>
        <v>4.0623529401055878</v>
      </c>
      <c r="Y14" s="90">
        <f>STDEV(R14:T14)</f>
        <v>0.43675962971615401</v>
      </c>
      <c r="Z14" s="90">
        <f>Y14/SQRT(3)</f>
        <v>0.2521632897877828</v>
      </c>
      <c r="AA14" s="94">
        <v>0.99970000000000003</v>
      </c>
      <c r="AX14" s="52"/>
      <c r="AY14" s="52"/>
      <c r="AZ14" s="52"/>
      <c r="BA14" s="52"/>
      <c r="BB14" s="52"/>
      <c r="BC14" s="52"/>
      <c r="BD14" s="52"/>
      <c r="BE14" s="52"/>
      <c r="BF14" s="52"/>
    </row>
    <row r="15" spans="1:58">
      <c r="B15" s="23" t="s">
        <v>114</v>
      </c>
      <c r="C15" s="23" t="s">
        <v>112</v>
      </c>
      <c r="D15" s="23">
        <v>15.516999999999999</v>
      </c>
      <c r="E15" s="23"/>
      <c r="F15" s="23" t="s">
        <v>114</v>
      </c>
      <c r="G15" s="23" t="s">
        <v>113</v>
      </c>
      <c r="H15" s="23">
        <v>18.649000000000001</v>
      </c>
      <c r="I15" s="23">
        <f t="shared" ref="I15" si="10">H15-E17</f>
        <v>3.0963333333333338</v>
      </c>
      <c r="J15" s="23">
        <f t="shared" si="0"/>
        <v>0.11692591848414018</v>
      </c>
      <c r="K15" s="23"/>
      <c r="L15" s="23">
        <f t="shared" si="1"/>
        <v>806.26545620375236</v>
      </c>
      <c r="N15" s="90" t="s">
        <v>452</v>
      </c>
      <c r="O15" s="90">
        <v>806.26545620375236</v>
      </c>
      <c r="P15" s="90">
        <v>759.60790135868365</v>
      </c>
      <c r="Q15" s="90">
        <v>785.30599592141823</v>
      </c>
      <c r="R15" s="90">
        <v>2431.7475834101497</v>
      </c>
      <c r="S15" s="90">
        <v>2294.2036867114903</v>
      </c>
      <c r="T15" s="90">
        <v>2245.4327026798883</v>
      </c>
      <c r="U15" s="90">
        <f>AVERAGE(O15:Q15)</f>
        <v>783.72645116128479</v>
      </c>
      <c r="V15" s="90">
        <f>STDEV(O15:Q15)</f>
        <v>23.368848436906291</v>
      </c>
      <c r="W15" s="90">
        <f t="shared" ref="W15:W16" si="11">V15/SQRT(3)</f>
        <v>13.492010935699414</v>
      </c>
      <c r="X15" s="90">
        <f>AVERAGE(R15:T15)</f>
        <v>2323.7946576005093</v>
      </c>
      <c r="Y15" s="90">
        <f t="shared" ref="Y15" si="12">STDEV(R15:T15)</f>
        <v>96.617947939288001</v>
      </c>
      <c r="Z15" s="90">
        <f>Y15/SQRT(3)</f>
        <v>55.782398251297181</v>
      </c>
      <c r="AA15" s="94" t="s">
        <v>666</v>
      </c>
      <c r="AX15" s="52"/>
      <c r="AY15" s="52"/>
      <c r="AZ15" s="52"/>
      <c r="BA15" s="52"/>
      <c r="BB15" s="52"/>
      <c r="BC15" s="52"/>
      <c r="BD15" s="52"/>
      <c r="BE15" s="52"/>
      <c r="BF15" s="52"/>
    </row>
    <row r="16" spans="1:58">
      <c r="B16" s="23" t="s">
        <v>114</v>
      </c>
      <c r="C16" s="23" t="s">
        <v>112</v>
      </c>
      <c r="D16" s="23">
        <v>15.6</v>
      </c>
      <c r="E16" s="23"/>
      <c r="F16" s="23" t="s">
        <v>114</v>
      </c>
      <c r="G16" s="23" t="s">
        <v>113</v>
      </c>
      <c r="H16" s="23">
        <v>18.734999999999999</v>
      </c>
      <c r="I16" s="23">
        <f t="shared" ref="I16" si="13">H16-E17</f>
        <v>3.1823333333333323</v>
      </c>
      <c r="J16" s="23">
        <f t="shared" si="0"/>
        <v>0.11015956453395291</v>
      </c>
      <c r="K16" s="23"/>
      <c r="L16" s="23">
        <f t="shared" si="1"/>
        <v>759.60790135868365</v>
      </c>
      <c r="N16" s="90" t="s">
        <v>454</v>
      </c>
      <c r="O16" s="90">
        <v>267.57096612589976</v>
      </c>
      <c r="P16" s="90">
        <v>324.65818436804284</v>
      </c>
      <c r="Q16" s="90">
        <v>314.25192431576579</v>
      </c>
      <c r="R16" s="90">
        <v>768.43412002139019</v>
      </c>
      <c r="S16" s="90">
        <v>745.86864463979032</v>
      </c>
      <c r="T16" s="90">
        <v>756.28058291065565</v>
      </c>
      <c r="U16" s="90">
        <f>AVERAGE(O16:Q16)</f>
        <v>302.16035826990282</v>
      </c>
      <c r="V16" s="90">
        <f>STDEV(O16:Q16)</f>
        <v>30.403817173796099</v>
      </c>
      <c r="W16" s="90">
        <f t="shared" si="11"/>
        <v>17.553652029683345</v>
      </c>
      <c r="X16" s="90">
        <f t="shared" ref="X16" si="14">AVERAGE(R16:T16)</f>
        <v>756.86111585727861</v>
      </c>
      <c r="Y16" s="90">
        <f>STDEV(R16:T16)</f>
        <v>11.293933489975208</v>
      </c>
      <c r="Z16" s="90">
        <f t="shared" ref="Z16" si="15">Y16/SQRT(3)</f>
        <v>6.5205555406469164</v>
      </c>
      <c r="AA16" s="94" t="s">
        <v>666</v>
      </c>
      <c r="AX16" s="52"/>
      <c r="AY16" s="52"/>
      <c r="AZ16" s="52"/>
      <c r="BA16" s="52"/>
      <c r="BB16" s="52"/>
      <c r="BC16" s="52"/>
      <c r="BD16" s="52"/>
      <c r="BE16" s="52"/>
      <c r="BF16" s="52"/>
    </row>
    <row r="17" spans="2:58">
      <c r="B17" s="23" t="s">
        <v>114</v>
      </c>
      <c r="C17" s="23" t="s">
        <v>112</v>
      </c>
      <c r="D17" s="23">
        <v>15.541</v>
      </c>
      <c r="E17" s="23">
        <f t="shared" ref="E17" si="16">AVERAGE(D15:D17)</f>
        <v>15.552666666666667</v>
      </c>
      <c r="F17" s="23" t="s">
        <v>114</v>
      </c>
      <c r="G17" s="23" t="s">
        <v>113</v>
      </c>
      <c r="H17" s="23">
        <v>18.687000000000001</v>
      </c>
      <c r="I17" s="23">
        <f t="shared" ref="I17" si="17">H17-E17</f>
        <v>3.1343333333333341</v>
      </c>
      <c r="J17" s="23">
        <f t="shared" si="0"/>
        <v>0.11388634370689156</v>
      </c>
      <c r="K17" s="23"/>
      <c r="L17" s="23">
        <f t="shared" si="1"/>
        <v>785.30599592141823</v>
      </c>
      <c r="N17" s="90"/>
      <c r="O17" s="90"/>
      <c r="P17" s="90"/>
      <c r="Q17" s="90"/>
      <c r="R17" s="90"/>
      <c r="S17" s="90"/>
      <c r="T17" s="90"/>
      <c r="U17" s="90"/>
      <c r="V17" s="90"/>
      <c r="W17" s="90"/>
      <c r="X17" s="90"/>
      <c r="Y17" s="90"/>
      <c r="Z17" s="90"/>
      <c r="AA17" s="90"/>
      <c r="AX17" s="52"/>
      <c r="AY17" s="52"/>
      <c r="AZ17" s="52"/>
      <c r="BA17" s="52"/>
      <c r="BB17" s="52"/>
      <c r="BC17" s="52"/>
      <c r="BD17" s="52"/>
      <c r="BE17" s="52"/>
      <c r="BF17" s="52"/>
    </row>
    <row r="18" spans="2:58">
      <c r="B18" s="23" t="s">
        <v>466</v>
      </c>
      <c r="C18" s="23" t="s">
        <v>112</v>
      </c>
      <c r="D18" s="23">
        <v>15.542999999999999</v>
      </c>
      <c r="E18" s="23"/>
      <c r="F18" s="23" t="s">
        <v>466</v>
      </c>
      <c r="G18" s="23" t="s">
        <v>113</v>
      </c>
      <c r="H18" s="23">
        <v>18.651</v>
      </c>
      <c r="I18" s="23">
        <f t="shared" ref="I18" si="18">H18-E20</f>
        <v>3.1656666666666649</v>
      </c>
      <c r="J18" s="23">
        <f t="shared" si="0"/>
        <v>0.11143955701774104</v>
      </c>
      <c r="K18" s="23"/>
      <c r="L18" s="23">
        <f t="shared" si="1"/>
        <v>768.43412002139019</v>
      </c>
      <c r="AX18" s="52"/>
      <c r="AY18" s="52"/>
      <c r="AZ18" s="52"/>
      <c r="BA18" s="52"/>
      <c r="BB18" s="52"/>
      <c r="BC18" s="52"/>
      <c r="BD18" s="52"/>
      <c r="BE18" s="52"/>
      <c r="BF18" s="52"/>
    </row>
    <row r="19" spans="2:58">
      <c r="B19" s="23" t="s">
        <v>466</v>
      </c>
      <c r="C19" s="23" t="s">
        <v>112</v>
      </c>
      <c r="D19" s="23">
        <v>15.413</v>
      </c>
      <c r="E19" s="23"/>
      <c r="F19" s="23" t="s">
        <v>466</v>
      </c>
      <c r="G19" s="23" t="s">
        <v>113</v>
      </c>
      <c r="H19" s="23">
        <v>18.693999999999999</v>
      </c>
      <c r="I19" s="23">
        <f t="shared" ref="I19" si="19">H19-E20</f>
        <v>3.2086666666666641</v>
      </c>
      <c r="J19" s="23">
        <f t="shared" si="0"/>
        <v>0.10816707533726826</v>
      </c>
      <c r="K19" s="23"/>
      <c r="L19" s="23">
        <f t="shared" si="1"/>
        <v>745.86864463979032</v>
      </c>
      <c r="AX19" s="52"/>
      <c r="AY19" s="52"/>
      <c r="AZ19" s="52"/>
      <c r="BA19" s="52"/>
      <c r="BB19" s="52"/>
      <c r="BC19" s="52"/>
      <c r="BD19" s="52"/>
      <c r="BE19" s="52"/>
      <c r="BF19" s="52"/>
    </row>
    <row r="20" spans="2:58">
      <c r="B20" s="23" t="s">
        <v>466</v>
      </c>
      <c r="C20" s="23" t="s">
        <v>112</v>
      </c>
      <c r="D20" s="23">
        <v>15.5</v>
      </c>
      <c r="E20" s="23">
        <f t="shared" ref="E20" si="20">AVERAGE(D18:D20)</f>
        <v>15.485333333333335</v>
      </c>
      <c r="F20" s="23" t="s">
        <v>466</v>
      </c>
      <c r="G20" s="23" t="s">
        <v>113</v>
      </c>
      <c r="H20" s="23">
        <v>18.673999999999999</v>
      </c>
      <c r="I20" s="23">
        <f t="shared" ref="I20" si="21">H20-E20</f>
        <v>3.1886666666666645</v>
      </c>
      <c r="J20" s="23">
        <f t="shared" si="0"/>
        <v>0.10967703143938537</v>
      </c>
      <c r="K20" s="23"/>
      <c r="L20" s="23">
        <f t="shared" si="1"/>
        <v>756.28058291065565</v>
      </c>
      <c r="AX20" s="52"/>
      <c r="AY20" s="52"/>
      <c r="AZ20" s="52"/>
      <c r="BA20" s="52"/>
      <c r="BB20" s="52"/>
      <c r="BC20" s="52"/>
      <c r="BD20" s="52"/>
      <c r="BE20" s="52"/>
      <c r="BF20" s="52"/>
    </row>
    <row r="21" spans="2:58">
      <c r="B21" s="23" t="s">
        <v>467</v>
      </c>
      <c r="C21" s="23" t="s">
        <v>112</v>
      </c>
      <c r="D21" s="23">
        <v>15.109</v>
      </c>
      <c r="E21" s="23"/>
      <c r="F21" s="23" t="s">
        <v>467</v>
      </c>
      <c r="G21" s="23" t="s">
        <v>113</v>
      </c>
      <c r="H21" s="23">
        <v>19.795999999999999</v>
      </c>
      <c r="I21" s="23">
        <f t="shared" ref="I21" si="22">H21-E23</f>
        <v>4.6876666666666651</v>
      </c>
      <c r="J21" s="23">
        <f t="shared" si="0"/>
        <v>3.8803573603745298E-2</v>
      </c>
      <c r="K21" s="23"/>
      <c r="L21" s="23">
        <f t="shared" si="1"/>
        <v>267.57096612589976</v>
      </c>
      <c r="AX21" s="52"/>
      <c r="AY21" s="52"/>
      <c r="AZ21" s="52"/>
      <c r="BA21" s="52"/>
      <c r="BB21" s="52"/>
      <c r="BC21" s="52"/>
      <c r="BD21" s="52"/>
      <c r="BE21" s="52"/>
      <c r="BF21" s="52"/>
    </row>
    <row r="22" spans="2:58">
      <c r="B22" s="23" t="s">
        <v>467</v>
      </c>
      <c r="C22" s="23" t="s">
        <v>112</v>
      </c>
      <c r="D22" s="23">
        <v>15.092000000000001</v>
      </c>
      <c r="E22" s="23"/>
      <c r="F22" s="23" t="s">
        <v>467</v>
      </c>
      <c r="G22" s="23" t="s">
        <v>113</v>
      </c>
      <c r="H22" s="23">
        <v>19.516999999999999</v>
      </c>
      <c r="I22" s="23">
        <f t="shared" ref="I22" si="23">H22-E23</f>
        <v>4.4086666666666652</v>
      </c>
      <c r="J22" s="23">
        <f t="shared" si="0"/>
        <v>4.7082454182476557E-2</v>
      </c>
      <c r="K22" s="23"/>
      <c r="L22" s="23">
        <f t="shared" si="1"/>
        <v>324.65818436804284</v>
      </c>
      <c r="AX22" s="52"/>
      <c r="AY22" s="52"/>
      <c r="AZ22" s="52"/>
      <c r="BA22" s="52"/>
      <c r="BB22" s="52"/>
      <c r="BC22" s="52"/>
      <c r="BD22" s="52"/>
      <c r="BE22" s="52"/>
      <c r="BF22" s="52"/>
    </row>
    <row r="23" spans="2:58">
      <c r="B23" s="23" t="s">
        <v>467</v>
      </c>
      <c r="C23" s="23" t="s">
        <v>112</v>
      </c>
      <c r="D23" s="23">
        <v>15.124000000000001</v>
      </c>
      <c r="E23" s="23">
        <f t="shared" ref="E23" si="24">AVERAGE(D21:D23)</f>
        <v>15.108333333333334</v>
      </c>
      <c r="F23" s="23" t="s">
        <v>467</v>
      </c>
      <c r="G23" s="23" t="s">
        <v>113</v>
      </c>
      <c r="H23" s="23">
        <v>19.564</v>
      </c>
      <c r="I23" s="23">
        <f t="shared" ref="I23" si="25">H23-E23</f>
        <v>4.4556666666666658</v>
      </c>
      <c r="J23" s="23">
        <f t="shared" si="0"/>
        <v>4.5573321544788777E-2</v>
      </c>
      <c r="K23" s="23"/>
      <c r="L23" s="23">
        <f t="shared" si="1"/>
        <v>314.25192431576579</v>
      </c>
      <c r="N23" s="90" t="s">
        <v>458</v>
      </c>
      <c r="O23" s="90"/>
      <c r="P23" s="90"/>
      <c r="Q23" s="90"/>
      <c r="R23" s="90"/>
      <c r="S23" s="90"/>
      <c r="T23" s="90"/>
      <c r="U23" s="90"/>
      <c r="V23" s="90"/>
      <c r="W23" s="90"/>
      <c r="X23" s="90"/>
      <c r="Y23" s="90"/>
      <c r="Z23" s="90"/>
      <c r="AA23" s="90"/>
      <c r="AX23" s="52"/>
      <c r="AY23" s="52"/>
      <c r="AZ23" s="52"/>
      <c r="BA23" s="52"/>
      <c r="BB23" s="52"/>
      <c r="BC23" s="52"/>
      <c r="BD23" s="52"/>
      <c r="BE23" s="52"/>
      <c r="BF23" s="52"/>
    </row>
    <row r="24" spans="2:58">
      <c r="N24" s="102"/>
      <c r="O24" s="102" t="s">
        <v>107</v>
      </c>
      <c r="P24" s="90"/>
      <c r="Q24" s="90"/>
      <c r="R24" s="102" t="s">
        <v>108</v>
      </c>
      <c r="S24" s="102"/>
      <c r="T24" s="102"/>
      <c r="U24" s="90" t="s">
        <v>663</v>
      </c>
      <c r="V24" s="90" t="s">
        <v>396</v>
      </c>
      <c r="W24" s="90" t="s">
        <v>664</v>
      </c>
      <c r="X24" s="90" t="s">
        <v>663</v>
      </c>
      <c r="Y24" s="90" t="s">
        <v>396</v>
      </c>
      <c r="Z24" s="90" t="s">
        <v>664</v>
      </c>
      <c r="AA24" s="101" t="s">
        <v>665</v>
      </c>
      <c r="AX24" s="52"/>
      <c r="AY24" s="52"/>
      <c r="AZ24" s="52"/>
      <c r="BA24" s="52"/>
      <c r="BB24" s="52"/>
      <c r="BC24" s="52"/>
      <c r="BD24" s="52"/>
      <c r="BE24" s="52"/>
      <c r="BF24" s="52"/>
    </row>
    <row r="25" spans="2:58">
      <c r="B25" t="s">
        <v>30</v>
      </c>
      <c r="C25" t="s">
        <v>112</v>
      </c>
      <c r="D25">
        <v>15.619</v>
      </c>
      <c r="F25" t="s">
        <v>30</v>
      </c>
      <c r="G25" t="s">
        <v>458</v>
      </c>
      <c r="H25">
        <v>21.928000000000001</v>
      </c>
      <c r="I25">
        <f t="shared" ref="I25" si="26">H25-E27</f>
        <v>6.1900000000000013</v>
      </c>
      <c r="J25">
        <f t="shared" ref="J25:J36" si="27">POWER(2,-I25)</f>
        <v>1.3696964395563033E-2</v>
      </c>
      <c r="L25">
        <f t="shared" ref="L25:L36" si="28">J25/0.00221433188563005</f>
        <v>6.1855968766243894</v>
      </c>
      <c r="N25" s="102" t="s">
        <v>459</v>
      </c>
      <c r="O25" s="102">
        <v>0.97147323072316805</v>
      </c>
      <c r="P25" s="90">
        <v>1.045538471057619</v>
      </c>
      <c r="Q25" s="90">
        <v>0.9829882982192093</v>
      </c>
      <c r="R25" s="102">
        <v>6.1855968766243894</v>
      </c>
      <c r="S25" s="102">
        <v>6.2027707898622495</v>
      </c>
      <c r="T25" s="102">
        <v>6.4126150924606513</v>
      </c>
      <c r="U25" s="90">
        <f>AVERAGE(O25:Q25)</f>
        <v>0.99999999999999878</v>
      </c>
      <c r="V25" s="90">
        <f>STDEV(O25:Q25)</f>
        <v>3.9855532295515528E-2</v>
      </c>
      <c r="W25" s="90">
        <f>V25/SQRT(3)</f>
        <v>2.3010602299511716E-2</v>
      </c>
      <c r="X25" s="90">
        <f>AVERAGE(R25:T25)</f>
        <v>6.266994252982431</v>
      </c>
      <c r="Y25" s="90">
        <f>STDEV(R25:T25)</f>
        <v>0.12640335237536937</v>
      </c>
      <c r="Z25" s="90">
        <f>Y25/SQRT(3)</f>
        <v>7.2979009520390631E-2</v>
      </c>
      <c r="AA25" s="94">
        <v>0.99850000000000005</v>
      </c>
      <c r="AX25" s="52"/>
      <c r="AY25" s="52"/>
      <c r="AZ25" s="52"/>
      <c r="BA25" s="52"/>
      <c r="BB25" s="52"/>
      <c r="BC25" s="52"/>
      <c r="BD25" s="52"/>
      <c r="BE25" s="52"/>
      <c r="BF25" s="52"/>
    </row>
    <row r="26" spans="2:58">
      <c r="B26" s="23" t="s">
        <v>30</v>
      </c>
      <c r="C26" s="23" t="s">
        <v>112</v>
      </c>
      <c r="D26" s="23">
        <v>15.723000000000001</v>
      </c>
      <c r="E26" s="23"/>
      <c r="F26" s="23" t="s">
        <v>30</v>
      </c>
      <c r="G26" s="23" t="s">
        <v>458</v>
      </c>
      <c r="H26" s="23">
        <v>21.923999999999999</v>
      </c>
      <c r="I26" s="23">
        <f t="shared" ref="I26" si="29">H26-E27</f>
        <v>6.1859999999999999</v>
      </c>
      <c r="J26" s="23">
        <f t="shared" si="27"/>
        <v>1.3734993139246671E-2</v>
      </c>
      <c r="K26" s="23"/>
      <c r="L26" s="23">
        <f t="shared" si="28"/>
        <v>6.2027707898622495</v>
      </c>
      <c r="N26" s="102" t="s">
        <v>460</v>
      </c>
      <c r="O26" s="90">
        <v>1055.403882727657</v>
      </c>
      <c r="P26" s="90">
        <v>1161.3438567954809</v>
      </c>
      <c r="Q26" s="90">
        <v>1079.0750410172452</v>
      </c>
      <c r="R26" s="90">
        <v>2110.320121641862</v>
      </c>
      <c r="S26" s="90">
        <v>1977.2041817326874</v>
      </c>
      <c r="T26" s="90">
        <v>1990.9567243910824</v>
      </c>
      <c r="U26" s="90">
        <f>AVERAGE(O26:Q26)</f>
        <v>1098.6075935134611</v>
      </c>
      <c r="V26" s="90">
        <f>STDEV(O26:Q26)</f>
        <v>55.605395256538444</v>
      </c>
      <c r="W26" s="90">
        <f t="shared" ref="W26:W27" si="30">V26/SQRT(3)</f>
        <v>32.103789919758015</v>
      </c>
      <c r="X26" s="90">
        <f>AVERAGE(R26:T26)</f>
        <v>2026.1603425885439</v>
      </c>
      <c r="Y26" s="90">
        <f t="shared" ref="Y26" si="31">STDEV(R26:T26)</f>
        <v>73.208158118615643</v>
      </c>
      <c r="Z26" s="90">
        <f>Y26/SQRT(3)</f>
        <v>42.266749796659433</v>
      </c>
      <c r="AA26" s="94" t="s">
        <v>666</v>
      </c>
      <c r="AX26" s="52"/>
      <c r="AY26" s="52"/>
      <c r="AZ26" s="52"/>
      <c r="BA26" s="52"/>
      <c r="BB26" s="52"/>
      <c r="BC26" s="52"/>
      <c r="BD26" s="52"/>
      <c r="BE26" s="52"/>
      <c r="BF26" s="52"/>
    </row>
    <row r="27" spans="2:58">
      <c r="B27" s="23" t="s">
        <v>30</v>
      </c>
      <c r="C27" s="23" t="s">
        <v>112</v>
      </c>
      <c r="D27" s="23">
        <v>15.872</v>
      </c>
      <c r="E27" s="23">
        <f>AVERAGE(D25:D27)</f>
        <v>15.738</v>
      </c>
      <c r="F27" s="23" t="s">
        <v>30</v>
      </c>
      <c r="G27" s="23" t="s">
        <v>458</v>
      </c>
      <c r="H27" s="23">
        <v>21.876000000000001</v>
      </c>
      <c r="I27" s="23">
        <f t="shared" ref="I27" si="32">H27-E27</f>
        <v>6.1380000000000017</v>
      </c>
      <c r="J27" s="23">
        <f t="shared" si="27"/>
        <v>1.4199658069508111E-2</v>
      </c>
      <c r="K27" s="23"/>
      <c r="L27" s="23">
        <f t="shared" si="28"/>
        <v>6.4126150924606513</v>
      </c>
      <c r="N27" s="102" t="s">
        <v>462</v>
      </c>
      <c r="O27" s="90">
        <v>420.29140622454406</v>
      </c>
      <c r="P27" s="90">
        <v>465.69647362643286</v>
      </c>
      <c r="Q27" s="90">
        <v>372.79692440837192</v>
      </c>
      <c r="R27" s="90">
        <v>1038.4716725481735</v>
      </c>
      <c r="S27" s="90">
        <v>991.3468812033052</v>
      </c>
      <c r="T27" s="90">
        <v>983.13528805454575</v>
      </c>
      <c r="U27" s="90">
        <f>AVERAGE(O27:Q27)</f>
        <v>419.59493475311632</v>
      </c>
      <c r="V27" s="90">
        <f>STDEV(O27:Q27)</f>
        <v>46.453690548896283</v>
      </c>
      <c r="W27" s="90">
        <f t="shared" si="30"/>
        <v>26.820050743256846</v>
      </c>
      <c r="X27" s="90">
        <f t="shared" ref="X27" si="33">AVERAGE(R27:T27)</f>
        <v>1004.3179472686749</v>
      </c>
      <c r="Y27" s="90">
        <f>STDEV(R27:T27)</f>
        <v>29.861602072909431</v>
      </c>
      <c r="Z27" s="90">
        <f t="shared" ref="Z27" si="34">Y27/SQRT(3)</f>
        <v>17.240603995227747</v>
      </c>
      <c r="AA27" s="94" t="s">
        <v>666</v>
      </c>
      <c r="AX27" s="52"/>
      <c r="AY27" s="52"/>
      <c r="AZ27" s="52"/>
      <c r="BA27" s="52"/>
      <c r="BB27" s="52"/>
      <c r="BC27" s="52"/>
      <c r="BD27" s="52"/>
      <c r="BE27" s="52"/>
      <c r="BF27" s="52"/>
    </row>
    <row r="28" spans="2:58">
      <c r="B28" s="23" t="s">
        <v>27</v>
      </c>
      <c r="C28" s="23" t="s">
        <v>112</v>
      </c>
      <c r="D28" s="23">
        <v>14.852</v>
      </c>
      <c r="E28" s="23"/>
      <c r="F28" s="23" t="s">
        <v>27</v>
      </c>
      <c r="G28" s="23" t="s">
        <v>458</v>
      </c>
      <c r="H28" s="23">
        <v>23.553999999999998</v>
      </c>
      <c r="I28" s="23">
        <f t="shared" ref="I28" si="35">H28-E30</f>
        <v>8.8606666666666651</v>
      </c>
      <c r="J28" s="23">
        <f t="shared" si="27"/>
        <v>2.1511641508263494E-3</v>
      </c>
      <c r="K28" s="23"/>
      <c r="L28" s="23">
        <f t="shared" si="28"/>
        <v>0.97147323072316805</v>
      </c>
      <c r="N28" s="102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  <c r="AX28" s="52"/>
      <c r="AY28" s="52"/>
      <c r="AZ28" s="52"/>
      <c r="BA28" s="52"/>
      <c r="BB28" s="52"/>
      <c r="BC28" s="52"/>
      <c r="BD28" s="52"/>
      <c r="BE28" s="52"/>
      <c r="BF28" s="52"/>
    </row>
    <row r="29" spans="2:58">
      <c r="B29" s="23" t="s">
        <v>27</v>
      </c>
      <c r="C29" s="23" t="s">
        <v>112</v>
      </c>
      <c r="D29" s="23">
        <v>14.782</v>
      </c>
      <c r="E29" s="23"/>
      <c r="F29" s="23" t="s">
        <v>27</v>
      </c>
      <c r="G29" s="23" t="s">
        <v>458</v>
      </c>
      <c r="H29" s="23">
        <v>23.448</v>
      </c>
      <c r="I29" s="23">
        <f t="shared" ref="I29" si="36">H29-E30</f>
        <v>8.754666666666667</v>
      </c>
      <c r="J29" s="23">
        <f t="shared" si="27"/>
        <v>2.3151691741157771E-3</v>
      </c>
      <c r="K29" s="23">
        <v>2.2143318856300501E-3</v>
      </c>
      <c r="L29" s="23">
        <f t="shared" si="28"/>
        <v>1.045538471057619</v>
      </c>
      <c r="AX29" s="52"/>
      <c r="AY29" s="52"/>
      <c r="AZ29" s="52"/>
      <c r="BA29" s="52"/>
      <c r="BB29" s="52"/>
      <c r="BC29" s="52"/>
      <c r="BD29" s="52"/>
      <c r="BE29" s="52"/>
      <c r="BF29" s="52"/>
    </row>
    <row r="30" spans="2:58">
      <c r="B30" s="23" t="s">
        <v>27</v>
      </c>
      <c r="C30" s="23" t="s">
        <v>112</v>
      </c>
      <c r="D30" s="23">
        <v>14.446</v>
      </c>
      <c r="E30" s="23">
        <f t="shared" ref="E30" si="37">AVERAGE(D28:D30)</f>
        <v>14.693333333333333</v>
      </c>
      <c r="F30" s="23" t="s">
        <v>27</v>
      </c>
      <c r="G30" s="23" t="s">
        <v>458</v>
      </c>
      <c r="H30" s="23">
        <v>23.536999999999999</v>
      </c>
      <c r="I30" s="23">
        <f t="shared" ref="I30" si="38">H30-E30</f>
        <v>8.8436666666666657</v>
      </c>
      <c r="J30" s="23">
        <f t="shared" si="27"/>
        <v>2.1766623319480157E-3</v>
      </c>
      <c r="K30" s="23">
        <f>AVERAGE(J28:J30)</f>
        <v>2.2143318856300471E-3</v>
      </c>
      <c r="L30" s="23">
        <f t="shared" si="28"/>
        <v>0.9829882982192093</v>
      </c>
      <c r="AX30" s="52"/>
      <c r="AY30" s="52"/>
      <c r="AZ30" s="52"/>
      <c r="BA30" s="52"/>
      <c r="BB30" s="52"/>
      <c r="BC30" s="52"/>
      <c r="BD30" s="52"/>
      <c r="BE30" s="52"/>
      <c r="BF30" s="52"/>
    </row>
    <row r="31" spans="2:58">
      <c r="B31" s="23" t="s">
        <v>104</v>
      </c>
      <c r="C31" s="23" t="s">
        <v>112</v>
      </c>
      <c r="D31" s="23">
        <v>15.957000000000001</v>
      </c>
      <c r="E31" s="23"/>
      <c r="F31" s="23" t="s">
        <v>104</v>
      </c>
      <c r="G31" s="23" t="s">
        <v>458</v>
      </c>
      <c r="H31" s="23">
        <v>13.843</v>
      </c>
      <c r="I31" s="23">
        <f t="shared" ref="I31" si="39">H31-E33</f>
        <v>-2.2243333333333339</v>
      </c>
      <c r="J31" s="23">
        <f t="shared" si="27"/>
        <v>4.6729491342382614</v>
      </c>
      <c r="K31" s="23"/>
      <c r="L31" s="23">
        <f t="shared" si="28"/>
        <v>2110.320121641862</v>
      </c>
      <c r="AX31" s="52"/>
      <c r="AY31" s="52"/>
      <c r="AZ31" s="52"/>
      <c r="BA31" s="52"/>
      <c r="BB31" s="52"/>
      <c r="BC31" s="52"/>
      <c r="BD31" s="52"/>
      <c r="BE31" s="52"/>
      <c r="BF31" s="52"/>
    </row>
    <row r="32" spans="2:58">
      <c r="B32" s="23" t="s">
        <v>104</v>
      </c>
      <c r="C32" s="23" t="s">
        <v>112</v>
      </c>
      <c r="D32" s="23">
        <v>16.151</v>
      </c>
      <c r="E32" s="23"/>
      <c r="F32" s="23" t="s">
        <v>104</v>
      </c>
      <c r="G32" s="23" t="s">
        <v>458</v>
      </c>
      <c r="H32" s="23">
        <v>13.936999999999999</v>
      </c>
      <c r="I32" s="23">
        <f t="shared" ref="I32" si="40">H32-E33</f>
        <v>-2.1303333333333345</v>
      </c>
      <c r="J32" s="23">
        <f t="shared" si="27"/>
        <v>4.3781862640117621</v>
      </c>
      <c r="K32" s="23"/>
      <c r="L32" s="23">
        <f t="shared" si="28"/>
        <v>1977.2041817326874</v>
      </c>
      <c r="AX32" s="52"/>
      <c r="AY32" s="52"/>
      <c r="AZ32" s="52"/>
      <c r="BA32" s="52"/>
      <c r="BB32" s="52"/>
      <c r="BC32" s="52"/>
      <c r="BD32" s="52"/>
      <c r="BE32" s="52"/>
      <c r="BF32" s="52"/>
    </row>
    <row r="33" spans="2:58">
      <c r="B33" s="23" t="s">
        <v>104</v>
      </c>
      <c r="C33" s="23" t="s">
        <v>112</v>
      </c>
      <c r="D33" s="23">
        <v>16.094000000000001</v>
      </c>
      <c r="E33" s="23">
        <f t="shared" ref="E33" si="41">AVERAGE(D31:D33)</f>
        <v>16.067333333333334</v>
      </c>
      <c r="F33" s="23" t="s">
        <v>104</v>
      </c>
      <c r="G33" s="23" t="s">
        <v>458</v>
      </c>
      <c r="H33" s="23">
        <v>13.927</v>
      </c>
      <c r="I33" s="23">
        <f t="shared" ref="I33" si="42">H33-E33</f>
        <v>-2.1403333333333343</v>
      </c>
      <c r="J33" s="23">
        <f t="shared" si="27"/>
        <v>4.4086389577287335</v>
      </c>
      <c r="K33" s="23"/>
      <c r="L33" s="23">
        <f t="shared" si="28"/>
        <v>1990.9567243910824</v>
      </c>
      <c r="AX33" s="52"/>
      <c r="AY33" s="52"/>
      <c r="AZ33" s="52"/>
      <c r="BA33" s="52"/>
      <c r="BB33" s="52"/>
      <c r="BC33" s="52"/>
      <c r="BD33" s="52"/>
      <c r="BE33" s="52"/>
      <c r="BF33" s="52"/>
    </row>
    <row r="34" spans="2:58">
      <c r="B34" s="23" t="s">
        <v>114</v>
      </c>
      <c r="C34" s="23" t="s">
        <v>112</v>
      </c>
      <c r="D34" s="23">
        <v>15.516999999999999</v>
      </c>
      <c r="E34" s="23"/>
      <c r="F34" s="23" t="s">
        <v>114</v>
      </c>
      <c r="G34" s="23" t="s">
        <v>458</v>
      </c>
      <c r="H34" s="23">
        <v>14.327999999999999</v>
      </c>
      <c r="I34" s="23">
        <f t="shared" ref="I34" si="43">H34-E36</f>
        <v>-1.2246666666666677</v>
      </c>
      <c r="J34" s="23">
        <f t="shared" si="27"/>
        <v>2.3370144697416091</v>
      </c>
      <c r="K34" s="23"/>
      <c r="L34" s="23">
        <f t="shared" si="28"/>
        <v>1055.403882727657</v>
      </c>
      <c r="AX34" s="52"/>
      <c r="AY34" s="52"/>
      <c r="AZ34" s="52"/>
      <c r="BA34" s="52"/>
      <c r="BB34" s="52"/>
      <c r="BC34" s="52"/>
      <c r="BD34" s="52"/>
      <c r="BE34" s="52"/>
      <c r="BF34" s="52"/>
    </row>
    <row r="35" spans="2:58">
      <c r="B35" s="23" t="s">
        <v>114</v>
      </c>
      <c r="C35" s="23" t="s">
        <v>112</v>
      </c>
      <c r="D35" s="23">
        <v>15.6</v>
      </c>
      <c r="E35" s="23"/>
      <c r="F35" s="23" t="s">
        <v>114</v>
      </c>
      <c r="G35" s="23" t="s">
        <v>458</v>
      </c>
      <c r="H35" s="23">
        <v>14.19</v>
      </c>
      <c r="I35" s="23">
        <f t="shared" ref="I35" si="44">H35-E36</f>
        <v>-1.3626666666666676</v>
      </c>
      <c r="J35" s="23">
        <f t="shared" si="27"/>
        <v>2.5716007322828123</v>
      </c>
      <c r="K35" s="23"/>
      <c r="L35" s="23">
        <f t="shared" si="28"/>
        <v>1161.3438567954809</v>
      </c>
      <c r="AX35" s="57"/>
      <c r="AY35" s="57"/>
      <c r="AZ35" s="63"/>
      <c r="BA35" s="63"/>
      <c r="BB35" s="63"/>
      <c r="BC35" s="52"/>
      <c r="BD35" s="52"/>
      <c r="BE35" s="52"/>
      <c r="BF35" s="52"/>
    </row>
    <row r="36" spans="2:58">
      <c r="B36" s="23" t="s">
        <v>114</v>
      </c>
      <c r="C36" s="23" t="s">
        <v>112</v>
      </c>
      <c r="D36" s="23">
        <v>15.541</v>
      </c>
      <c r="E36" s="23">
        <f t="shared" ref="E36" si="45">AVERAGE(D34:D36)</f>
        <v>15.552666666666667</v>
      </c>
      <c r="F36" s="23" t="s">
        <v>114</v>
      </c>
      <c r="G36" s="23" t="s">
        <v>458</v>
      </c>
      <c r="H36" s="23">
        <v>14.295999999999999</v>
      </c>
      <c r="I36" s="23">
        <f t="shared" ref="I36" si="46">H36-E36</f>
        <v>-1.2566666666666677</v>
      </c>
      <c r="J36" s="23">
        <f t="shared" si="27"/>
        <v>2.3894302703120402</v>
      </c>
      <c r="K36" s="23"/>
      <c r="L36" s="23">
        <f t="shared" si="28"/>
        <v>1079.0750410172452</v>
      </c>
      <c r="AX36" s="57"/>
      <c r="AY36" s="57"/>
      <c r="AZ36" s="63"/>
      <c r="BA36" s="63"/>
      <c r="BB36" s="63"/>
      <c r="BC36" s="52"/>
      <c r="BD36" s="52"/>
      <c r="BE36" s="52"/>
      <c r="BF36" s="52"/>
    </row>
    <row r="37" spans="2:58">
      <c r="B37" s="23" t="s">
        <v>466</v>
      </c>
      <c r="C37" s="23" t="s">
        <v>112</v>
      </c>
      <c r="D37" s="23">
        <v>15.542999999999999</v>
      </c>
      <c r="E37" s="23"/>
      <c r="F37" s="23" t="s">
        <v>466</v>
      </c>
      <c r="G37" s="23" t="s">
        <v>458</v>
      </c>
      <c r="H37" s="23">
        <v>14.284000000000001</v>
      </c>
      <c r="I37" s="23">
        <f t="shared" ref="I37" si="47">H37-E39</f>
        <v>-1.2013333333333343</v>
      </c>
      <c r="J37" s="23">
        <f t="shared" ref="J37:J42" si="48">POWER(2,-I37)</f>
        <v>2.2995209368469891</v>
      </c>
      <c r="K37" s="23"/>
      <c r="L37" s="23">
        <f t="shared" ref="L37:L42" si="49">J37/0.00221433188563005</f>
        <v>1038.4716725481735</v>
      </c>
      <c r="AX37" s="52"/>
      <c r="AY37" s="52"/>
      <c r="AZ37" s="52"/>
      <c r="BA37" s="52"/>
      <c r="BB37" s="52"/>
      <c r="BC37" s="52"/>
      <c r="BD37" s="52"/>
      <c r="BE37" s="52"/>
      <c r="BF37" s="52"/>
    </row>
    <row r="38" spans="2:58">
      <c r="B38" s="23" t="s">
        <v>466</v>
      </c>
      <c r="C38" s="23" t="s">
        <v>112</v>
      </c>
      <c r="D38" s="23">
        <v>15.413</v>
      </c>
      <c r="E38" s="23"/>
      <c r="F38" s="23" t="s">
        <v>466</v>
      </c>
      <c r="G38" s="23" t="s">
        <v>458</v>
      </c>
      <c r="H38" s="23">
        <v>14.351000000000001</v>
      </c>
      <c r="I38" s="23">
        <f t="shared" ref="I38" si="50">H38-E39</f>
        <v>-1.1343333333333341</v>
      </c>
      <c r="J38" s="23">
        <f t="shared" si="48"/>
        <v>2.195171008768384</v>
      </c>
      <c r="K38" s="23"/>
      <c r="L38" s="23">
        <f t="shared" si="49"/>
        <v>991.3468812033052</v>
      </c>
      <c r="AX38" s="52"/>
      <c r="AY38" s="52"/>
      <c r="AZ38" s="52"/>
      <c r="BA38" s="52"/>
      <c r="BB38" s="52"/>
      <c r="BC38" s="52"/>
      <c r="BD38" s="52"/>
      <c r="BE38" s="52"/>
      <c r="BF38" s="52"/>
    </row>
    <row r="39" spans="2:58">
      <c r="B39" s="23" t="s">
        <v>466</v>
      </c>
      <c r="C39" s="23" t="s">
        <v>112</v>
      </c>
      <c r="D39" s="23">
        <v>15.5</v>
      </c>
      <c r="E39" s="23">
        <f t="shared" ref="E39" si="51">AVERAGE(D37:D39)</f>
        <v>15.485333333333335</v>
      </c>
      <c r="F39" s="23" t="s">
        <v>466</v>
      </c>
      <c r="G39" s="23" t="s">
        <v>458</v>
      </c>
      <c r="H39" s="23">
        <v>14.363</v>
      </c>
      <c r="I39" s="23">
        <f t="shared" ref="I39" si="52">H39-E39</f>
        <v>-1.1223333333333354</v>
      </c>
      <c r="J39" s="23">
        <f t="shared" si="48"/>
        <v>2.1769878162272649</v>
      </c>
      <c r="K39" s="23"/>
      <c r="L39" s="23">
        <f t="shared" si="49"/>
        <v>983.13528805454575</v>
      </c>
      <c r="AX39" s="52"/>
      <c r="AY39" s="52"/>
      <c r="AZ39" s="52"/>
      <c r="BA39" s="52"/>
      <c r="BB39" s="52"/>
      <c r="BC39" s="52"/>
      <c r="BD39" s="52"/>
      <c r="BE39" s="52"/>
      <c r="BF39" s="52"/>
    </row>
    <row r="40" spans="2:58">
      <c r="B40" s="23" t="s">
        <v>467</v>
      </c>
      <c r="C40" s="23" t="s">
        <v>112</v>
      </c>
      <c r="D40" s="23">
        <v>15.109</v>
      </c>
      <c r="E40" s="23"/>
      <c r="F40" s="23" t="s">
        <v>467</v>
      </c>
      <c r="G40" s="23" t="s">
        <v>458</v>
      </c>
      <c r="H40" s="23">
        <v>15.212</v>
      </c>
      <c r="I40" s="23">
        <f t="shared" ref="I40" si="53">H40-E42</f>
        <v>0.10366666666666546</v>
      </c>
      <c r="J40" s="23">
        <f t="shared" si="48"/>
        <v>0.9306646620593001</v>
      </c>
      <c r="K40" s="23"/>
      <c r="L40" s="23">
        <f t="shared" si="49"/>
        <v>420.29140622454406</v>
      </c>
      <c r="AX40" s="52"/>
      <c r="AY40" s="52"/>
      <c r="AZ40" s="52"/>
      <c r="BA40" s="52"/>
      <c r="BB40" s="52"/>
      <c r="BC40" s="52"/>
      <c r="BD40" s="52"/>
      <c r="BE40" s="52"/>
      <c r="BF40" s="52"/>
    </row>
    <row r="41" spans="2:58">
      <c r="B41" s="23" t="s">
        <v>467</v>
      </c>
      <c r="C41" s="23" t="s">
        <v>112</v>
      </c>
      <c r="D41" s="23">
        <v>15.092000000000001</v>
      </c>
      <c r="E41" s="23"/>
      <c r="F41" s="23" t="s">
        <v>467</v>
      </c>
      <c r="G41" s="23" t="s">
        <v>458</v>
      </c>
      <c r="H41" s="23">
        <v>15.064</v>
      </c>
      <c r="I41" s="23">
        <f t="shared" ref="I41" si="54">H41-E42</f>
        <v>-4.4333333333334224E-2</v>
      </c>
      <c r="J41" s="23">
        <f t="shared" si="48"/>
        <v>1.031206550576484</v>
      </c>
      <c r="K41" s="23"/>
      <c r="L41" s="23">
        <f t="shared" si="49"/>
        <v>465.69647362643286</v>
      </c>
      <c r="AX41" s="52"/>
      <c r="AY41" s="52"/>
      <c r="AZ41" s="52"/>
      <c r="BA41" s="52"/>
      <c r="BB41" s="52"/>
      <c r="BC41" s="52"/>
      <c r="BD41" s="52"/>
      <c r="BE41" s="52"/>
      <c r="BF41" s="52"/>
    </row>
    <row r="42" spans="2:58">
      <c r="B42" s="23" t="s">
        <v>467</v>
      </c>
      <c r="C42" s="23" t="s">
        <v>112</v>
      </c>
      <c r="D42" s="23">
        <v>15.124000000000001</v>
      </c>
      <c r="E42" s="23">
        <f t="shared" ref="E42" si="55">AVERAGE(D40:D42)</f>
        <v>15.108333333333334</v>
      </c>
      <c r="F42" s="23" t="s">
        <v>467</v>
      </c>
      <c r="G42" s="23" t="s">
        <v>458</v>
      </c>
      <c r="H42" s="23">
        <v>15.385</v>
      </c>
      <c r="I42" s="23">
        <f t="shared" ref="I42" si="56">H42-E42</f>
        <v>0.27666666666666551</v>
      </c>
      <c r="J42" s="23">
        <f t="shared" si="48"/>
        <v>0.82549611658227351</v>
      </c>
      <c r="K42" s="23"/>
      <c r="L42" s="23">
        <f t="shared" si="49"/>
        <v>372.79692440837192</v>
      </c>
      <c r="AX42" s="52"/>
      <c r="AY42" s="52"/>
      <c r="AZ42" s="52"/>
      <c r="BA42" s="52"/>
      <c r="BB42" s="52"/>
      <c r="BC42" s="52"/>
      <c r="BD42" s="52"/>
      <c r="BE42" s="52"/>
      <c r="BF42" s="52"/>
    </row>
    <row r="43" spans="2:58">
      <c r="AX43" s="52"/>
      <c r="AY43" s="52"/>
      <c r="AZ43" s="52"/>
      <c r="BA43" s="52"/>
      <c r="BB43" s="52"/>
      <c r="BC43" s="52"/>
      <c r="BD43" s="52"/>
      <c r="BE43" s="52"/>
      <c r="BF43" s="52"/>
    </row>
    <row r="48" spans="2:58">
      <c r="B48" t="s">
        <v>477</v>
      </c>
    </row>
    <row r="49" spans="3:35">
      <c r="N49" t="s">
        <v>31</v>
      </c>
    </row>
    <row r="50" spans="3:35">
      <c r="C50" s="25" t="s">
        <v>27</v>
      </c>
      <c r="D50" s="25" t="s">
        <v>112</v>
      </c>
      <c r="E50" s="25">
        <v>15.266999999999999</v>
      </c>
      <c r="F50" s="25"/>
      <c r="G50" s="25" t="s">
        <v>27</v>
      </c>
      <c r="H50" s="25" t="s">
        <v>113</v>
      </c>
      <c r="I50" s="25">
        <v>27.361000000000001</v>
      </c>
      <c r="J50" s="23">
        <f t="shared" ref="J50" si="57">I50-F52</f>
        <v>11.794</v>
      </c>
      <c r="K50" s="23">
        <f t="shared" ref="K50:K67" si="58">POWER(2,-J50)</f>
        <v>2.8161269654785725E-4</v>
      </c>
      <c r="L50" s="23">
        <f>K50/0.000329781725850241</f>
        <v>0.85393663284951682</v>
      </c>
      <c r="N50" s="45" t="s">
        <v>478</v>
      </c>
      <c r="O50" s="102"/>
      <c r="P50" s="102"/>
      <c r="Q50" s="102"/>
      <c r="R50" s="102"/>
      <c r="S50" s="102"/>
      <c r="T50" s="102"/>
      <c r="U50" s="90"/>
      <c r="V50" s="90"/>
      <c r="W50" s="90"/>
      <c r="X50" s="90"/>
      <c r="Y50" s="90"/>
      <c r="Z50" s="90"/>
      <c r="AA50" s="90"/>
    </row>
    <row r="51" spans="3:35">
      <c r="C51" s="25" t="s">
        <v>27</v>
      </c>
      <c r="D51" s="25" t="s">
        <v>112</v>
      </c>
      <c r="E51" s="25">
        <v>15.73</v>
      </c>
      <c r="F51" s="25"/>
      <c r="G51" s="25" t="s">
        <v>27</v>
      </c>
      <c r="H51" s="25" t="s">
        <v>113</v>
      </c>
      <c r="I51" s="25">
        <v>26.978999999999999</v>
      </c>
      <c r="J51" s="23">
        <f t="shared" ref="J51" si="59">I51-F52</f>
        <v>11.411999999999999</v>
      </c>
      <c r="K51" s="23">
        <f t="shared" si="58"/>
        <v>3.6698278273085053E-4</v>
      </c>
      <c r="L51" s="23">
        <f t="shared" ref="L51:L52" si="60">K51/0.000329781725850241</f>
        <v>1.1128050888347376</v>
      </c>
      <c r="N51" s="102"/>
      <c r="O51" s="45" t="s">
        <v>24</v>
      </c>
      <c r="P51" s="102"/>
      <c r="Q51" s="102"/>
      <c r="R51" s="45" t="s">
        <v>479</v>
      </c>
      <c r="S51" s="102"/>
      <c r="T51" s="102"/>
      <c r="U51" s="90" t="s">
        <v>663</v>
      </c>
      <c r="V51" s="90" t="s">
        <v>396</v>
      </c>
      <c r="W51" s="90" t="s">
        <v>664</v>
      </c>
      <c r="X51" s="90" t="s">
        <v>663</v>
      </c>
      <c r="Y51" s="90" t="s">
        <v>396</v>
      </c>
      <c r="Z51" s="90" t="s">
        <v>664</v>
      </c>
      <c r="AA51" s="101" t="s">
        <v>665</v>
      </c>
      <c r="AB51" s="52"/>
      <c r="AC51" s="52"/>
      <c r="AD51" s="52"/>
      <c r="AE51" s="52"/>
      <c r="AF51" s="52"/>
      <c r="AG51" s="52"/>
      <c r="AH51" s="52"/>
      <c r="AI51" s="52"/>
    </row>
    <row r="52" spans="3:35">
      <c r="C52" s="25" t="s">
        <v>27</v>
      </c>
      <c r="D52" s="25" t="s">
        <v>112</v>
      </c>
      <c r="E52" s="25">
        <v>15.704000000000001</v>
      </c>
      <c r="F52" s="25">
        <f>AVERAGE(E50:E52)</f>
        <v>15.567</v>
      </c>
      <c r="G52" s="25" t="s">
        <v>27</v>
      </c>
      <c r="H52" s="25" t="s">
        <v>113</v>
      </c>
      <c r="I52" s="25">
        <v>27.085999999999999</v>
      </c>
      <c r="J52" s="23">
        <f t="shared" ref="J52" si="61">I52-F52</f>
        <v>11.518999999999998</v>
      </c>
      <c r="K52" s="23">
        <f t="shared" si="58"/>
        <v>3.4074969827201383E-4</v>
      </c>
      <c r="L52" s="23">
        <f t="shared" si="60"/>
        <v>1.0332582783157414</v>
      </c>
      <c r="N52" s="45" t="s">
        <v>459</v>
      </c>
      <c r="O52" s="45">
        <v>0.85393663284951682</v>
      </c>
      <c r="P52" s="102">
        <v>1.1128050888347376</v>
      </c>
      <c r="Q52" s="102">
        <v>1.0332582783157414</v>
      </c>
      <c r="R52" s="102">
        <v>0.72066289251266213</v>
      </c>
      <c r="S52" s="102">
        <v>1.2793371074873361</v>
      </c>
      <c r="T52" s="102">
        <v>3.0050655622126974</v>
      </c>
      <c r="U52" s="90">
        <f>AVERAGE(O52:Q52)</f>
        <v>0.99999999999999856</v>
      </c>
      <c r="V52" s="90">
        <f>STDEV(O52:Q52)</f>
        <v>0.13260016660411456</v>
      </c>
      <c r="W52" s="90">
        <f>V52/SQRT(3)</f>
        <v>7.6556741883474763E-2</v>
      </c>
      <c r="X52" s="90">
        <f>AVERAGE(R52:T52)</f>
        <v>1.6683551874042319</v>
      </c>
      <c r="Y52" s="90">
        <f>STDEV(R52:T52)</f>
        <v>1.1908506158246015</v>
      </c>
      <c r="Z52" s="90">
        <f>Y52/SQRT(3)</f>
        <v>0.68753792361096533</v>
      </c>
      <c r="AA52" s="94" t="s">
        <v>681</v>
      </c>
      <c r="AB52" s="52"/>
      <c r="AC52" s="52"/>
      <c r="AD52" s="52"/>
      <c r="AE52" s="52"/>
      <c r="AF52" s="52"/>
      <c r="AG52" s="52"/>
      <c r="AH52" s="52"/>
      <c r="AI52" s="52"/>
    </row>
    <row r="53" spans="3:35">
      <c r="C53" s="25" t="s">
        <v>30</v>
      </c>
      <c r="D53" s="25" t="s">
        <v>112</v>
      </c>
      <c r="E53" s="25">
        <v>15.813000000000001</v>
      </c>
      <c r="F53" s="25"/>
      <c r="G53" s="25" t="s">
        <v>30</v>
      </c>
      <c r="H53" s="25" t="s">
        <v>113</v>
      </c>
      <c r="I53" s="25">
        <v>28.431999999999999</v>
      </c>
      <c r="J53" s="23">
        <f t="shared" ref="J53" si="62">I53-F55</f>
        <v>12.762999999999996</v>
      </c>
      <c r="K53" s="23">
        <f t="shared" si="58"/>
        <v>1.4386467380513748E-4</v>
      </c>
      <c r="L53" s="23">
        <f>K53/0.000199628252404587</f>
        <v>0.72066289251266213</v>
      </c>
      <c r="N53" s="45" t="s">
        <v>460</v>
      </c>
      <c r="O53" s="90">
        <v>583.74760779328108</v>
      </c>
      <c r="P53" s="90">
        <v>721.17267404608037</v>
      </c>
      <c r="Q53" s="90">
        <v>671.01486771094392</v>
      </c>
      <c r="R53" s="90">
        <v>2897.105419630248</v>
      </c>
      <c r="S53" s="90">
        <v>2544.9056703016981</v>
      </c>
      <c r="T53" s="90">
        <v>2893.0919612835437</v>
      </c>
      <c r="U53" s="90">
        <f>AVERAGE(O53:Q53)</f>
        <v>658.64504985010183</v>
      </c>
      <c r="V53" s="90">
        <f>STDEV(O53:Q53)</f>
        <v>69.542587700483054</v>
      </c>
      <c r="W53" s="90">
        <f t="shared" ref="W53:W54" si="63">V53/SQRT(3)</f>
        <v>40.15043172901705</v>
      </c>
      <c r="X53" s="90">
        <f>AVERAGE(R53:T53)</f>
        <v>2778.3676837384969</v>
      </c>
      <c r="Y53" s="90">
        <f t="shared" ref="Y53" si="64">STDEV(R53:T53)</f>
        <v>202.19399286439764</v>
      </c>
      <c r="Z53" s="90">
        <f>Y53/SQRT(3)</f>
        <v>116.73675620878525</v>
      </c>
      <c r="AA53" s="94" t="s">
        <v>666</v>
      </c>
      <c r="AB53" s="52"/>
      <c r="AC53" s="52"/>
      <c r="AD53" s="52"/>
      <c r="AE53" s="52"/>
      <c r="AF53" s="52"/>
      <c r="AG53" s="52"/>
      <c r="AH53" s="52"/>
      <c r="AI53" s="52"/>
    </row>
    <row r="54" spans="3:35">
      <c r="C54" s="25" t="s">
        <v>30</v>
      </c>
      <c r="D54" s="25" t="s">
        <v>112</v>
      </c>
      <c r="E54" s="25">
        <v>15.516</v>
      </c>
      <c r="F54" s="25"/>
      <c r="G54" s="25" t="s">
        <v>30</v>
      </c>
      <c r="H54" s="25" t="s">
        <v>113</v>
      </c>
      <c r="I54" s="25">
        <v>27.603999999999999</v>
      </c>
      <c r="J54" s="23">
        <f t="shared" ref="J54" si="65">I54-F55</f>
        <v>11.934999999999997</v>
      </c>
      <c r="K54" s="23">
        <f t="shared" si="58"/>
        <v>2.5539183100403619E-4</v>
      </c>
      <c r="L54" s="23">
        <f>K54/0.000199628252404587</f>
        <v>1.2793371074873361</v>
      </c>
      <c r="N54" s="45" t="s">
        <v>462</v>
      </c>
      <c r="O54" s="90">
        <v>61.42983440222504</v>
      </c>
      <c r="P54" s="90">
        <v>41.2655964804406</v>
      </c>
      <c r="Q54" s="90">
        <v>80.385734231864177</v>
      </c>
      <c r="R54" s="90">
        <v>308.27265957319594</v>
      </c>
      <c r="S54" s="90">
        <v>226.45226097111086</v>
      </c>
      <c r="T54" s="90">
        <v>528.24490374165782</v>
      </c>
      <c r="U54" s="90">
        <f>AVERAGE(O54:Q54)</f>
        <v>61.027055038176606</v>
      </c>
      <c r="V54" s="90">
        <f>STDEV(O54:Q54)</f>
        <v>19.563178878563335</v>
      </c>
      <c r="W54" s="90">
        <f t="shared" si="63"/>
        <v>11.294806591743344</v>
      </c>
      <c r="X54" s="90">
        <f t="shared" ref="X54" si="66">AVERAGE(R54:T54)</f>
        <v>354.32327476198816</v>
      </c>
      <c r="Y54" s="90">
        <f>STDEV(R54:T54)</f>
        <v>156.07752617547936</v>
      </c>
      <c r="Z54" s="90">
        <f t="shared" ref="Z54" si="67">Y54/SQRT(3)</f>
        <v>90.11140175186388</v>
      </c>
      <c r="AA54" s="94">
        <v>1.84E-2</v>
      </c>
      <c r="AB54" s="52"/>
      <c r="AC54" s="52"/>
      <c r="AD54" s="52"/>
      <c r="AE54" s="52"/>
      <c r="AF54" s="52"/>
      <c r="AG54" s="52"/>
      <c r="AH54" s="52"/>
      <c r="AI54" s="52"/>
    </row>
    <row r="55" spans="3:35">
      <c r="C55" s="25" t="s">
        <v>30</v>
      </c>
      <c r="D55" s="25" t="s">
        <v>112</v>
      </c>
      <c r="E55" s="25">
        <v>15.678000000000001</v>
      </c>
      <c r="F55" s="25">
        <f t="shared" ref="F55" si="68">AVERAGE(E53:E55)</f>
        <v>15.669000000000002</v>
      </c>
      <c r="G55" s="25" t="s">
        <v>30</v>
      </c>
      <c r="H55" s="25" t="s">
        <v>113</v>
      </c>
      <c r="I55" s="25">
        <v>26.372</v>
      </c>
      <c r="J55" s="23">
        <f>I55-F55</f>
        <v>10.702999999999998</v>
      </c>
      <c r="K55" s="23">
        <f t="shared" si="58"/>
        <v>5.9989598654572849E-4</v>
      </c>
      <c r="L55" s="23">
        <f>K55/0.000199628252404587</f>
        <v>3.0050655622126974</v>
      </c>
      <c r="N55" s="45"/>
      <c r="O55" s="90"/>
      <c r="P55" s="90"/>
      <c r="Q55" s="90"/>
      <c r="R55" s="90"/>
      <c r="S55" s="90"/>
      <c r="T55" s="90"/>
      <c r="U55" s="90"/>
      <c r="V55" s="90"/>
      <c r="W55" s="90"/>
      <c r="X55" s="90"/>
      <c r="Y55" s="90"/>
      <c r="Z55" s="90"/>
      <c r="AA55" s="90"/>
      <c r="AB55" s="52"/>
      <c r="AC55" s="52"/>
      <c r="AD55" s="52"/>
      <c r="AE55" s="52"/>
      <c r="AF55" s="52"/>
      <c r="AG55" s="52"/>
      <c r="AH55" s="52"/>
      <c r="AI55" s="52"/>
    </row>
    <row r="56" spans="3:35">
      <c r="C56" s="25" t="s">
        <v>114</v>
      </c>
      <c r="D56" s="25" t="s">
        <v>112</v>
      </c>
      <c r="E56" s="25">
        <v>14.754</v>
      </c>
      <c r="F56" s="25"/>
      <c r="G56" s="25" t="s">
        <v>114</v>
      </c>
      <c r="H56" s="25" t="s">
        <v>113</v>
      </c>
      <c r="I56" s="25">
        <v>17.134</v>
      </c>
      <c r="J56" s="23">
        <f t="shared" ref="J56" si="69">I56-F58</f>
        <v>2.3770000000000007</v>
      </c>
      <c r="K56" s="23">
        <f t="shared" si="58"/>
        <v>0.19250929355901783</v>
      </c>
      <c r="L56" s="23">
        <f>K56/0.000329781725850241</f>
        <v>583.74760779328108</v>
      </c>
      <c r="M56" s="52"/>
      <c r="AA56" s="52"/>
      <c r="AB56" s="52"/>
      <c r="AC56" s="52"/>
      <c r="AD56" s="52"/>
      <c r="AE56" s="52"/>
      <c r="AF56" s="52"/>
      <c r="AG56" s="52"/>
      <c r="AH56" s="52"/>
      <c r="AI56" s="52"/>
    </row>
    <row r="57" spans="3:35">
      <c r="C57" s="25" t="s">
        <v>114</v>
      </c>
      <c r="D57" s="25" t="s">
        <v>112</v>
      </c>
      <c r="E57" s="25">
        <v>14.617000000000001</v>
      </c>
      <c r="F57" s="25"/>
      <c r="G57" s="25" t="s">
        <v>114</v>
      </c>
      <c r="H57" s="25" t="s">
        <v>113</v>
      </c>
      <c r="I57" s="25">
        <v>16.829000000000001</v>
      </c>
      <c r="J57" s="23">
        <f t="shared" ref="J57" si="70">I57-F58</f>
        <v>2.072000000000001</v>
      </c>
      <c r="K57" s="23">
        <f t="shared" si="58"/>
        <v>0.23782956908294967</v>
      </c>
      <c r="L57" s="23">
        <f t="shared" ref="L57:L58" si="71">K57/0.000329781725850241</f>
        <v>721.17267404608037</v>
      </c>
      <c r="M57" s="52"/>
    </row>
    <row r="58" spans="3:35">
      <c r="C58" s="25" t="s">
        <v>114</v>
      </c>
      <c r="D58" s="25" t="s">
        <v>112</v>
      </c>
      <c r="E58" s="25">
        <v>14.9</v>
      </c>
      <c r="F58" s="25">
        <f t="shared" ref="F58" si="72">AVERAGE(E56:E58)</f>
        <v>14.757</v>
      </c>
      <c r="G58" s="25" t="s">
        <v>114</v>
      </c>
      <c r="H58" s="25" t="s">
        <v>113</v>
      </c>
      <c r="I58" s="25">
        <v>16.933</v>
      </c>
      <c r="J58" s="23">
        <f t="shared" ref="J58" si="73">I58-F58</f>
        <v>2.1760000000000002</v>
      </c>
      <c r="K58" s="23">
        <f t="shared" si="58"/>
        <v>0.22128844114488624</v>
      </c>
      <c r="L58" s="23">
        <f t="shared" si="71"/>
        <v>671.01486771094392</v>
      </c>
      <c r="M58" s="52"/>
    </row>
    <row r="59" spans="3:35">
      <c r="C59" s="25" t="s">
        <v>104</v>
      </c>
      <c r="D59" s="25" t="s">
        <v>112</v>
      </c>
      <c r="E59" s="25">
        <v>16.128</v>
      </c>
      <c r="F59" s="25"/>
      <c r="G59" s="25" t="s">
        <v>104</v>
      </c>
      <c r="H59" s="25" t="s">
        <v>113</v>
      </c>
      <c r="I59" s="25">
        <v>16.946000000000002</v>
      </c>
      <c r="J59" s="23">
        <f t="shared" ref="J59" si="74">I59-F61</f>
        <v>0.78999999999999915</v>
      </c>
      <c r="K59" s="23">
        <f t="shared" si="58"/>
        <v>0.57834409195264413</v>
      </c>
      <c r="L59" s="23">
        <f>K59/0.000199628252404587</f>
        <v>2897.105419630248</v>
      </c>
      <c r="M59" s="52"/>
    </row>
    <row r="60" spans="3:35">
      <c r="C60" s="25" t="s">
        <v>104</v>
      </c>
      <c r="D60" s="25" t="s">
        <v>112</v>
      </c>
      <c r="E60" s="25">
        <v>16.43</v>
      </c>
      <c r="F60" s="25"/>
      <c r="G60" s="25" t="s">
        <v>104</v>
      </c>
      <c r="H60" s="25" t="s">
        <v>113</v>
      </c>
      <c r="I60" s="25">
        <v>17.132999999999999</v>
      </c>
      <c r="J60" s="23">
        <f t="shared" ref="J60" si="75">I60-F61</f>
        <v>0.97699999999999676</v>
      </c>
      <c r="K60" s="23">
        <f t="shared" si="58"/>
        <v>0.50803507149685212</v>
      </c>
      <c r="L60" s="23">
        <f t="shared" ref="L60:L61" si="76">K60/0.000199628252404587</f>
        <v>2544.9056703016981</v>
      </c>
      <c r="M60" s="52"/>
    </row>
    <row r="61" spans="3:35">
      <c r="C61" s="25" t="s">
        <v>104</v>
      </c>
      <c r="D61" s="25" t="s">
        <v>112</v>
      </c>
      <c r="E61" s="25">
        <v>15.91</v>
      </c>
      <c r="F61" s="25">
        <f t="shared" ref="F61" si="77">AVERAGE(E59:E61)</f>
        <v>16.156000000000002</v>
      </c>
      <c r="G61" s="25" t="s">
        <v>104</v>
      </c>
      <c r="H61" s="25" t="s">
        <v>113</v>
      </c>
      <c r="I61" s="25">
        <v>16.948</v>
      </c>
      <c r="J61" s="23">
        <f t="shared" ref="J61" si="78">I61-F61</f>
        <v>0.79199999999999804</v>
      </c>
      <c r="K61" s="23">
        <f t="shared" si="58"/>
        <v>0.5775428922767929</v>
      </c>
      <c r="L61" s="23">
        <f t="shared" si="76"/>
        <v>2893.0919612835437</v>
      </c>
      <c r="M61" s="52"/>
    </row>
    <row r="62" spans="3:35">
      <c r="C62" s="23" t="s">
        <v>467</v>
      </c>
      <c r="D62" s="23" t="s">
        <v>112</v>
      </c>
      <c r="E62" s="23">
        <v>18.027999999999999</v>
      </c>
      <c r="F62" s="23"/>
      <c r="G62" s="23" t="s">
        <v>467</v>
      </c>
      <c r="H62" s="23" t="s">
        <v>113</v>
      </c>
      <c r="I62" s="23">
        <v>23.437999999999999</v>
      </c>
      <c r="J62" s="23">
        <f t="shared" ref="J62" si="79">I62-F64</f>
        <v>5.6253333333333302</v>
      </c>
      <c r="K62" s="23">
        <f t="shared" si="58"/>
        <v>2.025843680786028E-2</v>
      </c>
      <c r="L62" s="23">
        <f>K62/0.000329781725850241</f>
        <v>61.42983440222504</v>
      </c>
    </row>
    <row r="63" spans="3:35">
      <c r="C63" s="23" t="s">
        <v>467</v>
      </c>
      <c r="D63" s="23" t="s">
        <v>112</v>
      </c>
      <c r="E63" s="23">
        <v>17.573</v>
      </c>
      <c r="F63" s="23"/>
      <c r="G63" s="23" t="s">
        <v>467</v>
      </c>
      <c r="H63" s="23" t="s">
        <v>113</v>
      </c>
      <c r="I63" s="23">
        <v>24.012</v>
      </c>
      <c r="J63" s="23">
        <f t="shared" ref="J63" si="80">I63-F64</f>
        <v>6.1993333333333318</v>
      </c>
      <c r="K63" s="23">
        <f t="shared" si="58"/>
        <v>1.3608639625559331E-2</v>
      </c>
      <c r="L63" s="23">
        <f t="shared" ref="L63:L64" si="81">K63/0.000329781725850241</f>
        <v>41.2655964804406</v>
      </c>
    </row>
    <row r="64" spans="3:35">
      <c r="C64" s="23" t="s">
        <v>467</v>
      </c>
      <c r="D64" s="23" t="s">
        <v>112</v>
      </c>
      <c r="E64" s="23">
        <v>17.837</v>
      </c>
      <c r="F64" s="23">
        <f t="shared" ref="F64" si="82">AVERAGE(E62:E64)</f>
        <v>17.812666666666669</v>
      </c>
      <c r="G64" s="23" t="s">
        <v>467</v>
      </c>
      <c r="H64" s="23" t="s">
        <v>113</v>
      </c>
      <c r="I64" s="23">
        <v>23.05</v>
      </c>
      <c r="J64" s="23">
        <f t="shared" ref="J64" si="83">I64-F64</f>
        <v>5.2373333333333321</v>
      </c>
      <c r="K64" s="23">
        <f t="shared" si="58"/>
        <v>2.6509746168722963E-2</v>
      </c>
      <c r="L64" s="23">
        <f t="shared" si="81"/>
        <v>80.385734231864177</v>
      </c>
    </row>
    <row r="65" spans="3:27">
      <c r="C65" s="23" t="s">
        <v>466</v>
      </c>
      <c r="D65" s="23" t="s">
        <v>112</v>
      </c>
      <c r="E65" s="23">
        <v>18.164000000000001</v>
      </c>
      <c r="F65" s="23"/>
      <c r="G65" s="23" t="s">
        <v>466</v>
      </c>
      <c r="H65" s="23" t="s">
        <v>113</v>
      </c>
      <c r="I65" s="23">
        <v>22.288</v>
      </c>
      <c r="J65" s="23">
        <f t="shared" ref="J65" si="84">I65-F67</f>
        <v>4.0223333333333287</v>
      </c>
      <c r="K65" s="23">
        <f t="shared" si="58"/>
        <v>6.1539932294711289E-2</v>
      </c>
      <c r="L65" s="23">
        <f>K65/0.000199628252404587</f>
        <v>308.27265957319594</v>
      </c>
    </row>
    <row r="66" spans="3:27">
      <c r="C66" s="23" t="s">
        <v>466</v>
      </c>
      <c r="D66" s="23" t="s">
        <v>112</v>
      </c>
      <c r="E66" s="23">
        <v>18.382000000000001</v>
      </c>
      <c r="F66" s="23"/>
      <c r="G66" s="23" t="s">
        <v>466</v>
      </c>
      <c r="H66" s="23" t="s">
        <v>113</v>
      </c>
      <c r="I66" s="23">
        <v>22.733000000000001</v>
      </c>
      <c r="J66" s="23">
        <f t="shared" ref="J66" si="85">I66-F67</f>
        <v>4.4673333333333289</v>
      </c>
      <c r="K66" s="23">
        <f t="shared" si="58"/>
        <v>4.5206269110730328E-2</v>
      </c>
      <c r="L66" s="23">
        <f t="shared" ref="L66:L67" si="86">K66/0.000199628252404587</f>
        <v>226.45226097111086</v>
      </c>
    </row>
    <row r="67" spans="3:27">
      <c r="C67" s="23" t="s">
        <v>466</v>
      </c>
      <c r="D67" s="23" t="s">
        <v>112</v>
      </c>
      <c r="E67" s="23">
        <v>18.251000000000001</v>
      </c>
      <c r="F67" s="23">
        <f t="shared" ref="F67" si="87">AVERAGE(E65:E67)</f>
        <v>18.265666666666672</v>
      </c>
      <c r="G67" s="23" t="s">
        <v>466</v>
      </c>
      <c r="H67" s="23" t="s">
        <v>113</v>
      </c>
      <c r="I67" s="23">
        <v>21.510999999999999</v>
      </c>
      <c r="J67" s="23">
        <f t="shared" ref="J67" si="88">I67-F67</f>
        <v>3.2453333333333276</v>
      </c>
      <c r="K67" s="23">
        <f t="shared" si="58"/>
        <v>0.10545260697557643</v>
      </c>
      <c r="L67" s="23">
        <f t="shared" si="86"/>
        <v>528.24490374165782</v>
      </c>
    </row>
    <row r="68" spans="3:27">
      <c r="C68" s="52"/>
      <c r="D68" s="52"/>
      <c r="E68" s="52"/>
      <c r="F68" s="52"/>
      <c r="G68" s="52"/>
      <c r="H68" s="52"/>
      <c r="I68" s="52"/>
      <c r="J68" s="52"/>
      <c r="K68" s="52"/>
      <c r="L68" s="52"/>
    </row>
    <row r="69" spans="3:27">
      <c r="C69" s="52"/>
      <c r="D69" s="52"/>
      <c r="E69" s="52"/>
      <c r="F69" s="52"/>
      <c r="G69" s="52"/>
      <c r="H69" s="52"/>
      <c r="I69" s="52"/>
      <c r="J69" s="52"/>
      <c r="K69" s="52"/>
      <c r="L69" s="52"/>
    </row>
    <row r="70" spans="3:27">
      <c r="C70" s="23" t="s">
        <v>27</v>
      </c>
      <c r="D70" s="23" t="s">
        <v>112</v>
      </c>
      <c r="E70" s="23">
        <v>15.266999999999999</v>
      </c>
      <c r="F70" s="23"/>
      <c r="G70" s="23" t="s">
        <v>27</v>
      </c>
      <c r="H70" s="23" t="s">
        <v>458</v>
      </c>
      <c r="I70" s="23">
        <v>27.251000000000001</v>
      </c>
      <c r="J70" s="23">
        <f>I70-F75</f>
        <v>11.581999999999999</v>
      </c>
      <c r="K70" s="23">
        <f t="shared" ref="K70:K87" si="89">POWER(2,-J70)</f>
        <v>3.261899605444581E-4</v>
      </c>
      <c r="L70" s="23">
        <f>K70/0.000268857076805532</f>
        <v>1.2132466975395846</v>
      </c>
    </row>
    <row r="71" spans="3:27">
      <c r="C71" s="23" t="s">
        <v>27</v>
      </c>
      <c r="D71" s="23" t="s">
        <v>112</v>
      </c>
      <c r="E71" s="23">
        <v>15.73</v>
      </c>
      <c r="F71" s="23"/>
      <c r="G71" s="23" t="s">
        <v>27</v>
      </c>
      <c r="H71" s="23" t="s">
        <v>458</v>
      </c>
      <c r="I71" s="23">
        <v>27.529</v>
      </c>
      <c r="J71" s="23">
        <f>I71-F75</f>
        <v>11.859999999999998</v>
      </c>
      <c r="K71" s="23">
        <f t="shared" si="89"/>
        <v>2.6901980368081386E-4</v>
      </c>
      <c r="L71" s="23">
        <f t="shared" ref="L71:L72" si="90">K71/0.000268857076805532</f>
        <v>1.0006052542012853</v>
      </c>
    </row>
    <row r="72" spans="3:27">
      <c r="C72" s="23" t="s">
        <v>27</v>
      </c>
      <c r="D72" s="23" t="s">
        <v>112</v>
      </c>
      <c r="E72" s="23">
        <v>15.704000000000001</v>
      </c>
      <c r="F72" s="23">
        <f>AVERAGE(E70:E72)</f>
        <v>15.567</v>
      </c>
      <c r="G72" s="23" t="s">
        <v>27</v>
      </c>
      <c r="H72" s="23" t="s">
        <v>458</v>
      </c>
      <c r="I72" s="23">
        <v>27.876999999999999</v>
      </c>
      <c r="J72" s="23">
        <f>I72-F75</f>
        <v>12.207999999999997</v>
      </c>
      <c r="K72" s="23">
        <f t="shared" si="89"/>
        <v>2.1136146619132323E-4</v>
      </c>
      <c r="L72" s="23">
        <f t="shared" si="90"/>
        <v>0.78614804825912721</v>
      </c>
    </row>
    <row r="73" spans="3:27">
      <c r="C73" s="23" t="s">
        <v>30</v>
      </c>
      <c r="D73" s="23" t="s">
        <v>112</v>
      </c>
      <c r="E73" s="23">
        <v>15.813000000000001</v>
      </c>
      <c r="F73" s="23"/>
      <c r="G73" s="23" t="s">
        <v>30</v>
      </c>
      <c r="H73" s="23" t="s">
        <v>458</v>
      </c>
      <c r="I73" s="23">
        <v>27.872</v>
      </c>
      <c r="J73" s="23">
        <f>I73-F72</f>
        <v>12.305</v>
      </c>
      <c r="K73" s="23">
        <f t="shared" si="89"/>
        <v>1.9761772864926983E-4</v>
      </c>
      <c r="L73" s="23">
        <f>K73/0.000184186343059541</f>
        <v>1.0729228094038814</v>
      </c>
    </row>
    <row r="74" spans="3:27">
      <c r="C74" s="23" t="s">
        <v>30</v>
      </c>
      <c r="D74" s="23" t="s">
        <v>112</v>
      </c>
      <c r="E74" s="23">
        <v>15.516</v>
      </c>
      <c r="F74" s="23"/>
      <c r="G74" s="23" t="s">
        <v>30</v>
      </c>
      <c r="H74" s="23" t="s">
        <v>458</v>
      </c>
      <c r="I74" s="23">
        <v>27.939</v>
      </c>
      <c r="J74" s="23">
        <f>I74-F72</f>
        <v>12.372</v>
      </c>
      <c r="K74" s="23">
        <f t="shared" si="89"/>
        <v>1.8865003653515316E-4</v>
      </c>
      <c r="L74" s="23">
        <f t="shared" ref="L74:L75" si="91">K74/0.000184186343059541</f>
        <v>1.0242346604067665</v>
      </c>
    </row>
    <row r="75" spans="3:27">
      <c r="C75" s="23" t="s">
        <v>30</v>
      </c>
      <c r="D75" s="23" t="s">
        <v>112</v>
      </c>
      <c r="E75" s="23">
        <v>15.678000000000001</v>
      </c>
      <c r="F75" s="23">
        <f t="shared" ref="F75" si="92">AVERAGE(E73:E75)</f>
        <v>15.669000000000002</v>
      </c>
      <c r="G75" s="23" t="s">
        <v>30</v>
      </c>
      <c r="H75" s="23" t="s">
        <v>458</v>
      </c>
      <c r="I75" s="23">
        <v>28.120999999999999</v>
      </c>
      <c r="J75" s="23">
        <f>I75-F72</f>
        <v>12.553999999999998</v>
      </c>
      <c r="K75" s="23">
        <f t="shared" si="89"/>
        <v>1.6629126399420049E-4</v>
      </c>
      <c r="L75" s="23">
        <f t="shared" si="91"/>
        <v>0.90284253018935468</v>
      </c>
    </row>
    <row r="76" spans="3:27">
      <c r="C76" s="23" t="s">
        <v>114</v>
      </c>
      <c r="D76" s="23" t="s">
        <v>112</v>
      </c>
      <c r="E76" s="23">
        <v>14.754</v>
      </c>
      <c r="F76" s="23"/>
      <c r="G76" s="23" t="s">
        <v>114</v>
      </c>
      <c r="H76" s="23" t="s">
        <v>458</v>
      </c>
      <c r="I76" s="23">
        <v>15.478</v>
      </c>
      <c r="J76" s="23">
        <f t="shared" ref="J76" si="93">I76-F78</f>
        <v>0.72100000000000009</v>
      </c>
      <c r="K76" s="23">
        <f t="shared" si="89"/>
        <v>0.60667678012434645</v>
      </c>
      <c r="L76" s="23">
        <f>K76/0.000268857076805532</f>
        <v>2256.5029246493077</v>
      </c>
      <c r="N76" s="90" t="s">
        <v>534</v>
      </c>
      <c r="O76" s="90"/>
      <c r="P76" s="90"/>
      <c r="Q76" s="90"/>
      <c r="R76" s="90"/>
      <c r="S76" s="90"/>
      <c r="T76" s="90"/>
      <c r="U76" s="90"/>
      <c r="V76" s="90"/>
      <c r="W76" s="90"/>
      <c r="X76" s="90"/>
      <c r="Y76" s="90"/>
      <c r="Z76" s="90"/>
      <c r="AA76" s="90"/>
    </row>
    <row r="77" spans="3:27">
      <c r="C77" s="23" t="s">
        <v>114</v>
      </c>
      <c r="D77" s="23" t="s">
        <v>112</v>
      </c>
      <c r="E77" s="23">
        <v>14.617000000000001</v>
      </c>
      <c r="F77" s="23"/>
      <c r="G77" s="23" t="s">
        <v>114</v>
      </c>
      <c r="H77" s="23" t="s">
        <v>458</v>
      </c>
      <c r="I77" s="23">
        <v>14.627000000000001</v>
      </c>
      <c r="J77" s="23">
        <f>I77-F78</f>
        <v>-0.12999999999999901</v>
      </c>
      <c r="K77" s="23">
        <f t="shared" si="89"/>
        <v>1.0942937012607388</v>
      </c>
      <c r="L77" s="23">
        <f>K77/0.000268857076805532</f>
        <v>4070.1688579774914</v>
      </c>
      <c r="N77" s="102"/>
      <c r="O77" s="45" t="s">
        <v>24</v>
      </c>
      <c r="P77" s="102"/>
      <c r="Q77" s="102"/>
      <c r="R77" s="45" t="s">
        <v>479</v>
      </c>
      <c r="S77" s="90"/>
      <c r="T77" s="90"/>
      <c r="U77" s="90" t="s">
        <v>663</v>
      </c>
      <c r="V77" s="90" t="s">
        <v>396</v>
      </c>
      <c r="W77" s="90" t="s">
        <v>664</v>
      </c>
      <c r="X77" s="90" t="s">
        <v>663</v>
      </c>
      <c r="Y77" s="90" t="s">
        <v>396</v>
      </c>
      <c r="Z77" s="90" t="s">
        <v>664</v>
      </c>
      <c r="AA77" s="101" t="s">
        <v>665</v>
      </c>
    </row>
    <row r="78" spans="3:27">
      <c r="C78" s="23" t="s">
        <v>114</v>
      </c>
      <c r="D78" s="23" t="s">
        <v>112</v>
      </c>
      <c r="E78" s="23">
        <v>14.9</v>
      </c>
      <c r="F78" s="23">
        <f t="shared" ref="F78" si="94">AVERAGE(E76:E78)</f>
        <v>14.757</v>
      </c>
      <c r="G78" s="23" t="s">
        <v>114</v>
      </c>
      <c r="H78" s="23" t="s">
        <v>458</v>
      </c>
      <c r="I78" s="23">
        <v>15.509</v>
      </c>
      <c r="J78" s="23">
        <f t="shared" ref="J78" si="95">I78-F78</f>
        <v>0.75200000000000067</v>
      </c>
      <c r="K78" s="23">
        <f t="shared" si="89"/>
        <v>0.5937798330367049</v>
      </c>
      <c r="L78" s="23">
        <f t="shared" ref="L78" si="96">K78/0.000268857076805532</f>
        <v>2208.533396597903</v>
      </c>
      <c r="N78" s="45" t="s">
        <v>459</v>
      </c>
      <c r="O78" s="45">
        <v>1.2132466975395846</v>
      </c>
      <c r="P78" s="102">
        <v>1.0006052542012853</v>
      </c>
      <c r="Q78" s="102">
        <v>0.78614804825912721</v>
      </c>
      <c r="R78" s="102">
        <v>1.0729228094038814</v>
      </c>
      <c r="S78" s="90">
        <v>1.0242346604067665</v>
      </c>
      <c r="T78" s="90">
        <v>0.90284253018935468</v>
      </c>
      <c r="U78" s="90">
        <f>AVERAGE(O78:Q78)</f>
        <v>0.99999999999999911</v>
      </c>
      <c r="V78" s="90">
        <f>STDEV(O78:Q78)</f>
        <v>0.21354996793205985</v>
      </c>
      <c r="W78" s="90">
        <f>V78/SQRT(3)</f>
        <v>0.12329313147101072</v>
      </c>
      <c r="X78" s="90">
        <f>AVERAGE(R78:T78)</f>
        <v>1.0000000000000009</v>
      </c>
      <c r="Y78" s="90">
        <f>STDEV(R78:T78)</f>
        <v>8.7591748573688621E-2</v>
      </c>
      <c r="Z78" s="90">
        <f>Y78/SQRT(3)</f>
        <v>5.0571119617809149E-2</v>
      </c>
      <c r="AA78" s="94" t="s">
        <v>681</v>
      </c>
    </row>
    <row r="79" spans="3:27">
      <c r="C79" s="23" t="s">
        <v>104</v>
      </c>
      <c r="D79" s="23" t="s">
        <v>112</v>
      </c>
      <c r="E79" s="23">
        <v>16.128</v>
      </c>
      <c r="F79" s="23"/>
      <c r="G79" s="23" t="s">
        <v>104</v>
      </c>
      <c r="H79" s="23" t="s">
        <v>458</v>
      </c>
      <c r="I79" s="23">
        <v>15.888</v>
      </c>
      <c r="J79" s="23">
        <f t="shared" ref="J79" si="97">I79-F81</f>
        <v>-0.26800000000000246</v>
      </c>
      <c r="K79" s="23">
        <f t="shared" si="89"/>
        <v>1.2041373812314178</v>
      </c>
      <c r="L79" s="23">
        <f>K79/0.000184186343059541</f>
        <v>6537.6040439771486</v>
      </c>
      <c r="N79" s="45" t="s">
        <v>460</v>
      </c>
      <c r="O79" s="102">
        <v>2256.5029246493077</v>
      </c>
      <c r="P79" s="45">
        <v>4070.1688579774914</v>
      </c>
      <c r="Q79" s="102">
        <v>2208.533396597903</v>
      </c>
      <c r="R79" s="102">
        <v>6537.6040439771486</v>
      </c>
      <c r="S79" s="90">
        <v>6810.5060542707661</v>
      </c>
      <c r="T79" s="90">
        <v>7006.8305229046591</v>
      </c>
      <c r="U79" s="90">
        <f>AVERAGE(O79:Q79)</f>
        <v>2845.0683930749005</v>
      </c>
      <c r="V79" s="90">
        <f>STDEV(O79:Q79)</f>
        <v>1061.2391958148628</v>
      </c>
      <c r="W79" s="90">
        <f t="shared" ref="W79:W80" si="98">V79/SQRT(3)</f>
        <v>612.70673537829305</v>
      </c>
      <c r="X79" s="90">
        <f>AVERAGE(R79:T79)</f>
        <v>6784.9802070508586</v>
      </c>
      <c r="Y79" s="90">
        <f t="shared" ref="Y79" si="99">STDEV(R79:T79)</f>
        <v>235.6523897372949</v>
      </c>
      <c r="Z79" s="90">
        <f>Y79/SQRT(3)</f>
        <v>136.05397065000582</v>
      </c>
      <c r="AA79" s="94" t="s">
        <v>666</v>
      </c>
    </row>
    <row r="80" spans="3:27">
      <c r="C80" s="23" t="s">
        <v>104</v>
      </c>
      <c r="D80" s="23" t="s">
        <v>112</v>
      </c>
      <c r="E80" s="23">
        <v>16.43</v>
      </c>
      <c r="F80" s="23"/>
      <c r="G80" s="23" t="s">
        <v>104</v>
      </c>
      <c r="H80" s="23" t="s">
        <v>458</v>
      </c>
      <c r="I80" s="23">
        <v>15.829000000000001</v>
      </c>
      <c r="J80" s="23">
        <f t="shared" ref="J80" si="100">I80-F81</f>
        <v>-0.32700000000000173</v>
      </c>
      <c r="K80" s="23">
        <f t="shared" si="89"/>
        <v>1.2544022045209964</v>
      </c>
      <c r="L80" s="23">
        <f t="shared" ref="L80:L81" si="101">K80/0.000184186343059541</f>
        <v>6810.5060542707661</v>
      </c>
      <c r="N80" s="45" t="s">
        <v>462</v>
      </c>
      <c r="O80" s="45">
        <v>12.445390554192395</v>
      </c>
      <c r="P80" s="102">
        <v>11.660353324926376</v>
      </c>
      <c r="Q80" s="102">
        <v>13.329396890195833</v>
      </c>
      <c r="R80" s="102">
        <v>26.249407487493976</v>
      </c>
      <c r="S80" s="90">
        <v>28.289856487029702</v>
      </c>
      <c r="T80" s="90">
        <v>29.778784300506413</v>
      </c>
      <c r="U80" s="90">
        <f>AVERAGE(O80:Q80)</f>
        <v>12.4783802564382</v>
      </c>
      <c r="V80" s="90">
        <f>STDEV(O80:Q80)</f>
        <v>0.83501068617865293</v>
      </c>
      <c r="W80" s="90">
        <f t="shared" si="98"/>
        <v>0.48209364444145941</v>
      </c>
      <c r="X80" s="90">
        <f t="shared" ref="X80" si="102">AVERAGE(R80:T80)</f>
        <v>28.106016091676697</v>
      </c>
      <c r="Y80" s="90">
        <f>STDEV(R80:T80)</f>
        <v>1.771855846360002</v>
      </c>
      <c r="Z80" s="90">
        <f t="shared" ref="Z80" si="103">Y80/SQRT(3)</f>
        <v>1.0229814498611594</v>
      </c>
      <c r="AA80" s="94" t="s">
        <v>681</v>
      </c>
    </row>
    <row r="81" spans="3:28">
      <c r="C81" s="23" t="s">
        <v>104</v>
      </c>
      <c r="D81" s="23" t="s">
        <v>112</v>
      </c>
      <c r="E81" s="23">
        <v>15.91</v>
      </c>
      <c r="F81" s="23">
        <f t="shared" ref="F81" si="104">AVERAGE(E79:E81)</f>
        <v>16.156000000000002</v>
      </c>
      <c r="G81" s="23" t="s">
        <v>104</v>
      </c>
      <c r="H81" s="23" t="s">
        <v>458</v>
      </c>
      <c r="I81" s="23">
        <v>15.788</v>
      </c>
      <c r="J81" s="23">
        <f t="shared" ref="J81" si="105">I81-F81</f>
        <v>-0.3680000000000021</v>
      </c>
      <c r="K81" s="23">
        <f t="shared" si="89"/>
        <v>1.2905624904517807</v>
      </c>
      <c r="L81" s="23">
        <f t="shared" si="101"/>
        <v>7006.8305229046591</v>
      </c>
      <c r="N81" s="45"/>
      <c r="O81" s="45"/>
      <c r="P81" s="102"/>
      <c r="Q81" s="102"/>
      <c r="R81" s="102"/>
      <c r="S81" s="90"/>
      <c r="T81" s="90"/>
      <c r="U81" s="90"/>
      <c r="V81" s="90"/>
      <c r="W81" s="90"/>
      <c r="X81" s="90"/>
      <c r="Y81" s="90"/>
      <c r="Z81" s="90"/>
      <c r="AA81" s="90"/>
    </row>
    <row r="82" spans="3:28">
      <c r="C82" s="23" t="s">
        <v>467</v>
      </c>
      <c r="D82" s="23" t="s">
        <v>112</v>
      </c>
      <c r="E82" s="23">
        <v>18.027999999999999</v>
      </c>
      <c r="F82" s="23"/>
      <c r="G82" s="23" t="s">
        <v>467</v>
      </c>
      <c r="H82" s="23" t="s">
        <v>458</v>
      </c>
      <c r="I82" s="23">
        <v>26.036000000000001</v>
      </c>
      <c r="J82" s="23">
        <f t="shared" ref="J82" si="106">I82-F84</f>
        <v>8.2233333333333327</v>
      </c>
      <c r="K82" s="23">
        <f t="shared" si="89"/>
        <v>3.3460313241033472E-3</v>
      </c>
      <c r="L82" s="23">
        <f>K82/0.000268857076805532</f>
        <v>12.445390554192395</v>
      </c>
      <c r="N82" s="52"/>
      <c r="O82" s="52"/>
      <c r="P82" s="52"/>
      <c r="Q82" s="52"/>
      <c r="R82" s="52"/>
      <c r="S82" s="52"/>
      <c r="T82" s="52"/>
    </row>
    <row r="83" spans="3:28">
      <c r="C83" s="23" t="s">
        <v>467</v>
      </c>
      <c r="D83" s="23" t="s">
        <v>112</v>
      </c>
      <c r="E83" s="23">
        <v>17.573</v>
      </c>
      <c r="F83" s="23"/>
      <c r="G83" s="23" t="s">
        <v>467</v>
      </c>
      <c r="H83" s="23" t="s">
        <v>458</v>
      </c>
      <c r="I83" s="23">
        <v>26.13</v>
      </c>
      <c r="J83" s="23">
        <f t="shared" ref="J83" si="107">I83-F84</f>
        <v>8.3173333333333304</v>
      </c>
      <c r="K83" s="23">
        <f t="shared" si="89"/>
        <v>3.1349685094593711E-3</v>
      </c>
      <c r="L83" s="23">
        <f t="shared" ref="L83:L84" si="108">K83/0.000268857076805532</f>
        <v>11.660353324926376</v>
      </c>
    </row>
    <row r="84" spans="3:28">
      <c r="C84" s="23" t="s">
        <v>467</v>
      </c>
      <c r="D84" s="23" t="s">
        <v>112</v>
      </c>
      <c r="E84" s="23">
        <v>17.837</v>
      </c>
      <c r="F84" s="23">
        <f t="shared" ref="F84" si="109">AVERAGE(E82:E84)</f>
        <v>17.812666666666669</v>
      </c>
      <c r="G84" s="23" t="s">
        <v>467</v>
      </c>
      <c r="H84" s="23" t="s">
        <v>458</v>
      </c>
      <c r="I84" s="23">
        <v>25.937000000000001</v>
      </c>
      <c r="J84" s="23">
        <f t="shared" ref="J84" si="110">I84-F84</f>
        <v>8.1243333333333325</v>
      </c>
      <c r="K84" s="23">
        <f t="shared" si="89"/>
        <v>3.5837026834788003E-3</v>
      </c>
      <c r="L84" s="23">
        <f t="shared" si="108"/>
        <v>13.329396890195833</v>
      </c>
    </row>
    <row r="85" spans="3:28">
      <c r="C85" s="23" t="s">
        <v>466</v>
      </c>
      <c r="D85" s="23" t="s">
        <v>112</v>
      </c>
      <c r="E85" s="23">
        <v>18.164000000000001</v>
      </c>
      <c r="F85" s="23"/>
      <c r="G85" s="23" t="s">
        <v>466</v>
      </c>
      <c r="H85" s="23" t="s">
        <v>458</v>
      </c>
      <c r="I85" s="23">
        <v>25.957999999999998</v>
      </c>
      <c r="J85" s="23">
        <f t="shared" ref="J85" si="111">I85-F87</f>
        <v>7.6923333333333268</v>
      </c>
      <c r="K85" s="23">
        <f t="shared" si="89"/>
        <v>4.8347823726012495E-3</v>
      </c>
      <c r="L85" s="23">
        <f>K85/0.000184186343059541</f>
        <v>26.249407487493976</v>
      </c>
    </row>
    <row r="86" spans="3:28">
      <c r="C86" s="23" t="s">
        <v>466</v>
      </c>
      <c r="D86" s="23" t="s">
        <v>112</v>
      </c>
      <c r="E86" s="23">
        <v>18.382000000000001</v>
      </c>
      <c r="F86" s="23"/>
      <c r="G86" s="23" t="s">
        <v>466</v>
      </c>
      <c r="H86" s="23" t="s">
        <v>458</v>
      </c>
      <c r="I86" s="23">
        <v>25.85</v>
      </c>
      <c r="J86" s="23">
        <f t="shared" ref="J86" si="112">I86-F87</f>
        <v>7.5843333333333298</v>
      </c>
      <c r="K86" s="23">
        <f t="shared" si="89"/>
        <v>5.2106052120252343E-3</v>
      </c>
      <c r="L86" s="23">
        <f t="shared" ref="L86:L87" si="113">K86/0.000184186343059541</f>
        <v>28.289856487029702</v>
      </c>
    </row>
    <row r="87" spans="3:28">
      <c r="C87" s="23" t="s">
        <v>466</v>
      </c>
      <c r="D87" s="23" t="s">
        <v>112</v>
      </c>
      <c r="E87" s="23">
        <v>18.251000000000001</v>
      </c>
      <c r="F87" s="23">
        <f t="shared" ref="F87" si="114">AVERAGE(E85:E87)</f>
        <v>18.265666666666672</v>
      </c>
      <c r="G87" s="23" t="s">
        <v>466</v>
      </c>
      <c r="H87" s="23" t="s">
        <v>458</v>
      </c>
      <c r="I87" s="23">
        <v>25.776</v>
      </c>
      <c r="J87" s="23">
        <f t="shared" ref="J87" si="115">I87-F87</f>
        <v>7.5103333333333282</v>
      </c>
      <c r="K87" s="23">
        <f t="shared" si="89"/>
        <v>5.4848453810691479E-3</v>
      </c>
      <c r="L87" s="23">
        <f t="shared" si="113"/>
        <v>29.778784300506413</v>
      </c>
    </row>
    <row r="94" spans="3:28">
      <c r="U94" s="52"/>
      <c r="V94" s="52"/>
      <c r="W94" s="52"/>
      <c r="X94" s="52"/>
      <c r="Y94" s="52"/>
      <c r="Z94" s="52"/>
      <c r="AA94" s="52"/>
      <c r="AB94" s="52"/>
    </row>
    <row r="95" spans="3:28">
      <c r="U95" s="52"/>
      <c r="V95" s="52"/>
      <c r="W95" s="52"/>
      <c r="X95" s="52"/>
      <c r="Y95" s="52"/>
      <c r="Z95" s="52"/>
      <c r="AA95" s="52"/>
      <c r="AB95" s="52"/>
    </row>
    <row r="96" spans="3:28">
      <c r="U96" s="52"/>
      <c r="V96" s="52"/>
      <c r="W96" s="52"/>
      <c r="X96" s="52"/>
      <c r="Y96" s="52"/>
      <c r="Z96" s="52"/>
      <c r="AA96" s="52"/>
      <c r="AB96" s="52"/>
    </row>
    <row r="97" spans="21:28">
      <c r="U97" s="52"/>
      <c r="V97" s="52"/>
      <c r="W97" s="52"/>
      <c r="X97" s="52"/>
      <c r="Y97" s="52"/>
      <c r="Z97" s="52"/>
      <c r="AA97" s="52"/>
      <c r="AB97" s="52"/>
    </row>
    <row r="98" spans="21:28">
      <c r="U98" s="52"/>
      <c r="V98" s="52"/>
      <c r="W98" s="52"/>
      <c r="X98" s="52"/>
      <c r="Y98" s="52"/>
      <c r="Z98" s="52"/>
      <c r="AA98" s="52"/>
      <c r="AB98" s="52"/>
    </row>
    <row r="99" spans="21:28">
      <c r="U99" s="52"/>
      <c r="V99" s="52"/>
      <c r="W99" s="52"/>
      <c r="X99" s="52"/>
      <c r="Y99" s="52"/>
      <c r="Z99" s="52"/>
      <c r="AA99" s="52"/>
      <c r="AB99" s="52"/>
    </row>
    <row r="100" spans="21:28">
      <c r="U100" s="52"/>
      <c r="V100" s="52"/>
      <c r="W100" s="52"/>
      <c r="X100" s="52"/>
      <c r="Y100" s="52"/>
      <c r="Z100" s="52"/>
      <c r="AA100" s="52"/>
      <c r="AB100" s="52"/>
    </row>
    <row r="101" spans="21:28">
      <c r="U101" s="52"/>
      <c r="V101" s="52"/>
      <c r="W101" s="52"/>
      <c r="X101" s="52"/>
      <c r="Y101" s="52"/>
      <c r="Z101" s="52"/>
      <c r="AA101" s="52"/>
      <c r="AB101" s="52"/>
    </row>
    <row r="102" spans="21:28">
      <c r="U102" s="52"/>
      <c r="V102" s="52"/>
      <c r="W102" s="52"/>
      <c r="X102" s="52"/>
      <c r="Y102" s="52"/>
      <c r="Z102" s="52"/>
      <c r="AA102" s="52"/>
      <c r="AB102" s="52"/>
    </row>
    <row r="103" spans="21:28">
      <c r="U103" s="52"/>
      <c r="V103" s="52"/>
      <c r="W103" s="52"/>
      <c r="X103" s="52"/>
      <c r="Y103" s="52"/>
      <c r="Z103" s="52"/>
      <c r="AA103" s="52"/>
      <c r="AB103" s="52"/>
    </row>
    <row r="104" spans="21:28">
      <c r="U104" s="52"/>
      <c r="V104" s="52"/>
      <c r="W104" s="52"/>
      <c r="X104" s="52"/>
      <c r="Y104" s="52"/>
      <c r="Z104" s="52"/>
      <c r="AA104" s="52"/>
      <c r="AB104" s="52"/>
    </row>
    <row r="105" spans="21:28">
      <c r="U105" s="52"/>
      <c r="V105" s="52"/>
      <c r="W105" s="52"/>
      <c r="X105" s="52"/>
      <c r="Y105" s="52"/>
      <c r="Z105" s="52"/>
      <c r="AA105" s="52"/>
      <c r="AB105" s="52"/>
    </row>
    <row r="106" spans="21:28">
      <c r="U106" s="52"/>
      <c r="V106" s="52"/>
      <c r="W106" s="52"/>
      <c r="X106" s="52"/>
      <c r="Y106" s="52"/>
      <c r="Z106" s="52"/>
      <c r="AA106" s="52"/>
      <c r="AB106" s="52"/>
    </row>
    <row r="107" spans="21:28">
      <c r="U107" s="52"/>
      <c r="V107" s="52"/>
      <c r="W107" s="52"/>
      <c r="X107" s="52"/>
      <c r="Y107" s="52"/>
      <c r="Z107" s="52"/>
      <c r="AA107" s="52"/>
      <c r="AB107" s="52"/>
    </row>
    <row r="108" spans="21:28">
      <c r="U108" s="52"/>
      <c r="V108" s="52"/>
      <c r="W108" s="52"/>
      <c r="X108" s="52"/>
      <c r="Y108" s="52"/>
      <c r="Z108" s="52"/>
      <c r="AA108" s="52"/>
      <c r="AB108" s="52"/>
    </row>
    <row r="109" spans="21:28">
      <c r="U109" s="63"/>
      <c r="V109" s="63"/>
      <c r="W109" s="52"/>
      <c r="X109" s="52"/>
      <c r="Y109" s="63"/>
      <c r="Z109" s="63"/>
      <c r="AA109" s="63"/>
      <c r="AB109" s="52"/>
    </row>
    <row r="110" spans="21:28">
      <c r="U110" s="63"/>
      <c r="V110" s="63"/>
      <c r="W110" s="52"/>
      <c r="X110" s="52"/>
      <c r="Y110" s="63"/>
      <c r="Z110" s="63"/>
      <c r="AA110" s="63"/>
      <c r="AB110" s="52"/>
    </row>
    <row r="111" spans="21:28">
      <c r="U111" s="52"/>
      <c r="V111" s="52"/>
      <c r="W111" s="52"/>
      <c r="X111" s="52"/>
      <c r="Y111" s="52"/>
      <c r="Z111" s="52"/>
      <c r="AA111" s="52"/>
      <c r="AB111" s="52"/>
    </row>
    <row r="112" spans="21:28">
      <c r="U112" s="52"/>
      <c r="V112" s="52"/>
      <c r="W112" s="52"/>
      <c r="X112" s="52"/>
      <c r="Y112" s="52"/>
      <c r="Z112" s="52"/>
      <c r="AA112" s="52"/>
      <c r="AB112" s="52"/>
    </row>
    <row r="147" spans="2:12">
      <c r="B147" s="57"/>
      <c r="C147" s="57"/>
      <c r="D147" s="57"/>
      <c r="E147" s="52"/>
      <c r="F147" s="57"/>
      <c r="G147" s="57"/>
      <c r="H147" s="57"/>
      <c r="I147" s="52"/>
      <c r="J147" s="52"/>
      <c r="K147" s="52"/>
      <c r="L147" s="52"/>
    </row>
    <row r="148" spans="2:12">
      <c r="B148" s="57"/>
      <c r="C148" s="57"/>
      <c r="D148" s="57"/>
      <c r="E148" s="52"/>
      <c r="F148" s="57"/>
      <c r="G148" s="57"/>
      <c r="H148" s="57"/>
      <c r="I148" s="52"/>
      <c r="J148" s="52"/>
      <c r="K148" s="52"/>
      <c r="L148" s="52"/>
    </row>
    <row r="149" spans="2:12">
      <c r="B149" s="57"/>
      <c r="C149" s="57"/>
      <c r="D149" s="57"/>
      <c r="E149" s="52"/>
      <c r="F149" s="57"/>
      <c r="G149" s="57"/>
      <c r="H149" s="57"/>
      <c r="I149" s="52"/>
      <c r="J149" s="52"/>
      <c r="K149" s="52"/>
      <c r="L149" s="52"/>
    </row>
    <row r="150" spans="2:12">
      <c r="B150" s="57"/>
      <c r="C150" s="57"/>
      <c r="D150" s="57"/>
      <c r="E150" s="52"/>
      <c r="F150" s="57"/>
      <c r="G150" s="57"/>
      <c r="H150" s="57"/>
      <c r="I150" s="52"/>
      <c r="J150" s="52"/>
      <c r="K150" s="52"/>
      <c r="L150" s="52"/>
    </row>
    <row r="151" spans="2:12">
      <c r="B151" s="57"/>
      <c r="C151" s="57"/>
      <c r="D151" s="57"/>
      <c r="E151" s="52"/>
      <c r="F151" s="57"/>
      <c r="G151" s="57"/>
      <c r="H151" s="57"/>
      <c r="I151" s="52"/>
      <c r="J151" s="52"/>
      <c r="K151" s="52"/>
      <c r="L151" s="52"/>
    </row>
    <row r="152" spans="2:12">
      <c r="B152" s="57"/>
      <c r="C152" s="57"/>
      <c r="D152" s="57"/>
      <c r="E152" s="52"/>
      <c r="F152" s="57"/>
      <c r="G152" s="57"/>
      <c r="H152" s="57"/>
      <c r="I152" s="52"/>
      <c r="J152" s="52"/>
      <c r="K152" s="52"/>
      <c r="L152" s="52"/>
    </row>
    <row r="153" spans="2:12">
      <c r="B153" s="57"/>
      <c r="C153" s="57"/>
      <c r="D153" s="57"/>
      <c r="E153" s="52"/>
      <c r="F153" s="57"/>
      <c r="G153" s="57"/>
      <c r="H153" s="57"/>
      <c r="I153" s="52"/>
      <c r="J153" s="52"/>
      <c r="K153" s="52"/>
      <c r="L153" s="52"/>
    </row>
    <row r="154" spans="2:12">
      <c r="B154" s="57"/>
      <c r="C154" s="57"/>
      <c r="D154" s="57"/>
      <c r="E154" s="52"/>
      <c r="F154" s="57"/>
      <c r="G154" s="57"/>
      <c r="H154" s="57"/>
      <c r="I154" s="52"/>
      <c r="J154" s="52"/>
      <c r="K154" s="52"/>
      <c r="L154" s="52"/>
    </row>
    <row r="155" spans="2:12">
      <c r="B155" s="57"/>
      <c r="C155" s="57"/>
      <c r="D155" s="57"/>
      <c r="E155" s="52"/>
      <c r="F155" s="57"/>
      <c r="G155" s="57"/>
      <c r="H155" s="57"/>
      <c r="I155" s="52"/>
      <c r="J155" s="52"/>
      <c r="K155" s="52"/>
      <c r="L155" s="52"/>
    </row>
    <row r="156" spans="2:12">
      <c r="B156" s="57"/>
      <c r="C156" s="57"/>
      <c r="D156" s="57"/>
      <c r="E156" s="52"/>
      <c r="F156" s="57"/>
      <c r="G156" s="57"/>
      <c r="H156" s="57"/>
      <c r="I156" s="52"/>
      <c r="J156" s="52"/>
      <c r="K156" s="52"/>
      <c r="L156" s="52"/>
    </row>
    <row r="157" spans="2:12">
      <c r="B157" s="57"/>
      <c r="C157" s="57"/>
      <c r="D157" s="57"/>
      <c r="E157" s="52"/>
      <c r="F157" s="57"/>
      <c r="G157" s="57"/>
      <c r="H157" s="57"/>
      <c r="I157" s="52"/>
      <c r="J157" s="52"/>
      <c r="K157" s="52"/>
      <c r="L157" s="52"/>
    </row>
    <row r="158" spans="2:12">
      <c r="B158" s="57"/>
      <c r="C158" s="57"/>
      <c r="D158" s="57"/>
      <c r="E158" s="52"/>
      <c r="F158" s="57"/>
      <c r="G158" s="57"/>
      <c r="H158" s="57"/>
      <c r="I158" s="52"/>
      <c r="J158" s="52"/>
      <c r="K158" s="52"/>
      <c r="L158" s="52"/>
    </row>
  </sheetData>
  <phoneticPr fontId="2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0E4DA8-60E2-2848-8A9F-F0ABDEA98B8C}">
  <dimension ref="A1:AX66"/>
  <sheetViews>
    <sheetView zoomScale="25" workbookViewId="0">
      <selection activeCell="AE6" sqref="AE6:AK9"/>
    </sheetView>
  </sheetViews>
  <sheetFormatPr baseColWidth="10" defaultRowHeight="16"/>
  <sheetData>
    <row r="1" spans="1:47">
      <c r="A1" t="s">
        <v>82</v>
      </c>
    </row>
    <row r="4" spans="1:47">
      <c r="A4" s="52"/>
      <c r="B4" s="52"/>
      <c r="C4" s="52"/>
      <c r="X4" t="s">
        <v>535</v>
      </c>
    </row>
    <row r="5" spans="1:47">
      <c r="A5" s="52"/>
      <c r="B5" s="88" t="s">
        <v>485</v>
      </c>
      <c r="C5" s="52"/>
      <c r="Y5" t="s">
        <v>480</v>
      </c>
      <c r="AP5" s="68">
        <v>0</v>
      </c>
      <c r="AQ5">
        <v>0.14000000000000001</v>
      </c>
      <c r="AR5">
        <v>0.29700000000000004</v>
      </c>
      <c r="AS5">
        <v>0.54699999999999993</v>
      </c>
      <c r="AT5">
        <v>1.1076666666666666</v>
      </c>
      <c r="AU5">
        <v>1.9990000000000003</v>
      </c>
    </row>
    <row r="6" spans="1:47">
      <c r="A6" s="52"/>
      <c r="B6" s="52" t="s">
        <v>442</v>
      </c>
      <c r="C6" s="52"/>
      <c r="D6" t="s">
        <v>107</v>
      </c>
      <c r="G6" t="s">
        <v>108</v>
      </c>
      <c r="I6">
        <v>0.6</v>
      </c>
      <c r="K6">
        <v>-0.151</v>
      </c>
      <c r="R6" t="s">
        <v>481</v>
      </c>
      <c r="X6" s="90" t="s">
        <v>685</v>
      </c>
      <c r="Y6" s="90" t="s">
        <v>483</v>
      </c>
      <c r="Z6" s="90"/>
      <c r="AA6" s="90"/>
      <c r="AB6" s="90" t="s">
        <v>484</v>
      </c>
      <c r="AC6" s="90"/>
      <c r="AD6" s="90"/>
      <c r="AE6" s="90" t="s">
        <v>663</v>
      </c>
      <c r="AF6" s="90" t="s">
        <v>396</v>
      </c>
      <c r="AG6" s="90" t="s">
        <v>664</v>
      </c>
      <c r="AH6" s="90" t="s">
        <v>663</v>
      </c>
      <c r="AI6" s="90" t="s">
        <v>396</v>
      </c>
      <c r="AJ6" s="90" t="s">
        <v>664</v>
      </c>
      <c r="AK6" s="101" t="s">
        <v>665</v>
      </c>
      <c r="AP6">
        <v>0</v>
      </c>
      <c r="AQ6">
        <v>25</v>
      </c>
      <c r="AR6">
        <v>50</v>
      </c>
      <c r="AS6">
        <v>100</v>
      </c>
      <c r="AT6">
        <v>200</v>
      </c>
      <c r="AU6">
        <v>400</v>
      </c>
    </row>
    <row r="7" spans="1:47">
      <c r="A7" s="52"/>
      <c r="B7" s="52"/>
      <c r="C7" s="52" t="s">
        <v>486</v>
      </c>
      <c r="D7" s="28">
        <v>0.24399999999999999</v>
      </c>
      <c r="E7" s="28">
        <v>0.23400000000000001</v>
      </c>
      <c r="F7" s="28">
        <v>0.23200000000000001</v>
      </c>
      <c r="G7" s="28">
        <v>0.35799999999999998</v>
      </c>
      <c r="H7" s="28">
        <v>0.35699999999999998</v>
      </c>
      <c r="I7" s="28">
        <v>0.33700000000000002</v>
      </c>
      <c r="K7" s="28">
        <f>D7-0.151</f>
        <v>9.2999999999999999E-2</v>
      </c>
      <c r="L7" s="28">
        <f t="shared" ref="L7:P8" si="0">E7-0.151</f>
        <v>8.3000000000000018E-2</v>
      </c>
      <c r="M7" s="28">
        <f t="shared" si="0"/>
        <v>8.1000000000000016E-2</v>
      </c>
      <c r="N7" s="28">
        <f t="shared" si="0"/>
        <v>0.20699999999999999</v>
      </c>
      <c r="O7" s="28">
        <f t="shared" si="0"/>
        <v>0.20599999999999999</v>
      </c>
      <c r="P7" s="28">
        <f t="shared" si="0"/>
        <v>0.18600000000000003</v>
      </c>
      <c r="Q7" t="s">
        <v>486</v>
      </c>
      <c r="R7" s="29">
        <f>K7*222.98-16.155</f>
        <v>4.582139999999999</v>
      </c>
      <c r="S7" s="29">
        <f t="shared" ref="S7:W8" si="1">L7*222.98-16.155</f>
        <v>2.3523400000000017</v>
      </c>
      <c r="T7" s="29">
        <f t="shared" si="1"/>
        <v>1.9063800000000022</v>
      </c>
      <c r="U7" s="29">
        <f t="shared" si="1"/>
        <v>30.001859999999994</v>
      </c>
      <c r="V7" s="29">
        <f t="shared" si="1"/>
        <v>29.778879999999994</v>
      </c>
      <c r="W7" s="29">
        <f t="shared" si="1"/>
        <v>25.319280000000006</v>
      </c>
      <c r="X7" s="90" t="s">
        <v>682</v>
      </c>
      <c r="Y7" s="103">
        <v>22.910699999999995</v>
      </c>
      <c r="Z7" s="103">
        <v>11.761700000000008</v>
      </c>
      <c r="AA7" s="103">
        <v>9.5319000000000109</v>
      </c>
      <c r="AB7" s="103">
        <v>150.00929999999997</v>
      </c>
      <c r="AC7" s="103">
        <v>148.89439999999996</v>
      </c>
      <c r="AD7" s="103">
        <v>126.59640000000003</v>
      </c>
      <c r="AE7" s="90">
        <f>AVERAGE(Y7:AA7)</f>
        <v>14.734766666666673</v>
      </c>
      <c r="AF7" s="90">
        <f>STDEV(Y7:AA7)</f>
        <v>7.1678041556206846</v>
      </c>
      <c r="AG7" s="90">
        <f>AF7/SQRT(3)</f>
        <v>4.138333658746121</v>
      </c>
      <c r="AH7" s="90">
        <f>AVERAGE(AB7:AD7)</f>
        <v>141.83336666666665</v>
      </c>
      <c r="AI7" s="90">
        <f>STDEV(AB7:AD7)</f>
        <v>13.207369738268566</v>
      </c>
      <c r="AJ7" s="90">
        <f>AI7/SQRT(3)</f>
        <v>7.625278473676274</v>
      </c>
      <c r="AK7" s="94">
        <v>0.14149999999999999</v>
      </c>
    </row>
    <row r="8" spans="1:47">
      <c r="A8" s="52"/>
      <c r="B8" s="52"/>
      <c r="C8" s="52" t="s">
        <v>602</v>
      </c>
      <c r="D8" s="28">
        <v>2.0249999999999999</v>
      </c>
      <c r="E8" s="28">
        <v>1.921</v>
      </c>
      <c r="F8" s="28">
        <v>1.9470000000000001</v>
      </c>
      <c r="G8" s="28">
        <v>4.0049999999999999</v>
      </c>
      <c r="H8" s="28">
        <v>3.9119999999999999</v>
      </c>
      <c r="I8" s="28">
        <v>3.72</v>
      </c>
      <c r="K8" s="28">
        <f t="shared" ref="K8" si="2">D8-0.151</f>
        <v>1.8739999999999999</v>
      </c>
      <c r="L8" s="28">
        <f t="shared" si="0"/>
        <v>1.77</v>
      </c>
      <c r="M8" s="28">
        <f t="shared" si="0"/>
        <v>1.796</v>
      </c>
      <c r="N8" s="28">
        <f t="shared" si="0"/>
        <v>3.8540000000000001</v>
      </c>
      <c r="O8" s="28">
        <f t="shared" si="0"/>
        <v>3.7610000000000001</v>
      </c>
      <c r="P8" s="28">
        <f t="shared" si="0"/>
        <v>3.5690000000000004</v>
      </c>
      <c r="Q8" t="s">
        <v>602</v>
      </c>
      <c r="R8" s="29">
        <f t="shared" ref="R8" si="3">K8*222.98-16.155</f>
        <v>401.70952</v>
      </c>
      <c r="S8" s="29">
        <f t="shared" si="1"/>
        <v>378.51959999999997</v>
      </c>
      <c r="T8" s="29">
        <f t="shared" si="1"/>
        <v>384.31708000000003</v>
      </c>
      <c r="U8" s="29">
        <f t="shared" si="1"/>
        <v>843.20992000000001</v>
      </c>
      <c r="V8" s="29">
        <f t="shared" si="1"/>
        <v>822.47278000000006</v>
      </c>
      <c r="W8" s="29">
        <f t="shared" si="1"/>
        <v>779.66062000000011</v>
      </c>
      <c r="X8" s="90" t="s">
        <v>683</v>
      </c>
      <c r="Y8" s="103">
        <v>2008.5475999999999</v>
      </c>
      <c r="Z8" s="103">
        <v>1892.598</v>
      </c>
      <c r="AA8" s="103">
        <v>1921.5854000000002</v>
      </c>
      <c r="AB8" s="103">
        <v>4216.0496000000003</v>
      </c>
      <c r="AC8" s="103">
        <v>4112.3639000000003</v>
      </c>
      <c r="AD8" s="103">
        <v>3898.3031000000005</v>
      </c>
      <c r="AE8" s="90">
        <f>AVERAGE(Y8:AA8)</f>
        <v>1940.9103333333333</v>
      </c>
      <c r="AF8" s="90">
        <f>STDEV(Y8:AA8)</f>
        <v>60.342084992924498</v>
      </c>
      <c r="AG8" s="90">
        <f t="shared" ref="AG8:AG9" si="4">AF8/SQRT(3)</f>
        <v>34.838519014128238</v>
      </c>
      <c r="AH8" s="90">
        <f>AVERAGE(AB8:AD8)</f>
        <v>4075.5722000000005</v>
      </c>
      <c r="AI8" s="90">
        <f t="shared" ref="AI8" si="5">STDEV(AB8:AD8)</f>
        <v>162.03682130068447</v>
      </c>
      <c r="AJ8" s="90">
        <f>AI8/SQRT(3)</f>
        <v>93.552002396581472</v>
      </c>
      <c r="AK8" s="94" t="s">
        <v>666</v>
      </c>
    </row>
    <row r="9" spans="1:47">
      <c r="A9" s="52"/>
      <c r="B9" s="52"/>
      <c r="C9" s="52" t="s">
        <v>603</v>
      </c>
      <c r="D9" s="28">
        <v>0.95899999999999996</v>
      </c>
      <c r="E9" s="28">
        <v>0.98199999999999998</v>
      </c>
      <c r="F9" s="28">
        <v>0.95599999999999996</v>
      </c>
      <c r="G9" s="28">
        <v>1.6419999999999999</v>
      </c>
      <c r="H9" s="28">
        <v>1.627</v>
      </c>
      <c r="I9" s="28">
        <v>1.623</v>
      </c>
      <c r="K9" s="28">
        <f t="shared" ref="K9:P9" si="6">D9-0.151</f>
        <v>0.80799999999999994</v>
      </c>
      <c r="L9" s="28">
        <f t="shared" si="6"/>
        <v>0.83099999999999996</v>
      </c>
      <c r="M9" s="28">
        <f t="shared" si="6"/>
        <v>0.80499999999999994</v>
      </c>
      <c r="N9" s="28">
        <f t="shared" si="6"/>
        <v>1.4909999999999999</v>
      </c>
      <c r="O9" s="28">
        <f t="shared" si="6"/>
        <v>1.476</v>
      </c>
      <c r="P9" s="28">
        <f t="shared" si="6"/>
        <v>1.472</v>
      </c>
      <c r="Q9" t="s">
        <v>603</v>
      </c>
      <c r="R9" s="29">
        <f t="shared" ref="R9:W9" si="7">K9*222.98-16.155</f>
        <v>164.01283999999998</v>
      </c>
      <c r="S9" s="29">
        <f t="shared" si="7"/>
        <v>169.14137999999997</v>
      </c>
      <c r="T9" s="29">
        <f t="shared" si="7"/>
        <v>163.34389999999999</v>
      </c>
      <c r="U9" s="29">
        <f t="shared" si="7"/>
        <v>316.30817999999999</v>
      </c>
      <c r="V9" s="29">
        <f t="shared" si="7"/>
        <v>312.96348</v>
      </c>
      <c r="W9" s="29">
        <f t="shared" si="7"/>
        <v>312.07155999999998</v>
      </c>
      <c r="X9" s="90" t="s">
        <v>684</v>
      </c>
      <c r="Y9" s="103">
        <v>820.06419999999991</v>
      </c>
      <c r="Z9" s="103">
        <v>845.70689999999991</v>
      </c>
      <c r="AA9" s="103">
        <v>816.71949999999993</v>
      </c>
      <c r="AB9" s="103">
        <v>1581.5409</v>
      </c>
      <c r="AC9" s="103">
        <v>1564.8173999999999</v>
      </c>
      <c r="AD9" s="103">
        <v>1560.3577999999998</v>
      </c>
      <c r="AE9" s="90">
        <f>AVERAGE(Y9:AA9)</f>
        <v>827.49686666666673</v>
      </c>
      <c r="AF9" s="90">
        <f>STDEV(Y9:AA9)</f>
        <v>15.858774858838656</v>
      </c>
      <c r="AG9" s="90">
        <f t="shared" si="4"/>
        <v>9.156067933768167</v>
      </c>
      <c r="AH9" s="90">
        <f t="shared" ref="AH9" si="8">AVERAGE(AB9:AD9)</f>
        <v>1568.9053666666666</v>
      </c>
      <c r="AI9" s="90">
        <f>STDEV(AB9:AD9)</f>
        <v>11.167566207698759</v>
      </c>
      <c r="AJ9" s="90">
        <f t="shared" ref="AJ9" si="9">AI9/SQRT(3)</f>
        <v>6.4475973562078464</v>
      </c>
      <c r="AK9" s="94" t="s">
        <v>666</v>
      </c>
    </row>
    <row r="10" spans="1:47">
      <c r="A10" s="52"/>
      <c r="B10" s="52"/>
      <c r="C10" s="52"/>
    </row>
    <row r="11" spans="1:47">
      <c r="A11" s="52"/>
      <c r="B11" s="52"/>
      <c r="C11" s="67"/>
      <c r="D11" s="68"/>
      <c r="E11" s="68"/>
      <c r="F11" s="68"/>
      <c r="G11" s="68"/>
      <c r="H11" s="68"/>
      <c r="I11" s="68"/>
      <c r="J11" s="67"/>
      <c r="K11" s="68"/>
      <c r="L11" s="68"/>
      <c r="M11" s="68"/>
      <c r="N11" s="68"/>
      <c r="O11" s="68"/>
      <c r="P11" s="68"/>
      <c r="Q11" s="67"/>
      <c r="R11" s="68"/>
      <c r="S11" s="68"/>
      <c r="T11" s="68"/>
      <c r="U11" s="68"/>
      <c r="V11" s="68"/>
      <c r="W11" s="68"/>
      <c r="X11" s="67"/>
      <c r="Y11" s="68"/>
      <c r="Z11" s="68"/>
      <c r="AA11" s="68"/>
      <c r="AB11" s="68"/>
      <c r="AC11" s="68"/>
      <c r="AD11" s="68"/>
    </row>
    <row r="12" spans="1:47">
      <c r="C12" s="67"/>
      <c r="D12" s="68"/>
      <c r="E12" s="68"/>
      <c r="F12" s="68"/>
      <c r="G12" s="68"/>
      <c r="H12" s="68"/>
      <c r="I12" s="68"/>
      <c r="J12" s="67"/>
      <c r="K12" s="68"/>
      <c r="L12" s="68"/>
      <c r="M12" s="68"/>
      <c r="N12" s="68"/>
      <c r="O12" s="68"/>
      <c r="P12" s="68"/>
      <c r="Q12" s="67"/>
      <c r="R12" s="68"/>
      <c r="S12" s="68"/>
      <c r="T12" s="68"/>
      <c r="U12" s="68"/>
      <c r="V12" s="68"/>
      <c r="W12" s="68"/>
      <c r="X12" s="67"/>
      <c r="Y12" s="68"/>
      <c r="Z12" s="68"/>
      <c r="AA12" s="68"/>
      <c r="AB12" s="68"/>
      <c r="AC12" s="68"/>
      <c r="AD12" s="68"/>
    </row>
    <row r="13" spans="1:47">
      <c r="C13" s="67"/>
      <c r="D13" s="68"/>
      <c r="E13" s="68"/>
      <c r="F13" s="68"/>
      <c r="G13" s="68"/>
      <c r="H13" s="68"/>
      <c r="I13" s="68"/>
      <c r="J13" s="67"/>
      <c r="K13" s="68"/>
      <c r="L13" s="68"/>
      <c r="M13" s="68"/>
      <c r="N13" s="68"/>
      <c r="O13" s="68"/>
      <c r="P13" s="68"/>
      <c r="Q13" s="67"/>
      <c r="R13" s="68"/>
      <c r="S13" s="68"/>
      <c r="T13" s="68"/>
      <c r="U13" s="68"/>
      <c r="V13" s="68"/>
      <c r="W13" s="68"/>
      <c r="X13" s="67"/>
      <c r="Y13" s="68"/>
      <c r="Z13" s="68"/>
      <c r="AA13" s="68"/>
      <c r="AB13" s="68"/>
      <c r="AC13" s="68"/>
      <c r="AD13" s="68"/>
    </row>
    <row r="14" spans="1:47">
      <c r="C14" s="67"/>
      <c r="D14" s="68"/>
      <c r="E14" s="68"/>
      <c r="F14" s="68"/>
      <c r="G14" s="68"/>
      <c r="H14" s="68"/>
      <c r="I14" s="68"/>
      <c r="J14" s="67"/>
      <c r="K14" s="68"/>
      <c r="L14" s="68"/>
      <c r="M14" s="68"/>
      <c r="N14" s="68"/>
      <c r="O14" s="68"/>
      <c r="P14" s="68"/>
      <c r="Q14" s="67"/>
      <c r="R14" s="68"/>
      <c r="S14" s="68"/>
      <c r="T14" s="68"/>
      <c r="U14" s="68"/>
      <c r="V14" s="68"/>
      <c r="W14" s="68"/>
      <c r="X14" s="67"/>
      <c r="Y14" s="68"/>
      <c r="Z14" s="68"/>
      <c r="AA14" s="68"/>
      <c r="AB14" s="68"/>
      <c r="AC14" s="68"/>
      <c r="AD14" s="68"/>
    </row>
    <row r="15" spans="1:47">
      <c r="C15" s="67"/>
      <c r="D15" s="68"/>
      <c r="E15" s="68"/>
      <c r="F15" s="68"/>
      <c r="G15" s="68"/>
      <c r="H15" s="68"/>
      <c r="I15" s="68"/>
      <c r="J15" s="67"/>
      <c r="K15" s="68"/>
      <c r="L15" s="68"/>
      <c r="M15" s="68"/>
      <c r="N15" s="68"/>
      <c r="O15" s="68"/>
      <c r="P15" s="68"/>
      <c r="Q15" s="67"/>
      <c r="R15" s="68"/>
      <c r="S15" s="68"/>
      <c r="T15" s="68"/>
      <c r="U15" s="68"/>
      <c r="V15" s="68"/>
      <c r="W15" s="68"/>
      <c r="X15" s="67"/>
      <c r="Y15" s="68"/>
      <c r="Z15" s="68"/>
      <c r="AA15" s="68"/>
      <c r="AB15" s="68"/>
      <c r="AC15" s="68"/>
      <c r="AD15" s="68"/>
    </row>
    <row r="18" spans="2:37">
      <c r="Y18" t="s">
        <v>480</v>
      </c>
    </row>
    <row r="19" spans="2:37">
      <c r="B19" t="s">
        <v>445</v>
      </c>
      <c r="G19">
        <v>0.6</v>
      </c>
      <c r="J19" t="s">
        <v>492</v>
      </c>
      <c r="K19">
        <v>-0.16800000000000001</v>
      </c>
      <c r="U19" t="s">
        <v>493</v>
      </c>
      <c r="X19" s="90" t="s">
        <v>572</v>
      </c>
      <c r="Y19" s="90" t="s">
        <v>483</v>
      </c>
      <c r="Z19" s="90"/>
      <c r="AA19" s="90"/>
      <c r="AB19" s="90" t="s">
        <v>484</v>
      </c>
      <c r="AC19" s="90"/>
      <c r="AD19" s="90"/>
      <c r="AE19" s="90" t="s">
        <v>663</v>
      </c>
      <c r="AF19" s="90" t="s">
        <v>396</v>
      </c>
      <c r="AG19" s="90" t="s">
        <v>664</v>
      </c>
      <c r="AH19" s="90" t="s">
        <v>663</v>
      </c>
      <c r="AI19" s="90" t="s">
        <v>396</v>
      </c>
      <c r="AJ19" s="90" t="s">
        <v>664</v>
      </c>
      <c r="AK19" s="101" t="s">
        <v>665</v>
      </c>
    </row>
    <row r="20" spans="2:37">
      <c r="D20" s="28">
        <v>0.56799999999999995</v>
      </c>
      <c r="E20" s="28">
        <v>0.57199999999999995</v>
      </c>
      <c r="F20" s="28">
        <v>0.55700000000000005</v>
      </c>
      <c r="G20" s="28">
        <v>0.32</v>
      </c>
      <c r="H20" s="28">
        <v>0.308</v>
      </c>
      <c r="I20" s="28">
        <v>0.3</v>
      </c>
      <c r="J20" t="s">
        <v>459</v>
      </c>
      <c r="K20">
        <f>D20-0.168</f>
        <v>0.39999999999999991</v>
      </c>
      <c r="L20">
        <f t="shared" ref="L20:P21" si="10">E20-0.168</f>
        <v>0.40399999999999991</v>
      </c>
      <c r="M20">
        <f t="shared" si="10"/>
        <v>0.38900000000000001</v>
      </c>
      <c r="N20">
        <f t="shared" si="10"/>
        <v>0.152</v>
      </c>
      <c r="O20">
        <f t="shared" si="10"/>
        <v>0.13999999999999999</v>
      </c>
      <c r="P20">
        <f t="shared" si="10"/>
        <v>0.13199999999999998</v>
      </c>
      <c r="R20" s="28">
        <f t="shared" ref="R20:W22" si="11">57.409*K20*D20+57.732*D20+9.3818</f>
        <v>55.216900799999991</v>
      </c>
      <c r="S20" s="28">
        <f t="shared" si="11"/>
        <v>55.671034991999989</v>
      </c>
      <c r="T20" s="28">
        <f t="shared" si="11"/>
        <v>53.977504257000007</v>
      </c>
      <c r="U20" s="28">
        <f t="shared" si="11"/>
        <v>30.648413760000004</v>
      </c>
      <c r="V20" s="28">
        <f t="shared" si="11"/>
        <v>29.638732079999997</v>
      </c>
      <c r="W20" s="28">
        <f t="shared" si="11"/>
        <v>28.974796399999995</v>
      </c>
      <c r="X20" s="90" t="s">
        <v>459</v>
      </c>
      <c r="Y20" s="103">
        <v>276.08450399999992</v>
      </c>
      <c r="Z20" s="103">
        <v>278.35517495999994</v>
      </c>
      <c r="AA20" s="103">
        <v>269.88752128500005</v>
      </c>
      <c r="AB20" s="103">
        <v>153.24206880000003</v>
      </c>
      <c r="AC20" s="103">
        <v>148.1936604</v>
      </c>
      <c r="AD20" s="103">
        <v>144.87398199999998</v>
      </c>
      <c r="AE20" s="90">
        <f>AVERAGE(Y20:AA20)</f>
        <v>274.77573341499993</v>
      </c>
      <c r="AF20" s="90">
        <f>STDEV(Y20:AA20)</f>
        <v>4.3829156988305904</v>
      </c>
      <c r="AG20" s="90">
        <f>AF20/SQRT(3)</f>
        <v>2.5304775585552783</v>
      </c>
      <c r="AH20" s="90">
        <f>AVERAGE(AB20:AD20)</f>
        <v>148.76990373333334</v>
      </c>
      <c r="AI20" s="90">
        <f>STDEV(AB20:AD20)</f>
        <v>4.2136992604470578</v>
      </c>
      <c r="AJ20" s="90">
        <f>AI20/SQRT(3)</f>
        <v>2.4327804023032358</v>
      </c>
      <c r="AK20" s="94">
        <v>0.13689999999999999</v>
      </c>
    </row>
    <row r="21" spans="2:37">
      <c r="D21" s="28">
        <v>2.14</v>
      </c>
      <c r="E21" s="28">
        <v>2.1</v>
      </c>
      <c r="F21" s="28">
        <v>2.0579999999999998</v>
      </c>
      <c r="G21" s="28">
        <v>4.4379999999999997</v>
      </c>
      <c r="H21" s="28">
        <v>4.34</v>
      </c>
      <c r="I21" s="28">
        <v>4.3380000000000001</v>
      </c>
      <c r="J21" t="s">
        <v>460</v>
      </c>
      <c r="K21">
        <f t="shared" ref="K21" si="12">D21-0.168</f>
        <v>1.9720000000000002</v>
      </c>
      <c r="L21">
        <f t="shared" si="10"/>
        <v>1.9320000000000002</v>
      </c>
      <c r="M21">
        <f t="shared" si="10"/>
        <v>1.89</v>
      </c>
      <c r="N21">
        <f t="shared" si="10"/>
        <v>4.2699999999999996</v>
      </c>
      <c r="O21">
        <f t="shared" si="10"/>
        <v>4.1719999999999997</v>
      </c>
      <c r="P21">
        <f t="shared" si="10"/>
        <v>4.17</v>
      </c>
      <c r="R21" s="28">
        <f t="shared" si="11"/>
        <v>375.19885271999999</v>
      </c>
      <c r="S21" s="28">
        <f t="shared" si="11"/>
        <v>363.53879480000001</v>
      </c>
      <c r="T21" s="28">
        <f t="shared" si="11"/>
        <v>351.49345057999994</v>
      </c>
      <c r="U21" s="28">
        <f t="shared" si="11"/>
        <v>1353.5118923399998</v>
      </c>
      <c r="V21" s="28">
        <f t="shared" si="11"/>
        <v>1299.4135903199999</v>
      </c>
      <c r="W21" s="28">
        <f t="shared" si="11"/>
        <v>1298.3210251400001</v>
      </c>
      <c r="X21" s="90" t="s">
        <v>460</v>
      </c>
      <c r="Y21" s="103">
        <v>1875.9942636000001</v>
      </c>
      <c r="Z21" s="103">
        <v>1817.693974</v>
      </c>
      <c r="AA21" s="103">
        <v>1757.4672528999997</v>
      </c>
      <c r="AB21" s="103">
        <v>6767.5594616999988</v>
      </c>
      <c r="AC21" s="103">
        <v>6497.0679516</v>
      </c>
      <c r="AD21" s="103">
        <v>6491.6051256999999</v>
      </c>
      <c r="AE21" s="90">
        <f>AVERAGE(Y21:AA21)</f>
        <v>1817.0518301666668</v>
      </c>
      <c r="AF21" s="90">
        <f>STDEV(Y21:AA21)</f>
        <v>59.266114499741882</v>
      </c>
      <c r="AG21" s="90">
        <f t="shared" ref="AG21:AG22" si="13">AF21/SQRT(3)</f>
        <v>34.217307160249163</v>
      </c>
      <c r="AH21" s="90">
        <f>AVERAGE(AB21:AD21)</f>
        <v>6585.4108463333323</v>
      </c>
      <c r="AI21" s="90">
        <f t="shared" ref="AI21" si="14">STDEV(AB21:AD21)</f>
        <v>157.76897406238851</v>
      </c>
      <c r="AJ21" s="90">
        <f>AI21/SQRT(3)</f>
        <v>91.087959644691097</v>
      </c>
      <c r="AK21" s="94" t="s">
        <v>666</v>
      </c>
    </row>
    <row r="22" spans="2:37">
      <c r="D22" s="28">
        <v>1.115</v>
      </c>
      <c r="E22" s="28">
        <v>1.1140000000000001</v>
      </c>
      <c r="F22" s="28">
        <v>1.117</v>
      </c>
      <c r="G22" s="28">
        <v>1.4470000000000001</v>
      </c>
      <c r="H22" s="28">
        <v>1.5049999999999999</v>
      </c>
      <c r="I22" s="28">
        <v>1.482</v>
      </c>
      <c r="J22" t="s">
        <v>462</v>
      </c>
      <c r="K22">
        <f t="shared" ref="K22:P22" si="15">D22-0.168</f>
        <v>0.94699999999999995</v>
      </c>
      <c r="L22">
        <f t="shared" si="15"/>
        <v>0.94600000000000006</v>
      </c>
      <c r="M22">
        <f t="shared" si="15"/>
        <v>0.94899999999999995</v>
      </c>
      <c r="N22">
        <f t="shared" si="15"/>
        <v>1.2790000000000001</v>
      </c>
      <c r="O22">
        <f t="shared" si="15"/>
        <v>1.337</v>
      </c>
      <c r="P22">
        <f t="shared" si="15"/>
        <v>1.3140000000000001</v>
      </c>
      <c r="R22" s="28">
        <f t="shared" si="11"/>
        <v>134.37143014499998</v>
      </c>
      <c r="S22" s="28">
        <f t="shared" si="11"/>
        <v>134.19537819600001</v>
      </c>
      <c r="T22" s="28">
        <f t="shared" si="11"/>
        <v>134.72387849699999</v>
      </c>
      <c r="U22" s="28">
        <f t="shared" si="11"/>
        <v>199.16758661700001</v>
      </c>
      <c r="V22" s="28">
        <f t="shared" si="11"/>
        <v>211.78598866499999</v>
      </c>
      <c r="W22" s="28">
        <f t="shared" si="11"/>
        <v>206.73592533200002</v>
      </c>
      <c r="X22" s="90" t="s">
        <v>462</v>
      </c>
      <c r="Y22" s="103">
        <v>671.85715072499988</v>
      </c>
      <c r="Z22" s="103">
        <v>670.97689098000001</v>
      </c>
      <c r="AA22" s="103">
        <v>673.61939248499993</v>
      </c>
      <c r="AB22" s="103">
        <v>995.83793308500003</v>
      </c>
      <c r="AC22" s="103">
        <v>1058.9299433249998</v>
      </c>
      <c r="AD22" s="103">
        <v>1033.6796266600002</v>
      </c>
      <c r="AE22" s="90">
        <f>AVERAGE(Y22:AA22)</f>
        <v>672.15114472999994</v>
      </c>
      <c r="AF22" s="90">
        <f>STDEV(Y22:AA22)</f>
        <v>1.3455585855746681</v>
      </c>
      <c r="AG22" s="90">
        <f t="shared" si="13"/>
        <v>0.7768586115919468</v>
      </c>
      <c r="AH22" s="90">
        <f t="shared" ref="AH22" si="16">AVERAGE(AB22:AD22)</f>
        <v>1029.4825010233335</v>
      </c>
      <c r="AI22" s="90">
        <f>STDEV(AB22:AD22)</f>
        <v>31.754721487340031</v>
      </c>
      <c r="AJ22" s="90">
        <f t="shared" ref="AJ22" si="17">AI22/SQRT(3)</f>
        <v>18.333596998757361</v>
      </c>
      <c r="AK22" s="94">
        <v>1E-4</v>
      </c>
    </row>
    <row r="24" spans="2:37">
      <c r="D24" s="68"/>
      <c r="E24" s="68"/>
      <c r="F24" s="68"/>
      <c r="G24" s="68"/>
      <c r="H24" s="68"/>
      <c r="I24" s="68"/>
      <c r="J24" s="67"/>
      <c r="K24" s="67"/>
      <c r="L24" s="67"/>
      <c r="M24" s="67"/>
      <c r="N24" s="67"/>
      <c r="O24" s="67"/>
      <c r="P24" s="67"/>
      <c r="Q24" s="67"/>
      <c r="R24" s="67"/>
      <c r="S24" s="67"/>
      <c r="T24" s="68"/>
      <c r="U24" s="68"/>
      <c r="V24" s="68"/>
      <c r="W24" s="68"/>
      <c r="X24" s="68"/>
      <c r="Y24" s="68"/>
      <c r="Z24" s="67"/>
      <c r="AA24" s="68"/>
      <c r="AB24" s="68"/>
      <c r="AC24" s="68"/>
      <c r="AD24" s="68"/>
      <c r="AE24" s="68"/>
      <c r="AF24" s="68"/>
      <c r="AG24" s="67"/>
      <c r="AH24" s="67"/>
    </row>
    <row r="25" spans="2:37">
      <c r="AF25" s="68"/>
      <c r="AG25" s="67"/>
      <c r="AH25" s="67"/>
    </row>
    <row r="26" spans="2:37">
      <c r="AF26" s="68"/>
      <c r="AG26" s="67"/>
      <c r="AH26" s="67"/>
    </row>
    <row r="27" spans="2:37">
      <c r="AF27" s="68"/>
      <c r="AG27" s="67"/>
      <c r="AH27" s="67"/>
    </row>
    <row r="28" spans="2:37">
      <c r="AF28" s="68"/>
      <c r="AG28" s="67"/>
      <c r="AH28" s="67"/>
    </row>
    <row r="29" spans="2:37">
      <c r="E29" s="79"/>
      <c r="AF29" s="67"/>
      <c r="AG29" s="67"/>
      <c r="AH29" s="67"/>
    </row>
    <row r="30" spans="2:37">
      <c r="AF30" s="67"/>
      <c r="AG30" s="67"/>
      <c r="AH30" s="67"/>
    </row>
    <row r="36" spans="3:50">
      <c r="C36" s="80" t="s">
        <v>476</v>
      </c>
    </row>
    <row r="37" spans="3:50">
      <c r="C37" s="78" t="s">
        <v>442</v>
      </c>
      <c r="X37" t="s">
        <v>31</v>
      </c>
    </row>
    <row r="39" spans="3:50">
      <c r="Y39" t="s">
        <v>480</v>
      </c>
    </row>
    <row r="40" spans="3:50">
      <c r="D40" s="68"/>
      <c r="E40" s="68"/>
      <c r="F40" s="68"/>
      <c r="G40" s="68"/>
      <c r="H40" s="68"/>
      <c r="I40" s="68"/>
      <c r="J40" s="67"/>
      <c r="K40" s="77">
        <v>-0.151</v>
      </c>
      <c r="L40" s="67"/>
      <c r="M40" s="67"/>
      <c r="N40" s="67"/>
      <c r="O40" s="67"/>
      <c r="P40" s="67"/>
      <c r="Q40" s="67"/>
      <c r="U40" t="s">
        <v>504</v>
      </c>
      <c r="X40" s="90" t="s">
        <v>571</v>
      </c>
      <c r="Y40" s="90" t="s">
        <v>483</v>
      </c>
      <c r="Z40" s="90"/>
      <c r="AA40" s="90"/>
      <c r="AB40" s="90" t="s">
        <v>484</v>
      </c>
      <c r="AC40" s="90"/>
      <c r="AD40" s="90"/>
      <c r="AE40" s="90" t="s">
        <v>663</v>
      </c>
      <c r="AF40" s="90" t="s">
        <v>396</v>
      </c>
      <c r="AG40" s="90" t="s">
        <v>664</v>
      </c>
      <c r="AH40" s="90" t="s">
        <v>663</v>
      </c>
      <c r="AI40" s="90" t="s">
        <v>396</v>
      </c>
      <c r="AJ40" s="90" t="s">
        <v>664</v>
      </c>
      <c r="AK40" s="101" t="s">
        <v>665</v>
      </c>
    </row>
    <row r="41" spans="3:50">
      <c r="D41" s="41">
        <v>0.19400000000000001</v>
      </c>
      <c r="E41" s="41">
        <v>0.19600000000000001</v>
      </c>
      <c r="F41" s="41">
        <v>0.20200000000000001</v>
      </c>
      <c r="G41" s="41">
        <v>0.27600000000000002</v>
      </c>
      <c r="H41" s="41">
        <v>0.26200000000000001</v>
      </c>
      <c r="I41" s="41">
        <v>0.26500000000000001</v>
      </c>
      <c r="J41" s="67"/>
      <c r="K41" s="76">
        <v>4.300000000000001E-2</v>
      </c>
      <c r="L41" s="76">
        <v>4.5000000000000012E-2</v>
      </c>
      <c r="M41" s="76">
        <v>5.1000000000000018E-2</v>
      </c>
      <c r="N41" s="76">
        <v>0.12500000000000003</v>
      </c>
      <c r="O41" s="76">
        <v>0.11100000000000002</v>
      </c>
      <c r="P41" s="76">
        <v>0.11400000000000002</v>
      </c>
      <c r="Q41" s="67"/>
      <c r="R41" s="76">
        <v>1.9504800000000007</v>
      </c>
      <c r="S41" s="76">
        <v>2.3488000000000024</v>
      </c>
      <c r="T41" s="76">
        <v>3.5437600000000025</v>
      </c>
      <c r="U41" s="76">
        <v>18.281600000000005</v>
      </c>
      <c r="V41" s="76">
        <v>15.493360000000001</v>
      </c>
      <c r="W41" s="76">
        <v>16.09084</v>
      </c>
      <c r="X41" s="90" t="s">
        <v>459</v>
      </c>
      <c r="Y41" s="90">
        <v>9.7524000000000033</v>
      </c>
      <c r="Z41" s="90">
        <v>11.744000000000012</v>
      </c>
      <c r="AA41" s="90">
        <v>17.718800000000012</v>
      </c>
      <c r="AB41" s="90">
        <v>91.408000000000015</v>
      </c>
      <c r="AC41" s="90">
        <v>77.466800000000006</v>
      </c>
      <c r="AD41" s="90">
        <v>80.4542</v>
      </c>
      <c r="AE41" s="90">
        <f>AVERAGE(Y41:AA41)</f>
        <v>13.071733333333341</v>
      </c>
      <c r="AF41" s="90">
        <f>STDEV(Y41:AA41)</f>
        <v>4.1458460045367618</v>
      </c>
      <c r="AG41" s="90">
        <f>AF41/SQRT(3)</f>
        <v>2.3936053067380341</v>
      </c>
      <c r="AH41" s="90">
        <f>AVERAGE(AB41:AD41)</f>
        <v>83.109666666666669</v>
      </c>
      <c r="AI41" s="90">
        <f>STDEV(AB41:AD41)</f>
        <v>7.3401561136895053</v>
      </c>
      <c r="AJ41" s="90">
        <f>AI41/SQRT(3)</f>
        <v>4.2378411081325131</v>
      </c>
      <c r="AK41" s="94">
        <v>0.20100000000000001</v>
      </c>
      <c r="AQ41" t="s">
        <v>76</v>
      </c>
      <c r="AR41">
        <v>0</v>
      </c>
      <c r="AS41">
        <v>0.211666666666667</v>
      </c>
      <c r="AT41">
        <v>0.35166666666666668</v>
      </c>
      <c r="AU41">
        <v>0.65466666666666662</v>
      </c>
      <c r="AV41">
        <v>1.2303333333333335</v>
      </c>
      <c r="AW41">
        <v>1.8393333333333335</v>
      </c>
      <c r="AX41">
        <v>2.5076666666666667</v>
      </c>
    </row>
    <row r="42" spans="3:50">
      <c r="D42" s="41">
        <v>2.2170000000000001</v>
      </c>
      <c r="E42" s="41">
        <v>2.1560000000000001</v>
      </c>
      <c r="F42" s="41">
        <v>2.0720000000000001</v>
      </c>
      <c r="G42" s="41">
        <v>4.4080000000000004</v>
      </c>
      <c r="H42" s="41">
        <v>4.343</v>
      </c>
      <c r="I42" s="41">
        <v>4.2549999999999999</v>
      </c>
      <c r="J42" s="67"/>
      <c r="K42">
        <v>2.0660000000000003</v>
      </c>
      <c r="L42">
        <v>2.0050000000000003</v>
      </c>
      <c r="M42">
        <v>1.921</v>
      </c>
      <c r="N42">
        <v>4.2570000000000006</v>
      </c>
      <c r="O42">
        <v>4.1920000000000002</v>
      </c>
      <c r="P42">
        <v>4.1040000000000001</v>
      </c>
      <c r="Q42" s="67"/>
      <c r="R42" s="76">
        <v>404.85116000000005</v>
      </c>
      <c r="S42" s="76">
        <v>392.70240000000007</v>
      </c>
      <c r="T42" s="76">
        <v>375.97296</v>
      </c>
      <c r="U42" s="76">
        <v>841.21072000000015</v>
      </c>
      <c r="V42" s="76">
        <v>828.26532000000009</v>
      </c>
      <c r="W42" s="76">
        <v>810.73924</v>
      </c>
      <c r="X42" s="90" t="s">
        <v>460</v>
      </c>
      <c r="Y42" s="90">
        <v>2024.2558000000004</v>
      </c>
      <c r="Z42" s="90">
        <v>1963.5120000000004</v>
      </c>
      <c r="AA42" s="90">
        <v>1879.8648000000001</v>
      </c>
      <c r="AB42" s="90">
        <v>4206.0536000000011</v>
      </c>
      <c r="AC42" s="90">
        <v>4141.3266000000003</v>
      </c>
      <c r="AD42" s="90">
        <v>4053.6961999999999</v>
      </c>
      <c r="AE42" s="90">
        <f>AVERAGE(Y42:AA42)</f>
        <v>1955.8775333333335</v>
      </c>
      <c r="AF42" s="90">
        <f>STDEV(Y42:AA42)</f>
        <v>72.497613969104918</v>
      </c>
      <c r="AG42" s="90">
        <f t="shared" ref="AG42:AG43" si="18">AF42/SQRT(3)</f>
        <v>41.8565169406683</v>
      </c>
      <c r="AH42" s="90">
        <f>AVERAGE(AB42:AD42)</f>
        <v>4133.6921333333339</v>
      </c>
      <c r="AI42" s="90">
        <f t="shared" ref="AI42" si="19">STDEV(AB42:AD42)</f>
        <v>76.465077941851504</v>
      </c>
      <c r="AJ42" s="90">
        <f>AI42/SQRT(3)</f>
        <v>44.147133333333684</v>
      </c>
      <c r="AK42" s="94" t="s">
        <v>666</v>
      </c>
      <c r="AR42">
        <v>0</v>
      </c>
      <c r="AS42">
        <v>15.625</v>
      </c>
      <c r="AT42">
        <v>31.25</v>
      </c>
      <c r="AU42">
        <v>62.5</v>
      </c>
      <c r="AV42">
        <v>125</v>
      </c>
      <c r="AW42">
        <v>250</v>
      </c>
      <c r="AX42">
        <v>500</v>
      </c>
    </row>
    <row r="43" spans="3:50">
      <c r="D43" s="41">
        <v>0.504</v>
      </c>
      <c r="E43" s="41">
        <v>0.5</v>
      </c>
      <c r="F43" s="41">
        <v>0.50700000000000001</v>
      </c>
      <c r="G43" s="41">
        <v>0.81699999999999995</v>
      </c>
      <c r="H43" s="41">
        <v>0.79200000000000004</v>
      </c>
      <c r="I43" s="41">
        <v>0.81</v>
      </c>
      <c r="J43" s="67"/>
      <c r="K43">
        <v>0.35299999999999998</v>
      </c>
      <c r="L43">
        <v>0.34899999999999998</v>
      </c>
      <c r="M43">
        <v>0.35599999999999998</v>
      </c>
      <c r="N43">
        <v>0.66599999999999993</v>
      </c>
      <c r="O43">
        <v>0.64100000000000001</v>
      </c>
      <c r="P43">
        <v>0.65900000000000003</v>
      </c>
      <c r="Q43" s="67"/>
      <c r="R43">
        <v>63.690079999999995</v>
      </c>
      <c r="S43">
        <v>62.893439999999998</v>
      </c>
      <c r="T43">
        <v>64.287559999999999</v>
      </c>
      <c r="U43">
        <v>126.02715999999999</v>
      </c>
      <c r="V43">
        <v>121.04816</v>
      </c>
      <c r="W43">
        <v>124.63304000000001</v>
      </c>
      <c r="X43" s="90" t="s">
        <v>462</v>
      </c>
      <c r="Y43" s="90">
        <v>318.45039999999995</v>
      </c>
      <c r="Z43" s="90">
        <v>314.46719999999999</v>
      </c>
      <c r="AA43" s="90">
        <v>321.43779999999998</v>
      </c>
      <c r="AB43" s="90">
        <v>630.13580000000002</v>
      </c>
      <c r="AC43" s="90">
        <v>605.24080000000004</v>
      </c>
      <c r="AD43" s="90">
        <v>623.16520000000003</v>
      </c>
      <c r="AE43" s="90">
        <f>AVERAGE(Y43:AA43)</f>
        <v>318.11846666666662</v>
      </c>
      <c r="AF43" s="90">
        <f>STDEV(Y43:AA43)</f>
        <v>3.4971346690302454</v>
      </c>
      <c r="AG43" s="90">
        <f t="shared" si="18"/>
        <v>2.0190716425569852</v>
      </c>
      <c r="AH43" s="90">
        <f t="shared" ref="AH43" si="20">AVERAGE(AB43:AD43)</f>
        <v>619.51393333333328</v>
      </c>
      <c r="AI43" s="90">
        <f>STDEV(AB43:AD43)</f>
        <v>12.842860563493366</v>
      </c>
      <c r="AJ43" s="90">
        <f t="shared" ref="AJ43" si="21">AI43/SQRT(3)</f>
        <v>7.414829003497724</v>
      </c>
      <c r="AK43" s="94" t="s">
        <v>666</v>
      </c>
    </row>
    <row r="44" spans="3:50">
      <c r="G44" s="67"/>
      <c r="H44" s="67"/>
      <c r="I44" s="67"/>
      <c r="J44" s="67"/>
      <c r="Q44" s="67"/>
      <c r="Y44" s="67"/>
      <c r="Z44" s="67"/>
      <c r="AA44" s="67"/>
      <c r="AB44" s="67"/>
      <c r="AC44" s="67"/>
      <c r="AD44" s="67"/>
      <c r="AE44" s="67"/>
    </row>
    <row r="45" spans="3:50">
      <c r="D45" s="67"/>
      <c r="E45" s="67"/>
      <c r="F45" s="67"/>
      <c r="G45" s="67"/>
      <c r="H45" s="67"/>
      <c r="I45" s="67"/>
      <c r="J45" s="67"/>
      <c r="K45" s="67"/>
      <c r="L45" s="67"/>
      <c r="M45" s="67"/>
      <c r="N45" s="67"/>
      <c r="O45" s="67"/>
      <c r="P45" s="67"/>
      <c r="Q45" s="67"/>
      <c r="R45" s="67"/>
      <c r="S45" s="67"/>
      <c r="T45" s="67"/>
      <c r="U45" s="67"/>
      <c r="V45" s="67"/>
      <c r="W45" s="67"/>
      <c r="X45" s="67"/>
      <c r="Y45" s="67"/>
      <c r="Z45" s="67"/>
      <c r="AA45" s="67"/>
      <c r="AB45" s="67"/>
      <c r="AC45" s="67"/>
      <c r="AD45" s="67"/>
      <c r="AE45" s="67"/>
    </row>
    <row r="48" spans="3:50">
      <c r="C48" t="s">
        <v>445</v>
      </c>
      <c r="Y48" t="s">
        <v>480</v>
      </c>
    </row>
    <row r="49" spans="3:37">
      <c r="K49">
        <v>-0.16800000000000001</v>
      </c>
      <c r="R49" s="81"/>
      <c r="S49" s="81"/>
      <c r="T49" s="81"/>
      <c r="U49" t="s">
        <v>557</v>
      </c>
      <c r="X49" s="90" t="s">
        <v>572</v>
      </c>
      <c r="Y49" s="90" t="s">
        <v>483</v>
      </c>
      <c r="Z49" s="90"/>
      <c r="AA49" s="90"/>
      <c r="AB49" s="90" t="s">
        <v>484</v>
      </c>
      <c r="AC49" s="90"/>
      <c r="AD49" s="90"/>
      <c r="AE49" s="90" t="s">
        <v>663</v>
      </c>
      <c r="AF49" s="90" t="s">
        <v>396</v>
      </c>
      <c r="AG49" s="90" t="s">
        <v>664</v>
      </c>
      <c r="AH49" s="90" t="s">
        <v>663</v>
      </c>
      <c r="AI49" s="90" t="s">
        <v>396</v>
      </c>
      <c r="AJ49" s="90" t="s">
        <v>664</v>
      </c>
      <c r="AK49" s="101" t="s">
        <v>665</v>
      </c>
    </row>
    <row r="50" spans="3:37">
      <c r="C50" t="s">
        <v>459</v>
      </c>
      <c r="D50" s="76">
        <v>0.432</v>
      </c>
      <c r="E50" s="76">
        <v>0.41299999999999998</v>
      </c>
      <c r="F50" s="76">
        <v>0.42699999999999999</v>
      </c>
      <c r="G50" s="76">
        <v>0.73329999999999995</v>
      </c>
      <c r="H50" s="76">
        <v>0.79300000000000004</v>
      </c>
      <c r="I50" s="76">
        <v>0.79500000000000004</v>
      </c>
      <c r="K50" s="76">
        <v>0.26400000000000001</v>
      </c>
      <c r="L50" s="76">
        <v>0.24499999999999997</v>
      </c>
      <c r="M50" s="76">
        <v>0.25900000000000001</v>
      </c>
      <c r="N50" s="76">
        <v>0.56529999999999991</v>
      </c>
      <c r="O50" s="76">
        <v>0.625</v>
      </c>
      <c r="P50" s="76">
        <v>0.627</v>
      </c>
      <c r="R50" s="82">
        <v>18.3135184</v>
      </c>
      <c r="S50" s="82">
        <v>17.601804999999999</v>
      </c>
      <c r="T50" s="82">
        <v>18.120877400000001</v>
      </c>
      <c r="U50" s="76">
        <v>36.972882775999992</v>
      </c>
      <c r="V50" s="76">
        <v>42.316625000000002</v>
      </c>
      <c r="W50" s="76">
        <v>42.505072600000005</v>
      </c>
      <c r="X50" s="90" t="s">
        <v>459</v>
      </c>
      <c r="Y50" s="90">
        <v>91.567591999999991</v>
      </c>
      <c r="Z50" s="90">
        <v>88.009024999999994</v>
      </c>
      <c r="AA50" s="90">
        <v>90.604387000000003</v>
      </c>
      <c r="AB50" s="90">
        <v>184.86441387999997</v>
      </c>
      <c r="AC50" s="90">
        <v>211.583125</v>
      </c>
      <c r="AD50" s="90">
        <v>212.52536300000003</v>
      </c>
      <c r="AE50" s="90">
        <f>AVERAGE(Y50:AA50)</f>
        <v>90.060334666666677</v>
      </c>
      <c r="AF50" s="90">
        <f>STDEV(Y50:AA50)</f>
        <v>1.8406098118358307</v>
      </c>
      <c r="AG50" s="90">
        <f>AF50/SQRT(3)</f>
        <v>1.0626765703364833</v>
      </c>
      <c r="AH50" s="90">
        <f>AVERAGE(AB50:AD50)</f>
        <v>202.99096729333334</v>
      </c>
      <c r="AI50" s="90">
        <f>STDEV(AB50:AD50)</f>
        <v>15.705123593814264</v>
      </c>
      <c r="AJ50" s="90">
        <f>AI50/SQRT(3)</f>
        <v>9.067357334545008</v>
      </c>
      <c r="AK50" s="94">
        <v>0.16880000000000001</v>
      </c>
    </row>
    <row r="51" spans="3:37">
      <c r="C51" t="s">
        <v>460</v>
      </c>
      <c r="D51" s="76">
        <v>1.59</v>
      </c>
      <c r="E51" s="76">
        <v>1.5920000000000001</v>
      </c>
      <c r="F51" s="76">
        <v>1.526</v>
      </c>
      <c r="G51" s="76">
        <v>3.7480000000000002</v>
      </c>
      <c r="H51" s="76">
        <v>3.75</v>
      </c>
      <c r="I51" s="76">
        <v>3.6549999999999998</v>
      </c>
      <c r="K51" s="76">
        <v>1.4220000000000002</v>
      </c>
      <c r="L51" s="76">
        <v>1.4240000000000002</v>
      </c>
      <c r="M51" s="76">
        <v>1.3580000000000001</v>
      </c>
      <c r="N51" s="76">
        <v>3.58</v>
      </c>
      <c r="O51" s="76">
        <v>3.5819999999999999</v>
      </c>
      <c r="P51" s="76">
        <v>3.4869999999999997</v>
      </c>
      <c r="R51" s="76">
        <v>165.82117960000005</v>
      </c>
      <c r="S51" s="76">
        <v>166.25319040000005</v>
      </c>
      <c r="T51" s="76">
        <v>152.31954760000002</v>
      </c>
      <c r="U51" s="76">
        <v>987.42313999999999</v>
      </c>
      <c r="V51" s="76">
        <v>988.51463559999991</v>
      </c>
      <c r="W51" s="76">
        <v>937.34358859999975</v>
      </c>
      <c r="X51" s="90" t="s">
        <v>460</v>
      </c>
      <c r="Y51" s="90">
        <v>829.10589800000025</v>
      </c>
      <c r="Z51" s="90">
        <v>831.2659520000002</v>
      </c>
      <c r="AA51" s="90">
        <v>761.59773800000016</v>
      </c>
      <c r="AB51" s="90">
        <v>4937.1157000000003</v>
      </c>
      <c r="AC51" s="90">
        <v>4942.5731779999996</v>
      </c>
      <c r="AD51" s="90">
        <v>4686.7179429999987</v>
      </c>
      <c r="AE51" s="90">
        <f>AVERAGE(Y51:AA51)</f>
        <v>807.32319600000028</v>
      </c>
      <c r="AF51" s="90">
        <f>STDEV(Y51:AA51)</f>
        <v>39.614133718952566</v>
      </c>
      <c r="AG51" s="90">
        <f t="shared" ref="AG51:AG52" si="22">AF51/SQRT(3)</f>
        <v>22.871230766351097</v>
      </c>
      <c r="AH51" s="90">
        <f>AVERAGE(AB51:AD51)</f>
        <v>4855.4689403333332</v>
      </c>
      <c r="AI51" s="90">
        <f t="shared" ref="AI51" si="23">STDEV(AB51:AD51)</f>
        <v>146.16812355050718</v>
      </c>
      <c r="AJ51" s="90">
        <f>AI51/SQRT(3)</f>
        <v>84.390205478827795</v>
      </c>
      <c r="AK51" s="94" t="s">
        <v>666</v>
      </c>
    </row>
    <row r="52" spans="3:37">
      <c r="C52" t="s">
        <v>462</v>
      </c>
      <c r="D52" s="76">
        <v>0.95899999999999996</v>
      </c>
      <c r="E52" s="76">
        <v>0.91700000000000004</v>
      </c>
      <c r="F52" s="76">
        <v>0.89800000000000002</v>
      </c>
      <c r="G52" s="76">
        <v>2.9359999999999999</v>
      </c>
      <c r="H52" s="76">
        <v>2.911</v>
      </c>
      <c r="I52" s="76">
        <v>2.883</v>
      </c>
      <c r="K52" s="76">
        <v>0.79099999999999993</v>
      </c>
      <c r="L52" s="76">
        <v>0.749</v>
      </c>
      <c r="M52" s="76">
        <v>0.73</v>
      </c>
      <c r="N52" s="76">
        <v>2.7679999999999998</v>
      </c>
      <c r="O52" s="76">
        <v>2.7429999999999999</v>
      </c>
      <c r="P52" s="76">
        <v>2.7149999999999999</v>
      </c>
      <c r="R52" s="76">
        <v>60.037689399999998</v>
      </c>
      <c r="S52" s="76">
        <v>55.156155400000003</v>
      </c>
      <c r="T52" s="76">
        <v>53.036389999999997</v>
      </c>
      <c r="U52" s="76">
        <v>594.77388159999998</v>
      </c>
      <c r="V52" s="76">
        <v>584.2835965999999</v>
      </c>
      <c r="W52" s="76">
        <v>572.64785500000005</v>
      </c>
      <c r="X52" s="90" t="s">
        <v>462</v>
      </c>
      <c r="Y52" s="90">
        <v>300.188447</v>
      </c>
      <c r="Z52" s="90">
        <v>275.780777</v>
      </c>
      <c r="AA52" s="90">
        <v>265.18194999999997</v>
      </c>
      <c r="AB52" s="90">
        <v>2973.869408</v>
      </c>
      <c r="AC52" s="90">
        <v>2921.4179829999994</v>
      </c>
      <c r="AD52" s="90">
        <v>2863.2392750000004</v>
      </c>
      <c r="AE52" s="90">
        <f>AVERAGE(Y52:AA52)</f>
        <v>280.38372466666664</v>
      </c>
      <c r="AF52" s="90">
        <f>STDEV(Y52:AA52)</f>
        <v>17.951435972347912</v>
      </c>
      <c r="AG52" s="90">
        <f t="shared" si="22"/>
        <v>10.364266390975398</v>
      </c>
      <c r="AH52" s="90">
        <f t="shared" ref="AH52" si="24">AVERAGE(AB52:AD52)</f>
        <v>2919.5088886666667</v>
      </c>
      <c r="AI52" s="90">
        <f>STDEV(AB52:AD52)</f>
        <v>55.339769269301947</v>
      </c>
      <c r="AJ52" s="90">
        <f t="shared" ref="AJ52" si="25">AI52/SQRT(3)</f>
        <v>31.950430684523258</v>
      </c>
      <c r="AK52" s="94" t="s">
        <v>666</v>
      </c>
    </row>
    <row r="54" spans="3:37">
      <c r="C54" s="68"/>
      <c r="D54" s="68"/>
      <c r="E54" s="68"/>
      <c r="F54" s="67"/>
      <c r="R54" s="68"/>
      <c r="S54" s="68"/>
      <c r="T54" s="68"/>
    </row>
    <row r="55" spans="3:37">
      <c r="C55" s="68"/>
      <c r="D55" s="68"/>
      <c r="E55" s="68"/>
      <c r="F55" s="67"/>
      <c r="R55" s="68"/>
      <c r="S55" s="68"/>
      <c r="T55" s="68"/>
    </row>
    <row r="56" spans="3:37">
      <c r="R56" s="67"/>
      <c r="S56" s="67"/>
      <c r="T56" s="67"/>
    </row>
    <row r="57" spans="3:37">
      <c r="C57" s="67"/>
      <c r="D57" s="67"/>
      <c r="E57" s="67"/>
      <c r="R57" s="67"/>
      <c r="S57" s="67"/>
      <c r="T57" s="67"/>
    </row>
    <row r="58" spans="3:37">
      <c r="C58" s="67"/>
      <c r="D58" s="67"/>
      <c r="E58" s="67"/>
      <c r="R58" s="67"/>
      <c r="S58" s="67"/>
      <c r="T58" s="67"/>
    </row>
    <row r="59" spans="3:37">
      <c r="C59" s="81"/>
      <c r="D59" s="81"/>
      <c r="E59" s="81"/>
    </row>
    <row r="60" spans="3:37">
      <c r="C60" s="67"/>
      <c r="D60" s="67"/>
      <c r="E60" s="67"/>
    </row>
    <row r="61" spans="3:37">
      <c r="C61" s="67"/>
      <c r="D61" s="67"/>
      <c r="E61" s="67"/>
    </row>
    <row r="62" spans="3:37">
      <c r="C62" s="67"/>
      <c r="D62" s="67"/>
      <c r="E62" s="67"/>
    </row>
    <row r="63" spans="3:37">
      <c r="C63" s="67"/>
      <c r="D63" s="67"/>
      <c r="E63" s="67"/>
    </row>
    <row r="64" spans="3:37">
      <c r="C64" s="68"/>
      <c r="D64" s="68"/>
      <c r="E64" s="68"/>
    </row>
    <row r="65" spans="3:5">
      <c r="C65" s="68"/>
      <c r="D65" s="68"/>
      <c r="E65" s="68"/>
    </row>
    <row r="66" spans="3:5">
      <c r="C66" s="67"/>
      <c r="D66" s="67"/>
      <c r="E66" s="67"/>
    </row>
  </sheetData>
  <phoneticPr fontId="2" type="noConversion"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90C570-2D20-CA4A-8A43-91714537BEF3}">
  <dimension ref="A1:T14"/>
  <sheetViews>
    <sheetView topLeftCell="F1" workbookViewId="0">
      <selection activeCell="T8" sqref="T8"/>
    </sheetView>
  </sheetViews>
  <sheetFormatPr baseColWidth="10" defaultRowHeight="16"/>
  <sheetData>
    <row r="1" spans="1:20">
      <c r="A1" t="s">
        <v>83</v>
      </c>
    </row>
    <row r="2" spans="1:20">
      <c r="O2">
        <v>4.9493900066449124</v>
      </c>
      <c r="P2">
        <v>5.1760912590556805</v>
      </c>
      <c r="Q2">
        <v>4.8129133566428557</v>
      </c>
      <c r="R2">
        <v>4.778151250383643</v>
      </c>
    </row>
    <row r="4" spans="1:20">
      <c r="D4" t="s">
        <v>447</v>
      </c>
    </row>
    <row r="6" spans="1:20">
      <c r="E6">
        <v>1</v>
      </c>
      <c r="F6">
        <v>0.1</v>
      </c>
      <c r="J6" s="52"/>
      <c r="K6" s="52"/>
      <c r="L6" s="52"/>
      <c r="M6" s="104"/>
      <c r="N6" s="90"/>
      <c r="O6" s="90"/>
      <c r="P6" s="90"/>
      <c r="Q6" s="90" t="s">
        <v>663</v>
      </c>
      <c r="R6" s="90" t="s">
        <v>396</v>
      </c>
      <c r="S6" s="90" t="s">
        <v>664</v>
      </c>
      <c r="T6" s="101" t="s">
        <v>665</v>
      </c>
    </row>
    <row r="7" spans="1:20">
      <c r="D7" t="s">
        <v>483</v>
      </c>
      <c r="E7">
        <v>89</v>
      </c>
      <c r="F7">
        <v>15</v>
      </c>
      <c r="H7">
        <f>89*1000/1</f>
        <v>89000</v>
      </c>
      <c r="I7">
        <f>15*1000/0.1</f>
        <v>150000</v>
      </c>
      <c r="J7" s="52"/>
      <c r="K7" s="52"/>
      <c r="L7" s="52"/>
      <c r="M7" s="52"/>
      <c r="N7" s="90" t="s">
        <v>97</v>
      </c>
      <c r="O7" s="90">
        <f>LOG(H7,10)</f>
        <v>4.9493900066449124</v>
      </c>
      <c r="P7" s="90">
        <f>LOG(I7,10)</f>
        <v>5.1760912590556805</v>
      </c>
      <c r="Q7" s="90">
        <f>AVERAGE(O7:P7)</f>
        <v>5.0627406328502964</v>
      </c>
      <c r="R7" s="90">
        <f>STDEV(O7:P7)</f>
        <v>0.16030199288313729</v>
      </c>
      <c r="S7" s="90">
        <f>R7/SQRT(2)</f>
        <v>0.11335062620538405</v>
      </c>
      <c r="T7" s="90"/>
    </row>
    <row r="8" spans="1:20">
      <c r="D8" t="s">
        <v>484</v>
      </c>
      <c r="E8">
        <v>65</v>
      </c>
      <c r="F8">
        <v>6</v>
      </c>
      <c r="H8">
        <f>65*1000/1</f>
        <v>65000</v>
      </c>
      <c r="I8">
        <f>6*1000/0.1</f>
        <v>60000</v>
      </c>
      <c r="J8" s="52"/>
      <c r="K8" s="52"/>
      <c r="L8" s="52"/>
      <c r="M8" s="52"/>
      <c r="N8" s="90" t="s">
        <v>99</v>
      </c>
      <c r="O8" s="90">
        <f>LOG(H8,10)</f>
        <v>4.8129133566428557</v>
      </c>
      <c r="P8" s="90">
        <f>LOG(I8,10)</f>
        <v>4.778151250383643</v>
      </c>
      <c r="Q8" s="90">
        <f>AVERAGE(O8:P8)</f>
        <v>4.7955323035132498</v>
      </c>
      <c r="R8" s="90">
        <f>STDEV(O8:P8)</f>
        <v>2.4580521064216643E-2</v>
      </c>
      <c r="S8" s="90">
        <f>R8/SQRT(2)</f>
        <v>1.7381053129606361E-2</v>
      </c>
      <c r="T8" s="94">
        <v>0.14510000000000001</v>
      </c>
    </row>
    <row r="9" spans="1:20">
      <c r="J9" s="52"/>
      <c r="K9" s="52"/>
      <c r="L9" s="52"/>
      <c r="M9" s="52"/>
      <c r="N9" s="90"/>
      <c r="O9" s="90"/>
      <c r="P9" s="90"/>
      <c r="Q9" s="90"/>
      <c r="R9" s="90"/>
      <c r="S9" s="90"/>
      <c r="T9" s="90"/>
    </row>
    <row r="10" spans="1:20">
      <c r="D10" t="s">
        <v>476</v>
      </c>
      <c r="J10" s="52"/>
      <c r="K10" s="52"/>
      <c r="L10" s="52"/>
      <c r="M10" s="52"/>
      <c r="N10" s="90"/>
      <c r="O10" s="90"/>
      <c r="P10" s="90"/>
      <c r="Q10" s="90"/>
      <c r="R10" s="90"/>
      <c r="S10" s="90"/>
      <c r="T10" s="90"/>
    </row>
    <row r="11" spans="1:20">
      <c r="E11">
        <v>1</v>
      </c>
      <c r="F11">
        <v>0.1</v>
      </c>
      <c r="J11" s="52"/>
      <c r="K11" s="52"/>
      <c r="L11" s="52"/>
      <c r="M11" s="104"/>
      <c r="N11" s="90"/>
      <c r="O11" s="90"/>
      <c r="P11" s="90"/>
      <c r="Q11" s="90" t="s">
        <v>663</v>
      </c>
      <c r="R11" s="90" t="s">
        <v>396</v>
      </c>
      <c r="S11" s="90" t="s">
        <v>664</v>
      </c>
      <c r="T11" s="101" t="s">
        <v>665</v>
      </c>
    </row>
    <row r="12" spans="1:20">
      <c r="D12" t="s">
        <v>24</v>
      </c>
      <c r="E12">
        <v>125</v>
      </c>
      <c r="F12">
        <v>15</v>
      </c>
      <c r="H12">
        <v>125000</v>
      </c>
      <c r="I12">
        <v>150000</v>
      </c>
      <c r="J12" s="52"/>
      <c r="K12" s="52"/>
      <c r="L12" s="52"/>
      <c r="M12" s="52"/>
      <c r="N12" s="90" t="s">
        <v>97</v>
      </c>
      <c r="O12" s="90">
        <v>5.0969100130080554</v>
      </c>
      <c r="P12" s="90">
        <v>5.1760912590556805</v>
      </c>
      <c r="Q12" s="90">
        <f>AVERAGE(O12:P12)</f>
        <v>5.1365006360318679</v>
      </c>
      <c r="R12" s="90">
        <f>STDEV(O12:P12)</f>
        <v>5.5989596023076231E-2</v>
      </c>
      <c r="S12" s="90">
        <f>R12/SQRT(2)</f>
        <v>3.9590623023812554E-2</v>
      </c>
      <c r="T12" s="90"/>
    </row>
    <row r="13" spans="1:20">
      <c r="D13" t="s">
        <v>479</v>
      </c>
      <c r="E13">
        <v>37</v>
      </c>
      <c r="F13">
        <v>4</v>
      </c>
      <c r="H13">
        <v>37000</v>
      </c>
      <c r="I13">
        <v>40000</v>
      </c>
      <c r="J13" s="52"/>
      <c r="K13" s="52"/>
      <c r="L13" s="52"/>
      <c r="M13" s="52"/>
      <c r="N13" s="90" t="s">
        <v>99</v>
      </c>
      <c r="O13" s="90">
        <v>4.5682017240669941</v>
      </c>
      <c r="P13" s="90">
        <v>4.6020599913279616</v>
      </c>
      <c r="Q13" s="90">
        <f>AVERAGE(O13:P13)</f>
        <v>4.5851308576974779</v>
      </c>
      <c r="R13" s="90">
        <f>STDEV(O13:P13)</f>
        <v>2.3941410379456608E-2</v>
      </c>
      <c r="S13" s="90">
        <f>R13/SQRT(2)</f>
        <v>1.6929133630483761E-2</v>
      </c>
      <c r="T13" s="94">
        <v>6.0000000000000001E-3</v>
      </c>
    </row>
    <row r="14" spans="1:20">
      <c r="N14" s="90"/>
      <c r="O14" s="90"/>
      <c r="P14" s="90"/>
      <c r="Q14" s="90"/>
      <c r="R14" s="90"/>
      <c r="S14" s="90"/>
      <c r="T14" s="90"/>
    </row>
  </sheetData>
  <phoneticPr fontId="2" type="noConversion"/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EB5162-89CF-F044-94C6-6E6FCBB25376}">
  <dimension ref="A1:AC40"/>
  <sheetViews>
    <sheetView topLeftCell="M12" zoomScale="86" workbookViewId="0">
      <selection activeCell="X37" sqref="X37:AA39"/>
    </sheetView>
  </sheetViews>
  <sheetFormatPr baseColWidth="10" defaultRowHeight="16"/>
  <sheetData>
    <row r="1" spans="1:28">
      <c r="A1" t="s">
        <v>84</v>
      </c>
    </row>
    <row r="3" spans="1:28">
      <c r="C3" s="83" t="s">
        <v>571</v>
      </c>
      <c r="D3">
        <v>0</v>
      </c>
      <c r="E3">
        <v>0.18033333333333332</v>
      </c>
      <c r="F3">
        <v>0.33133333333333337</v>
      </c>
      <c r="G3">
        <v>0.54999999999999993</v>
      </c>
      <c r="H3">
        <v>1.0336666666666667</v>
      </c>
      <c r="I3">
        <v>1.8149999999999999</v>
      </c>
      <c r="W3">
        <v>88.187599999999975</v>
      </c>
      <c r="X3">
        <v>68.119399999999956</v>
      </c>
      <c r="Y3">
        <v>72.578999999999951</v>
      </c>
      <c r="Z3">
        <v>175.14979999999994</v>
      </c>
      <c r="AA3">
        <v>161.77099999999996</v>
      </c>
      <c r="AB3">
        <v>155.08159999999992</v>
      </c>
    </row>
    <row r="4" spans="1:28">
      <c r="D4">
        <v>0</v>
      </c>
      <c r="E4">
        <v>25</v>
      </c>
      <c r="F4" s="84">
        <v>50</v>
      </c>
      <c r="G4" s="84">
        <v>100</v>
      </c>
      <c r="H4" s="84">
        <v>200</v>
      </c>
      <c r="I4">
        <v>400</v>
      </c>
    </row>
    <row r="5" spans="1:28">
      <c r="B5" t="s">
        <v>76</v>
      </c>
    </row>
    <row r="6" spans="1:28">
      <c r="U6" t="s">
        <v>480</v>
      </c>
    </row>
    <row r="7" spans="1:28">
      <c r="R7" s="29"/>
      <c r="S7" s="29"/>
      <c r="T7" s="29"/>
    </row>
    <row r="8" spans="1:28">
      <c r="R8" s="29"/>
      <c r="S8" s="29"/>
      <c r="T8" s="29"/>
      <c r="U8" t="s">
        <v>568</v>
      </c>
      <c r="X8" s="90" t="s">
        <v>663</v>
      </c>
      <c r="Y8" s="90" t="s">
        <v>396</v>
      </c>
      <c r="Z8" s="90" t="s">
        <v>664</v>
      </c>
      <c r="AA8" s="101" t="s">
        <v>665</v>
      </c>
    </row>
    <row r="9" spans="1:28">
      <c r="J9" s="26" t="s">
        <v>569</v>
      </c>
      <c r="K9" s="43">
        <v>0.26300000000000001</v>
      </c>
      <c r="L9" s="43">
        <v>0.254</v>
      </c>
      <c r="M9" s="43">
        <v>0.25600000000000001</v>
      </c>
      <c r="N9" s="26" t="s">
        <v>569</v>
      </c>
      <c r="O9" s="43">
        <v>0.112</v>
      </c>
      <c r="P9" s="43">
        <v>0.10299999999999999</v>
      </c>
      <c r="Q9" s="43">
        <v>0.105</v>
      </c>
      <c r="R9" s="29">
        <f t="shared" ref="R9:T10" si="0">O9*222.98-16.155</f>
        <v>8.8187599999999975</v>
      </c>
      <c r="S9" s="29">
        <f t="shared" si="0"/>
        <v>6.8119399999999963</v>
      </c>
      <c r="T9" s="29">
        <f t="shared" si="0"/>
        <v>7.2578999999999958</v>
      </c>
      <c r="U9">
        <f t="shared" ref="U9:W10" si="1">R9*10</f>
        <v>88.187599999999975</v>
      </c>
      <c r="V9">
        <f t="shared" si="1"/>
        <v>68.119399999999956</v>
      </c>
      <c r="W9">
        <f t="shared" si="1"/>
        <v>72.578999999999951</v>
      </c>
      <c r="X9" s="90">
        <f>AVERAGE(V9:W9)</f>
        <v>70.349199999999954</v>
      </c>
      <c r="Y9" s="90">
        <f>STDEV(V9:W9)</f>
        <v>3.1534134013795234</v>
      </c>
      <c r="Z9" s="90">
        <f>Y9/SQRT(2)</f>
        <v>2.2297999999999969</v>
      </c>
      <c r="AA9" s="90"/>
    </row>
    <row r="10" spans="1:28">
      <c r="J10" s="26" t="s">
        <v>570</v>
      </c>
      <c r="K10" s="43">
        <v>0.30199999999999999</v>
      </c>
      <c r="L10" s="43">
        <v>0.29599999999999999</v>
      </c>
      <c r="M10" s="43">
        <v>0.29299999999999998</v>
      </c>
      <c r="N10" s="26" t="s">
        <v>570</v>
      </c>
      <c r="O10" s="43">
        <v>0.151</v>
      </c>
      <c r="P10" s="43">
        <v>0.14499999999999999</v>
      </c>
      <c r="Q10" s="43">
        <v>0.14199999999999999</v>
      </c>
      <c r="R10" s="29">
        <f t="shared" si="0"/>
        <v>17.514979999999994</v>
      </c>
      <c r="S10" s="29">
        <f t="shared" si="0"/>
        <v>16.177099999999996</v>
      </c>
      <c r="T10" s="29">
        <f t="shared" si="0"/>
        <v>15.508159999999993</v>
      </c>
      <c r="U10">
        <f t="shared" si="1"/>
        <v>175.14979999999994</v>
      </c>
      <c r="V10">
        <f t="shared" si="1"/>
        <v>161.77099999999996</v>
      </c>
      <c r="W10">
        <f t="shared" si="1"/>
        <v>155.08159999999992</v>
      </c>
      <c r="X10" s="90">
        <f>AVERAGE(V10:W10)</f>
        <v>158.42629999999994</v>
      </c>
      <c r="Y10" s="90">
        <f>STDEV(V10:W10)</f>
        <v>4.7301201020693151</v>
      </c>
      <c r="Z10" s="90">
        <f>Y10/SQRT(2)</f>
        <v>3.3447000000000169</v>
      </c>
      <c r="AA10" s="16">
        <v>5.0000000000000001E-4</v>
      </c>
    </row>
    <row r="13" spans="1:28">
      <c r="S13" s="90"/>
      <c r="T13" s="90"/>
      <c r="U13" s="90"/>
      <c r="V13" s="90"/>
      <c r="W13" s="90"/>
      <c r="X13" s="90"/>
      <c r="Y13" s="90"/>
      <c r="Z13" s="90"/>
      <c r="AA13" s="90"/>
    </row>
    <row r="14" spans="1:28">
      <c r="S14" s="90" t="s">
        <v>571</v>
      </c>
      <c r="T14" s="90"/>
      <c r="U14" s="90"/>
      <c r="V14" s="90"/>
      <c r="W14" s="90"/>
      <c r="X14" s="90" t="s">
        <v>663</v>
      </c>
      <c r="Y14" s="90" t="s">
        <v>396</v>
      </c>
      <c r="Z14" s="90" t="s">
        <v>664</v>
      </c>
      <c r="AA14" s="101" t="s">
        <v>665</v>
      </c>
    </row>
    <row r="15" spans="1:28">
      <c r="S15" s="90"/>
      <c r="T15" s="90" t="s">
        <v>97</v>
      </c>
      <c r="U15" s="90">
        <v>88.187599999999975</v>
      </c>
      <c r="V15" s="90">
        <v>68.119399999999956</v>
      </c>
      <c r="W15" s="90">
        <v>72.578999999999951</v>
      </c>
      <c r="X15" s="90">
        <f>AVERAGE(V15:W15)</f>
        <v>70.349199999999954</v>
      </c>
      <c r="Y15" s="90">
        <f>STDEV(V15:W15)</f>
        <v>3.1534134013795234</v>
      </c>
      <c r="Z15" s="90">
        <f>Y15/SQRT(2)</f>
        <v>2.2297999999999969</v>
      </c>
      <c r="AA15" s="90"/>
    </row>
    <row r="16" spans="1:28">
      <c r="S16" s="90"/>
      <c r="T16" s="90" t="s">
        <v>99</v>
      </c>
      <c r="U16" s="90">
        <v>175.14979999999994</v>
      </c>
      <c r="V16" s="90">
        <v>161.77099999999996</v>
      </c>
      <c r="W16" s="90">
        <v>155.08159999999992</v>
      </c>
      <c r="X16" s="90">
        <f>AVERAGE(V16:W16)</f>
        <v>158.42629999999994</v>
      </c>
      <c r="Y16" s="90">
        <f>STDEV(V16:W16)</f>
        <v>4.7301201020693151</v>
      </c>
      <c r="Z16" s="90">
        <f>Y16/SQRT(2)</f>
        <v>3.3447000000000169</v>
      </c>
      <c r="AA16" s="94">
        <v>5.0000000000000001E-4</v>
      </c>
    </row>
    <row r="23" spans="3:29">
      <c r="C23" s="83" t="s">
        <v>572</v>
      </c>
    </row>
    <row r="28" spans="3:29">
      <c r="C28" t="s">
        <v>76</v>
      </c>
      <c r="D28">
        <v>0</v>
      </c>
      <c r="E28">
        <v>7.833333333333331E-2</v>
      </c>
      <c r="F28">
        <v>0.23866666666666667</v>
      </c>
      <c r="G28">
        <v>0.53566666666666651</v>
      </c>
      <c r="H28">
        <v>0.97066666666666668</v>
      </c>
      <c r="I28">
        <v>1.6566666666666667</v>
      </c>
      <c r="J28">
        <v>2.4499999999999997</v>
      </c>
    </row>
    <row r="29" spans="3:29">
      <c r="D29">
        <v>0</v>
      </c>
      <c r="E29" s="84">
        <v>15.625</v>
      </c>
      <c r="F29" s="84">
        <v>31.25</v>
      </c>
      <c r="G29" s="84">
        <v>62.5</v>
      </c>
      <c r="H29" s="84">
        <v>125</v>
      </c>
      <c r="I29">
        <v>250</v>
      </c>
      <c r="J29">
        <v>500</v>
      </c>
    </row>
    <row r="31" spans="3:29">
      <c r="W31" s="28"/>
      <c r="X31" s="28"/>
      <c r="Y31" s="28"/>
      <c r="Z31" s="28"/>
      <c r="AA31" t="s">
        <v>568</v>
      </c>
    </row>
    <row r="32" spans="3:29">
      <c r="K32" s="85" t="s">
        <v>573</v>
      </c>
      <c r="L32" s="43">
        <v>0.72</v>
      </c>
      <c r="M32" s="44">
        <v>0.754</v>
      </c>
      <c r="N32" s="44">
        <v>0.74399999999999999</v>
      </c>
      <c r="P32" s="43">
        <v>0.72</v>
      </c>
      <c r="Q32" s="44">
        <v>0.754</v>
      </c>
      <c r="R32" s="44">
        <v>0.74399999999999999</v>
      </c>
      <c r="S32" s="85" t="s">
        <v>573</v>
      </c>
      <c r="T32">
        <f t="shared" ref="T32:V33" si="2">P32-0.168</f>
        <v>0.55199999999999994</v>
      </c>
      <c r="U32">
        <f t="shared" si="2"/>
        <v>0.58599999999999997</v>
      </c>
      <c r="V32">
        <f t="shared" si="2"/>
        <v>0.57599999999999996</v>
      </c>
      <c r="W32" s="28">
        <f t="shared" ref="W32:Y33" si="3">57.409*T32*P32+57.732*P32+9.3818</f>
        <v>73.765472959999997</v>
      </c>
      <c r="X32" s="28">
        <f t="shared" si="3"/>
        <v>78.277550195999993</v>
      </c>
      <c r="Y32" s="28">
        <f t="shared" si="3"/>
        <v>76.936690495999997</v>
      </c>
      <c r="Z32" s="28"/>
      <c r="AA32">
        <f t="shared" ref="AA32:AC33" si="4">W32*10</f>
        <v>737.6547296</v>
      </c>
      <c r="AB32">
        <f t="shared" si="4"/>
        <v>782.77550195999993</v>
      </c>
      <c r="AC32">
        <f t="shared" si="4"/>
        <v>769.36690495999994</v>
      </c>
    </row>
    <row r="33" spans="11:29">
      <c r="K33" s="85" t="s">
        <v>574</v>
      </c>
      <c r="L33" s="43">
        <v>1.4219999999999999</v>
      </c>
      <c r="M33" s="44">
        <v>1.421</v>
      </c>
      <c r="N33" s="44">
        <v>1.377</v>
      </c>
      <c r="P33" s="43">
        <v>1.4219999999999999</v>
      </c>
      <c r="Q33" s="44">
        <v>1.421</v>
      </c>
      <c r="R33" s="44">
        <v>1.377</v>
      </c>
      <c r="S33" s="85" t="s">
        <v>574</v>
      </c>
      <c r="T33">
        <f t="shared" si="2"/>
        <v>1.254</v>
      </c>
      <c r="U33">
        <f t="shared" si="2"/>
        <v>1.2530000000000001</v>
      </c>
      <c r="V33">
        <f t="shared" si="2"/>
        <v>1.2090000000000001</v>
      </c>
      <c r="W33" s="28">
        <f t="shared" si="3"/>
        <v>193.84774389199998</v>
      </c>
      <c r="X33" s="28">
        <f t="shared" si="3"/>
        <v>193.63644281700002</v>
      </c>
      <c r="Y33" s="28">
        <f t="shared" si="3"/>
        <v>184.45286533699999</v>
      </c>
      <c r="Z33" s="28"/>
      <c r="AA33">
        <f t="shared" si="4"/>
        <v>1938.4774389199997</v>
      </c>
      <c r="AB33">
        <f t="shared" si="4"/>
        <v>1936.3644281700001</v>
      </c>
      <c r="AC33">
        <f t="shared" si="4"/>
        <v>1844.52865337</v>
      </c>
    </row>
    <row r="35" spans="11:29">
      <c r="U35">
        <v>737.6547296</v>
      </c>
      <c r="V35">
        <v>782.77550195999993</v>
      </c>
      <c r="W35">
        <v>769.36690495999994</v>
      </c>
      <c r="X35">
        <v>1938.4774389199997</v>
      </c>
      <c r="Y35">
        <v>1936.3644281700001</v>
      </c>
      <c r="Z35">
        <v>1844.52865337</v>
      </c>
    </row>
    <row r="37" spans="11:29">
      <c r="S37" s="90" t="s">
        <v>572</v>
      </c>
      <c r="T37" s="90"/>
      <c r="U37" s="90"/>
      <c r="V37" s="90"/>
      <c r="W37" s="90"/>
      <c r="X37" s="90" t="s">
        <v>663</v>
      </c>
      <c r="Y37" s="90" t="s">
        <v>396</v>
      </c>
      <c r="Z37" s="90" t="s">
        <v>664</v>
      </c>
      <c r="AA37" s="101" t="s">
        <v>665</v>
      </c>
    </row>
    <row r="38" spans="11:29">
      <c r="S38" s="90"/>
      <c r="T38" s="90" t="s">
        <v>97</v>
      </c>
      <c r="U38" s="90">
        <v>737.6547296</v>
      </c>
      <c r="V38" s="90">
        <v>782.77550195999993</v>
      </c>
      <c r="W38" s="90">
        <v>769.36690495999994</v>
      </c>
      <c r="X38" s="90">
        <f>AVERAGE(V38:W38)</f>
        <v>776.07120345999988</v>
      </c>
      <c r="Y38" s="90">
        <f>STDEV(V38:W38)</f>
        <v>9.4813098648975878</v>
      </c>
      <c r="Z38" s="90">
        <f>Y38/SQRT(2)</f>
        <v>6.7042984999999922</v>
      </c>
      <c r="AA38" s="90"/>
    </row>
    <row r="39" spans="11:29">
      <c r="S39" s="90"/>
      <c r="T39" s="90" t="s">
        <v>99</v>
      </c>
      <c r="U39" s="90">
        <v>1938.4774389199997</v>
      </c>
      <c r="V39" s="90">
        <v>1936.3644281700001</v>
      </c>
      <c r="W39" s="90">
        <v>1844.52865337</v>
      </c>
      <c r="X39" s="90">
        <f>AVERAGE(V39:W39)</f>
        <v>1890.44654077</v>
      </c>
      <c r="Y39" s="90">
        <f>STDEV(V39:W39)</f>
        <v>64.937699116600712</v>
      </c>
      <c r="Z39" s="90">
        <f>Y39/SQRT(2)</f>
        <v>45.917887400000033</v>
      </c>
      <c r="AA39" s="94" t="s">
        <v>666</v>
      </c>
    </row>
    <row r="40" spans="11:29">
      <c r="S40" s="90"/>
      <c r="T40" s="90"/>
      <c r="U40" s="90"/>
      <c r="V40" s="90"/>
      <c r="W40" s="90"/>
      <c r="X40" s="90"/>
      <c r="Y40" s="90"/>
      <c r="Z40" s="90"/>
      <c r="AA40" s="90"/>
    </row>
  </sheetData>
  <phoneticPr fontId="2" type="noConversion"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841CE9-202D-344C-9E40-07198FB39801}">
  <dimension ref="A1:AA21"/>
  <sheetViews>
    <sheetView topLeftCell="G1" workbookViewId="0">
      <selection activeCell="T21" sqref="T21"/>
    </sheetView>
  </sheetViews>
  <sheetFormatPr baseColWidth="10" defaultRowHeight="16"/>
  <sheetData>
    <row r="1" spans="1:27">
      <c r="A1" t="s">
        <v>85</v>
      </c>
    </row>
    <row r="3" spans="1:27">
      <c r="C3" t="s">
        <v>494</v>
      </c>
      <c r="D3" t="s">
        <v>495</v>
      </c>
      <c r="E3" t="s">
        <v>496</v>
      </c>
      <c r="F3" t="s">
        <v>497</v>
      </c>
    </row>
    <row r="4" spans="1:27">
      <c r="B4" s="115" t="s">
        <v>449</v>
      </c>
      <c r="E4">
        <v>75</v>
      </c>
      <c r="F4">
        <v>6</v>
      </c>
      <c r="I4" s="34"/>
      <c r="J4" t="s">
        <v>483</v>
      </c>
      <c r="K4">
        <v>1350000</v>
      </c>
      <c r="L4">
        <f t="shared" ref="L4:L15" si="0">LOG10(K4)</f>
        <v>6.1303337684950066</v>
      </c>
      <c r="N4" s="34">
        <v>6.1303337684950101</v>
      </c>
    </row>
    <row r="5" spans="1:27">
      <c r="B5" s="115"/>
      <c r="C5">
        <v>196</v>
      </c>
      <c r="D5">
        <v>35</v>
      </c>
      <c r="E5">
        <v>5</v>
      </c>
      <c r="K5">
        <v>70000</v>
      </c>
      <c r="L5">
        <f t="shared" si="0"/>
        <v>4.8450980400142569</v>
      </c>
      <c r="N5" s="34">
        <v>4.8450980400142569</v>
      </c>
      <c r="P5">
        <v>6.1303337684950101</v>
      </c>
      <c r="Q5">
        <v>4.8450980400142569</v>
      </c>
      <c r="R5">
        <v>4.8388490907372557</v>
      </c>
      <c r="S5">
        <v>4.4913616938342731</v>
      </c>
      <c r="T5">
        <v>4.3010299956639813</v>
      </c>
      <c r="U5">
        <v>5.1553360374650614</v>
      </c>
      <c r="V5">
        <v>4.3979400086720375</v>
      </c>
      <c r="W5">
        <v>4.0413926851582254</v>
      </c>
      <c r="X5">
        <v>2.6020599913279625</v>
      </c>
      <c r="Y5">
        <v>4.1139433523068369</v>
      </c>
      <c r="Z5">
        <v>5.4941545940184424</v>
      </c>
      <c r="AA5">
        <v>4.4149733479708182</v>
      </c>
    </row>
    <row r="6" spans="1:27">
      <c r="B6" s="115"/>
      <c r="C6">
        <v>253</v>
      </c>
      <c r="D6">
        <v>27</v>
      </c>
      <c r="E6">
        <v>5</v>
      </c>
      <c r="K6">
        <v>69000</v>
      </c>
      <c r="L6">
        <f t="shared" si="0"/>
        <v>4.8388490907372557</v>
      </c>
      <c r="N6" s="34">
        <v>4.8388490907372557</v>
      </c>
    </row>
    <row r="7" spans="1:27">
      <c r="B7" s="115"/>
      <c r="C7">
        <v>171</v>
      </c>
      <c r="D7">
        <v>19</v>
      </c>
      <c r="E7">
        <v>1</v>
      </c>
      <c r="K7">
        <v>31000</v>
      </c>
      <c r="L7">
        <f t="shared" si="0"/>
        <v>4.4913616938342731</v>
      </c>
      <c r="N7" s="34">
        <v>4.4913616938342731</v>
      </c>
    </row>
    <row r="8" spans="1:27">
      <c r="B8" s="115"/>
      <c r="C8">
        <v>108</v>
      </c>
      <c r="D8">
        <v>8</v>
      </c>
      <c r="E8">
        <v>1</v>
      </c>
      <c r="K8">
        <v>20000</v>
      </c>
      <c r="L8">
        <f t="shared" si="0"/>
        <v>4.3010299956639813</v>
      </c>
      <c r="N8" s="34">
        <v>4.3010299956639813</v>
      </c>
    </row>
    <row r="9" spans="1:27">
      <c r="B9" s="115"/>
      <c r="D9">
        <v>93</v>
      </c>
      <c r="E9">
        <v>5</v>
      </c>
      <c r="K9">
        <v>143000</v>
      </c>
      <c r="L9">
        <f t="shared" si="0"/>
        <v>5.1553360374650614</v>
      </c>
      <c r="N9" s="34">
        <v>5.1553360374650614</v>
      </c>
    </row>
    <row r="10" spans="1:27">
      <c r="B10" s="115" t="s">
        <v>450</v>
      </c>
      <c r="C10">
        <v>114</v>
      </c>
      <c r="D10">
        <v>14</v>
      </c>
      <c r="J10" t="s">
        <v>484</v>
      </c>
      <c r="K10">
        <v>25000</v>
      </c>
      <c r="L10">
        <f t="shared" si="0"/>
        <v>4.3979400086720375</v>
      </c>
      <c r="N10" s="34">
        <v>4.3979400086720375</v>
      </c>
    </row>
    <row r="11" spans="1:27">
      <c r="B11" s="115"/>
      <c r="C11">
        <v>46</v>
      </c>
      <c r="D11">
        <v>7</v>
      </c>
      <c r="K11">
        <v>11000</v>
      </c>
      <c r="L11">
        <f t="shared" si="0"/>
        <v>4.0413926851582254</v>
      </c>
      <c r="N11" s="34">
        <v>4.0413926851582254</v>
      </c>
    </row>
    <row r="12" spans="1:27">
      <c r="B12" s="115"/>
      <c r="C12">
        <v>2</v>
      </c>
      <c r="K12">
        <v>400</v>
      </c>
      <c r="L12">
        <f t="shared" si="0"/>
        <v>2.6020599913279625</v>
      </c>
      <c r="N12" s="34">
        <v>2.6020599913279625</v>
      </c>
    </row>
    <row r="13" spans="1:27">
      <c r="B13" s="115"/>
      <c r="C13">
        <v>70</v>
      </c>
      <c r="D13">
        <v>6</v>
      </c>
      <c r="K13">
        <v>13000</v>
      </c>
      <c r="L13">
        <f t="shared" si="0"/>
        <v>4.1139433523068369</v>
      </c>
      <c r="N13" s="34">
        <v>4.1139433523068369</v>
      </c>
    </row>
    <row r="14" spans="1:27">
      <c r="B14" s="115"/>
      <c r="D14">
        <v>152</v>
      </c>
      <c r="E14">
        <v>16</v>
      </c>
      <c r="K14">
        <v>312000</v>
      </c>
      <c r="L14">
        <f t="shared" si="0"/>
        <v>5.4941545940184424</v>
      </c>
      <c r="N14" s="34">
        <v>5.4941545940184424</v>
      </c>
    </row>
    <row r="15" spans="1:27">
      <c r="B15" s="115"/>
      <c r="C15">
        <v>141</v>
      </c>
      <c r="D15">
        <v>16</v>
      </c>
      <c r="E15">
        <v>1</v>
      </c>
      <c r="K15">
        <v>26000</v>
      </c>
      <c r="L15">
        <f t="shared" si="0"/>
        <v>4.4149733479708182</v>
      </c>
      <c r="N15" s="34">
        <v>4.4149733479708182</v>
      </c>
    </row>
    <row r="19" spans="10:20">
      <c r="J19" s="90"/>
      <c r="K19" s="90"/>
      <c r="L19" s="90"/>
      <c r="M19" s="90"/>
      <c r="N19" s="90"/>
      <c r="O19" s="90"/>
      <c r="P19" s="90"/>
      <c r="Q19" s="90" t="s">
        <v>663</v>
      </c>
      <c r="R19" s="90" t="s">
        <v>396</v>
      </c>
      <c r="S19" s="90" t="s">
        <v>664</v>
      </c>
      <c r="T19" s="101" t="s">
        <v>665</v>
      </c>
    </row>
    <row r="20" spans="10:20">
      <c r="J20" s="90" t="s">
        <v>97</v>
      </c>
      <c r="K20" s="90">
        <v>6.1303337684950101</v>
      </c>
      <c r="L20" s="90">
        <v>4.8450980400142569</v>
      </c>
      <c r="M20" s="90">
        <v>4.8388490907372557</v>
      </c>
      <c r="N20" s="90">
        <v>4.4913616938342731</v>
      </c>
      <c r="O20" s="90">
        <v>4.3010299956639813</v>
      </c>
      <c r="P20" s="90">
        <v>5.1553360374650614</v>
      </c>
      <c r="Q20" s="90">
        <f>AVERAGE(K20:P20)</f>
        <v>4.9603347710349732</v>
      </c>
      <c r="R20" s="90">
        <f>STDEV(K20:P20)</f>
        <v>0.64646422277286719</v>
      </c>
      <c r="S20" s="90">
        <f>R20/SQRT(6)</f>
        <v>0.26391791379307294</v>
      </c>
      <c r="T20" s="90"/>
    </row>
    <row r="21" spans="10:20">
      <c r="J21" s="90" t="s">
        <v>99</v>
      </c>
      <c r="K21" s="90">
        <v>4.3979400086720375</v>
      </c>
      <c r="L21" s="90">
        <v>4.0413926851582254</v>
      </c>
      <c r="M21" s="90">
        <v>2.6020599913279625</v>
      </c>
      <c r="N21" s="90">
        <v>4.1139433523068369</v>
      </c>
      <c r="O21" s="90">
        <v>5.4941545940184424</v>
      </c>
      <c r="P21" s="90">
        <v>4.4149733479708182</v>
      </c>
      <c r="Q21" s="90">
        <f>AVERAGE(K21:P21)</f>
        <v>4.1774106632423873</v>
      </c>
      <c r="R21" s="90">
        <f>STDEV(K21:P21)</f>
        <v>0.93200241738176914</v>
      </c>
      <c r="S21" s="90">
        <f>R21/SQRT(6)</f>
        <v>0.38048839360429504</v>
      </c>
      <c r="T21" s="94">
        <v>1.2E-2</v>
      </c>
    </row>
  </sheetData>
  <mergeCells count="2">
    <mergeCell ref="B4:B9"/>
    <mergeCell ref="B10:B15"/>
  </mergeCells>
  <phoneticPr fontId="2" type="noConversion"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81524E-AEF4-3C4C-AB08-41D6224733BA}">
  <dimension ref="A1:W38"/>
  <sheetViews>
    <sheetView topLeftCell="J11" zoomScale="75" workbookViewId="0">
      <selection activeCell="Q18" sqref="Q18:W24"/>
    </sheetView>
  </sheetViews>
  <sheetFormatPr baseColWidth="10" defaultRowHeight="16"/>
  <sheetData>
    <row r="1" spans="1:11">
      <c r="A1" t="s">
        <v>86</v>
      </c>
    </row>
    <row r="3" spans="1:11">
      <c r="B3" s="115" t="s">
        <v>403</v>
      </c>
      <c r="C3" s="1">
        <v>564562</v>
      </c>
      <c r="D3" s="1">
        <v>11541126</v>
      </c>
      <c r="E3" s="1">
        <f>C3/D3</f>
        <v>4.8917410658197477E-2</v>
      </c>
      <c r="G3">
        <f>E3/0.0450486441900578</f>
        <v>1.0858797537128433</v>
      </c>
    </row>
    <row r="4" spans="1:11">
      <c r="B4" s="115"/>
      <c r="C4" s="1">
        <v>576039</v>
      </c>
      <c r="D4" s="1">
        <v>12875789</v>
      </c>
      <c r="E4" s="1">
        <f t="shared" ref="E4:E38" si="0">C4/D4</f>
        <v>4.4738151580458484E-2</v>
      </c>
      <c r="F4">
        <v>4.5048644190057802E-2</v>
      </c>
      <c r="G4">
        <f t="shared" ref="G4:G38" si="1">E4/0.0450486441900578</f>
        <v>0.99310761477549991</v>
      </c>
    </row>
    <row r="5" spans="1:11">
      <c r="B5" s="115"/>
      <c r="C5" s="1">
        <v>572701</v>
      </c>
      <c r="D5" s="1">
        <v>13803227</v>
      </c>
      <c r="E5" s="1">
        <f t="shared" si="0"/>
        <v>4.1490370331517402E-2</v>
      </c>
      <c r="F5">
        <f>AVERAGE(E3:E5)</f>
        <v>4.5048644190057781E-2</v>
      </c>
      <c r="G5">
        <f t="shared" si="1"/>
        <v>0.9210126315116558</v>
      </c>
    </row>
    <row r="6" spans="1:11">
      <c r="B6" s="115" t="s">
        <v>404</v>
      </c>
      <c r="C6" s="1">
        <v>373206</v>
      </c>
      <c r="D6" s="1">
        <v>27390434</v>
      </c>
      <c r="E6" s="1">
        <f t="shared" si="0"/>
        <v>1.3625413894500539E-2</v>
      </c>
      <c r="G6">
        <f t="shared" si="1"/>
        <v>0.30246002159389418</v>
      </c>
    </row>
    <row r="7" spans="1:11">
      <c r="B7" s="115"/>
      <c r="C7" s="1">
        <v>376166</v>
      </c>
      <c r="D7" s="1">
        <v>27402938</v>
      </c>
      <c r="E7" s="1">
        <f t="shared" si="0"/>
        <v>1.3727214213308078E-2</v>
      </c>
      <c r="G7">
        <f t="shared" si="1"/>
        <v>0.30471980811217536</v>
      </c>
    </row>
    <row r="8" spans="1:11">
      <c r="B8" s="115"/>
      <c r="C8" s="1">
        <v>331899</v>
      </c>
      <c r="D8" s="1">
        <v>24766816</v>
      </c>
      <c r="E8" s="1">
        <f t="shared" si="0"/>
        <v>1.3400955536634181E-2</v>
      </c>
      <c r="G8">
        <f t="shared" si="1"/>
        <v>0.29747744416227651</v>
      </c>
    </row>
    <row r="9" spans="1:11">
      <c r="B9" s="115" t="s">
        <v>405</v>
      </c>
      <c r="C9" s="1">
        <v>4030093</v>
      </c>
      <c r="D9" s="1">
        <v>4486357</v>
      </c>
      <c r="E9" s="1">
        <f t="shared" si="0"/>
        <v>0.89829966719099708</v>
      </c>
      <c r="F9" s="1"/>
      <c r="G9">
        <f t="shared" si="1"/>
        <v>19.940659332634279</v>
      </c>
      <c r="H9" s="1"/>
      <c r="I9" s="1"/>
      <c r="J9" s="1"/>
      <c r="K9" s="1"/>
    </row>
    <row r="10" spans="1:11">
      <c r="B10" s="115"/>
      <c r="C10" s="1">
        <v>3870870</v>
      </c>
      <c r="D10" s="1">
        <v>4415952</v>
      </c>
      <c r="E10" s="1">
        <f t="shared" si="0"/>
        <v>0.87656523440472178</v>
      </c>
      <c r="F10" s="1"/>
      <c r="G10">
        <f t="shared" si="1"/>
        <v>19.458193474292816</v>
      </c>
      <c r="H10" s="1"/>
      <c r="I10" s="1"/>
      <c r="J10" s="1"/>
      <c r="K10" s="1"/>
    </row>
    <row r="11" spans="1:11">
      <c r="B11" s="115"/>
      <c r="C11" s="1">
        <v>4019405</v>
      </c>
      <c r="D11" s="1">
        <v>3989686</v>
      </c>
      <c r="E11" s="1">
        <f t="shared" si="0"/>
        <v>1.007448957135975</v>
      </c>
      <c r="F11" s="1"/>
      <c r="G11">
        <f t="shared" si="1"/>
        <v>22.363579975583775</v>
      </c>
      <c r="H11" s="1"/>
      <c r="I11" s="1"/>
      <c r="J11" s="1"/>
    </row>
    <row r="12" spans="1:11">
      <c r="B12" s="115" t="s">
        <v>406</v>
      </c>
      <c r="C12" s="1">
        <v>1234931</v>
      </c>
      <c r="D12" s="1">
        <v>6223658</v>
      </c>
      <c r="E12" s="1">
        <f t="shared" si="0"/>
        <v>0.19842526694108192</v>
      </c>
      <c r="F12" s="1"/>
      <c r="G12">
        <f t="shared" si="1"/>
        <v>4.404688986952336</v>
      </c>
      <c r="H12" s="1"/>
      <c r="I12" s="1"/>
      <c r="J12" s="1"/>
      <c r="K12" s="1"/>
    </row>
    <row r="13" spans="1:11">
      <c r="B13" s="115"/>
      <c r="C13" s="1">
        <v>939677</v>
      </c>
      <c r="D13" s="1">
        <v>7532071</v>
      </c>
      <c r="E13" s="1">
        <f t="shared" si="0"/>
        <v>0.12475678999839486</v>
      </c>
      <c r="F13" s="1"/>
      <c r="G13">
        <f t="shared" si="1"/>
        <v>2.7693794617225924</v>
      </c>
      <c r="H13" s="1"/>
      <c r="I13" s="1"/>
      <c r="J13" s="1"/>
      <c r="K13" s="1"/>
    </row>
    <row r="14" spans="1:11">
      <c r="B14" s="115"/>
      <c r="C14" s="1">
        <v>932955</v>
      </c>
      <c r="D14" s="1">
        <v>7192078</v>
      </c>
      <c r="E14" s="1">
        <f t="shared" si="0"/>
        <v>0.12971981115888898</v>
      </c>
      <c r="F14" s="1"/>
      <c r="G14">
        <f t="shared" si="1"/>
        <v>2.87954972876893</v>
      </c>
      <c r="H14" s="17"/>
      <c r="I14" s="1"/>
      <c r="J14" s="1"/>
      <c r="K14" s="17"/>
    </row>
    <row r="15" spans="1:11">
      <c r="B15" s="115" t="s">
        <v>407</v>
      </c>
      <c r="C15" s="1">
        <v>21570354</v>
      </c>
      <c r="D15" s="1">
        <v>12655800</v>
      </c>
      <c r="E15" s="1">
        <f t="shared" si="0"/>
        <v>1.7043848670174939</v>
      </c>
      <c r="G15">
        <f t="shared" si="1"/>
        <v>37.834321046972825</v>
      </c>
    </row>
    <row r="16" spans="1:11">
      <c r="B16" s="115"/>
      <c r="C16" s="1">
        <v>24324778</v>
      </c>
      <c r="D16" s="1">
        <v>13405155</v>
      </c>
      <c r="E16" s="1">
        <f t="shared" si="0"/>
        <v>1.8145838671764705</v>
      </c>
      <c r="G16">
        <f t="shared" si="1"/>
        <v>40.280543394843114</v>
      </c>
      <c r="J16" s="1"/>
      <c r="K16" s="1"/>
    </row>
    <row r="17" spans="2:23">
      <c r="B17" s="115"/>
      <c r="C17" s="1">
        <v>23835322</v>
      </c>
      <c r="D17" s="1">
        <v>13364714</v>
      </c>
      <c r="E17" s="1">
        <f t="shared" si="0"/>
        <v>1.7834517072344385</v>
      </c>
      <c r="G17">
        <f t="shared" si="1"/>
        <v>39.589464662025165</v>
      </c>
      <c r="J17" s="91"/>
      <c r="K17" s="90"/>
      <c r="L17" s="90"/>
      <c r="M17" s="90"/>
      <c r="N17" s="90"/>
      <c r="O17" s="90"/>
      <c r="P17" s="90"/>
      <c r="Q17" s="90"/>
      <c r="R17" s="90"/>
      <c r="S17" s="90"/>
      <c r="T17" s="90"/>
      <c r="U17" s="90"/>
      <c r="V17" s="90"/>
      <c r="W17" s="90"/>
    </row>
    <row r="18" spans="2:23">
      <c r="B18" s="115" t="s">
        <v>408</v>
      </c>
      <c r="C18" s="1">
        <v>5101211</v>
      </c>
      <c r="D18" s="1">
        <v>19522086</v>
      </c>
      <c r="E18" s="1">
        <f t="shared" si="0"/>
        <v>0.26130460648518811</v>
      </c>
      <c r="G18">
        <f t="shared" si="1"/>
        <v>5.8004987982048481</v>
      </c>
      <c r="I18" s="1"/>
      <c r="J18" s="91"/>
      <c r="K18" s="92" t="s">
        <v>409</v>
      </c>
      <c r="L18" s="90"/>
      <c r="M18" s="90"/>
      <c r="N18" s="90" t="s">
        <v>93</v>
      </c>
      <c r="O18" s="90"/>
      <c r="P18" s="90"/>
      <c r="Q18" s="90" t="s">
        <v>663</v>
      </c>
      <c r="R18" s="90" t="s">
        <v>396</v>
      </c>
      <c r="S18" s="90" t="s">
        <v>664</v>
      </c>
      <c r="T18" s="90" t="s">
        <v>663</v>
      </c>
      <c r="U18" s="90" t="s">
        <v>396</v>
      </c>
      <c r="V18" s="90" t="s">
        <v>664</v>
      </c>
      <c r="W18" s="101" t="s">
        <v>665</v>
      </c>
    </row>
    <row r="19" spans="2:23">
      <c r="B19" s="115"/>
      <c r="C19" s="1">
        <v>5117665</v>
      </c>
      <c r="D19" s="1">
        <v>19522452</v>
      </c>
      <c r="E19" s="1">
        <f t="shared" si="0"/>
        <v>0.2621425320958658</v>
      </c>
      <c r="G19">
        <f t="shared" si="1"/>
        <v>5.8190992605659915</v>
      </c>
      <c r="J19" s="90" t="s">
        <v>268</v>
      </c>
      <c r="K19" s="91">
        <v>1.0858797537128433</v>
      </c>
      <c r="L19" s="90">
        <v>0.99310761477549991</v>
      </c>
      <c r="M19" s="90">
        <v>0.9210126315116558</v>
      </c>
      <c r="N19" s="90">
        <v>0.30246002159389418</v>
      </c>
      <c r="O19" s="90">
        <v>0.30471980811217536</v>
      </c>
      <c r="P19" s="90">
        <v>0.29747744416227651</v>
      </c>
      <c r="Q19" s="90">
        <f t="shared" ref="Q19:Q24" si="2">AVERAGE(K19:M19)</f>
        <v>0.99999999999999967</v>
      </c>
      <c r="R19" s="90">
        <f>STDEV(K19:M19)</f>
        <v>8.2649384306766008E-2</v>
      </c>
      <c r="S19" s="90">
        <f>R19/SQRT(3)</f>
        <v>4.771764427786819E-2</v>
      </c>
      <c r="T19" s="90">
        <f>AVERAGE(N19:P19)</f>
        <v>0.30155242462278203</v>
      </c>
      <c r="U19" s="90">
        <f>STDEV(N19:P19)</f>
        <v>3.7055037568699913E-3</v>
      </c>
      <c r="V19" s="90">
        <f>U19/SQRT(3)</f>
        <v>2.1393735915120594E-3</v>
      </c>
      <c r="W19" s="94" t="s">
        <v>681</v>
      </c>
    </row>
    <row r="20" spans="2:23">
      <c r="B20" s="115"/>
      <c r="C20" s="1">
        <v>4699301</v>
      </c>
      <c r="D20" s="1">
        <v>16429851</v>
      </c>
      <c r="E20" s="1">
        <f t="shared" si="0"/>
        <v>0.28602213130234716</v>
      </c>
      <c r="G20">
        <f t="shared" si="1"/>
        <v>6.3491840086382005</v>
      </c>
      <c r="J20" s="90" t="s">
        <v>410</v>
      </c>
      <c r="K20" s="90">
        <v>19.940659332634279</v>
      </c>
      <c r="L20" s="90">
        <v>19.458193474292816</v>
      </c>
      <c r="M20" s="90">
        <v>22.363579975583775</v>
      </c>
      <c r="N20" s="90">
        <v>4.404688986952336</v>
      </c>
      <c r="O20" s="90">
        <v>2.7693794617225924</v>
      </c>
      <c r="P20" s="90">
        <v>2.87954972876893</v>
      </c>
      <c r="Q20" s="90">
        <f t="shared" si="2"/>
        <v>20.587477594170291</v>
      </c>
      <c r="R20" s="90">
        <f t="shared" ref="R20:R23" si="3">STDEV(K20:M20)</f>
        <v>1.5569515336269399</v>
      </c>
      <c r="S20" s="90">
        <f t="shared" ref="S20:S23" si="4">R20/SQRT(3)</f>
        <v>0.89890638705471448</v>
      </c>
      <c r="T20" s="90">
        <f t="shared" ref="T20:T23" si="5">AVERAGE(N20:P20)</f>
        <v>3.3512060591479531</v>
      </c>
      <c r="U20" s="90">
        <f t="shared" ref="U20:U23" si="6">STDEV(N20:P20)</f>
        <v>0.91400442084091427</v>
      </c>
      <c r="V20" s="90">
        <f t="shared" ref="V20:V23" si="7">U20/SQRT(3)</f>
        <v>0.52770069841300993</v>
      </c>
      <c r="W20" s="94" t="s">
        <v>666</v>
      </c>
    </row>
    <row r="21" spans="2:23">
      <c r="B21" s="115" t="s">
        <v>411</v>
      </c>
      <c r="C21" s="1">
        <v>3469995</v>
      </c>
      <c r="D21" s="1">
        <v>4023674</v>
      </c>
      <c r="E21" s="1">
        <f t="shared" si="0"/>
        <v>0.86239466716239932</v>
      </c>
      <c r="F21" s="1"/>
      <c r="G21">
        <f t="shared" si="1"/>
        <v>19.143632015294461</v>
      </c>
      <c r="J21" s="90" t="s">
        <v>412</v>
      </c>
      <c r="K21" s="90">
        <v>37.834321046972825</v>
      </c>
      <c r="L21" s="90">
        <v>40.280543394843114</v>
      </c>
      <c r="M21" s="90">
        <v>39.589464662025165</v>
      </c>
      <c r="N21" s="90">
        <v>5.8004987982048481</v>
      </c>
      <c r="O21" s="90">
        <v>5.8190992605659915</v>
      </c>
      <c r="P21" s="90">
        <v>6.3491840086382005</v>
      </c>
      <c r="Q21" s="90">
        <f t="shared" si="2"/>
        <v>39.234776367947035</v>
      </c>
      <c r="R21" s="90">
        <f t="shared" si="3"/>
        <v>1.2610922976816759</v>
      </c>
      <c r="S21" s="90">
        <f t="shared" si="4"/>
        <v>0.7280919775394793</v>
      </c>
      <c r="T21" s="90">
        <f t="shared" si="5"/>
        <v>5.9895940224696806</v>
      </c>
      <c r="U21" s="90">
        <f t="shared" si="6"/>
        <v>0.31155290548239095</v>
      </c>
      <c r="V21" s="90">
        <f t="shared" si="7"/>
        <v>0.17987515384706845</v>
      </c>
      <c r="W21" s="94" t="s">
        <v>666</v>
      </c>
    </row>
    <row r="22" spans="2:23">
      <c r="B22" s="115"/>
      <c r="C22" s="1">
        <v>3292725</v>
      </c>
      <c r="D22" s="1">
        <v>3841628</v>
      </c>
      <c r="E22" s="1">
        <f t="shared" si="0"/>
        <v>0.85711708681840093</v>
      </c>
      <c r="F22" s="1"/>
      <c r="G22">
        <f t="shared" si="1"/>
        <v>19.026479092295656</v>
      </c>
      <c r="J22" s="90" t="s">
        <v>413</v>
      </c>
      <c r="K22" s="90">
        <v>19.143632015294461</v>
      </c>
      <c r="L22" s="90">
        <v>19.026479092295656</v>
      </c>
      <c r="M22" s="90">
        <v>16.810004367414326</v>
      </c>
      <c r="N22" s="90">
        <v>8.7209047169038563</v>
      </c>
      <c r="O22" s="90">
        <v>6.9894507799829952</v>
      </c>
      <c r="P22" s="90">
        <v>8.8903122852022189</v>
      </c>
      <c r="Q22" s="90">
        <f t="shared" si="2"/>
        <v>18.326705158334814</v>
      </c>
      <c r="R22" s="90">
        <f t="shared" si="3"/>
        <v>1.3148068940821376</v>
      </c>
      <c r="S22" s="90">
        <f t="shared" si="4"/>
        <v>0.7591041142306979</v>
      </c>
      <c r="T22" s="90">
        <f t="shared" si="5"/>
        <v>8.2002225940296896</v>
      </c>
      <c r="U22" s="90">
        <f t="shared" si="6"/>
        <v>1.0519748192407683</v>
      </c>
      <c r="V22" s="90">
        <f t="shared" si="7"/>
        <v>0.60735794506936547</v>
      </c>
      <c r="W22" s="94" t="s">
        <v>666</v>
      </c>
    </row>
    <row r="23" spans="2:23">
      <c r="B23" s="115"/>
      <c r="C23" s="1">
        <v>2717755</v>
      </c>
      <c r="D23" s="1">
        <v>3588895</v>
      </c>
      <c r="E23" s="1">
        <f t="shared" si="0"/>
        <v>0.75726790558096568</v>
      </c>
      <c r="F23" s="1"/>
      <c r="G23">
        <f t="shared" si="1"/>
        <v>16.810004367414326</v>
      </c>
      <c r="J23" s="90" t="s">
        <v>414</v>
      </c>
      <c r="K23" s="90">
        <v>42.111502644861154</v>
      </c>
      <c r="L23" s="90">
        <v>39.88026629640202</v>
      </c>
      <c r="M23" s="90">
        <v>39.762000052990508</v>
      </c>
      <c r="N23" s="90">
        <v>4.0562464252754467</v>
      </c>
      <c r="O23" s="90">
        <v>4.1951507025630361</v>
      </c>
      <c r="P23" s="90">
        <v>3.9947882409621984</v>
      </c>
      <c r="Q23" s="90">
        <f t="shared" si="2"/>
        <v>40.584589664751228</v>
      </c>
      <c r="R23" s="90">
        <f t="shared" si="3"/>
        <v>1.3236669379809263</v>
      </c>
      <c r="S23" s="90">
        <f t="shared" si="4"/>
        <v>0.76421946296069554</v>
      </c>
      <c r="T23" s="90">
        <f t="shared" si="5"/>
        <v>4.0820617896002274</v>
      </c>
      <c r="U23" s="90">
        <f t="shared" si="6"/>
        <v>0.10264552489564584</v>
      </c>
      <c r="V23" s="90">
        <f t="shared" si="7"/>
        <v>5.9262421429611557E-2</v>
      </c>
      <c r="W23" s="94" t="s">
        <v>666</v>
      </c>
    </row>
    <row r="24" spans="2:23">
      <c r="B24" s="115" t="s">
        <v>415</v>
      </c>
      <c r="C24" s="1">
        <v>952712</v>
      </c>
      <c r="D24" s="1">
        <v>2425037</v>
      </c>
      <c r="E24" s="1">
        <f t="shared" si="0"/>
        <v>0.3928649336071986</v>
      </c>
      <c r="F24" s="1"/>
      <c r="G24">
        <f t="shared" si="1"/>
        <v>8.7209047169038563</v>
      </c>
      <c r="J24" s="90" t="s">
        <v>95</v>
      </c>
      <c r="K24" s="90">
        <v>215.96581071198702</v>
      </c>
      <c r="L24" s="90">
        <v>211.18233408584152</v>
      </c>
      <c r="M24" s="90">
        <v>180.15063533805858</v>
      </c>
      <c r="N24" s="90">
        <v>23.878584836179627</v>
      </c>
      <c r="O24" s="90">
        <v>24.315639474120864</v>
      </c>
      <c r="P24" s="90">
        <v>23.912966934464301</v>
      </c>
      <c r="Q24" s="90">
        <f t="shared" si="2"/>
        <v>202.43292671196238</v>
      </c>
      <c r="R24" s="90">
        <f>STDEV(K24:M24)</f>
        <v>19.444685490176504</v>
      </c>
      <c r="S24" s="90">
        <f>R24/SQRT(3)</f>
        <v>11.226394402061015</v>
      </c>
      <c r="T24" s="90">
        <f>AVERAGE(N24:P24)</f>
        <v>24.035730414921598</v>
      </c>
      <c r="U24" s="90">
        <f>STDEV(N24:P24)</f>
        <v>0.24301716654791763</v>
      </c>
      <c r="V24" s="90">
        <f>U24/SQRT(3)</f>
        <v>0.14030602652414037</v>
      </c>
      <c r="W24" s="94" t="s">
        <v>666</v>
      </c>
    </row>
    <row r="25" spans="2:23">
      <c r="B25" s="115"/>
      <c r="C25" s="1">
        <v>720385</v>
      </c>
      <c r="D25" s="1">
        <v>2287915</v>
      </c>
      <c r="E25" s="1">
        <f t="shared" si="0"/>
        <v>0.31486528127137592</v>
      </c>
      <c r="F25" s="1"/>
      <c r="G25">
        <f t="shared" si="1"/>
        <v>6.9894507799829952</v>
      </c>
      <c r="J25" s="90"/>
      <c r="K25" s="90"/>
      <c r="L25" s="90"/>
      <c r="M25" s="90"/>
      <c r="N25" s="90"/>
      <c r="O25" s="90"/>
      <c r="P25" s="90"/>
      <c r="Q25" s="90"/>
      <c r="R25" s="90"/>
      <c r="S25" s="90"/>
      <c r="T25" s="90"/>
      <c r="U25" s="90"/>
      <c r="V25" s="90"/>
      <c r="W25" s="90"/>
    </row>
    <row r="26" spans="2:23">
      <c r="B26" s="115"/>
      <c r="C26" s="1">
        <v>853883</v>
      </c>
      <c r="D26" s="1">
        <v>2132061</v>
      </c>
      <c r="E26" s="1">
        <f t="shared" si="0"/>
        <v>0.40049651487457444</v>
      </c>
      <c r="F26" s="1"/>
      <c r="G26">
        <f t="shared" si="1"/>
        <v>8.8903122852022189</v>
      </c>
      <c r="H26" s="17"/>
    </row>
    <row r="27" spans="2:23">
      <c r="B27" s="116" t="s">
        <v>416</v>
      </c>
      <c r="C27" s="1">
        <v>35868432</v>
      </c>
      <c r="D27" s="1">
        <v>18907318</v>
      </c>
      <c r="E27" s="1">
        <f t="shared" si="0"/>
        <v>1.8970660989570283</v>
      </c>
      <c r="G27">
        <f t="shared" si="1"/>
        <v>42.111502644861154</v>
      </c>
    </row>
    <row r="28" spans="2:23">
      <c r="B28" s="116"/>
      <c r="C28" s="1">
        <v>34700016</v>
      </c>
      <c r="D28" s="1">
        <v>19314786</v>
      </c>
      <c r="E28" s="1">
        <f t="shared" si="0"/>
        <v>1.796551926591369</v>
      </c>
      <c r="G28">
        <f t="shared" si="1"/>
        <v>39.88026629640202</v>
      </c>
    </row>
    <row r="29" spans="2:23">
      <c r="B29" s="116"/>
      <c r="C29" s="1">
        <v>35051696</v>
      </c>
      <c r="D29" s="1">
        <v>19568570</v>
      </c>
      <c r="E29" s="1">
        <f t="shared" si="0"/>
        <v>1.791224192672229</v>
      </c>
      <c r="G29">
        <f t="shared" si="1"/>
        <v>39.762000052990508</v>
      </c>
    </row>
    <row r="30" spans="2:23">
      <c r="B30" s="116" t="s">
        <v>417</v>
      </c>
      <c r="C30" s="1">
        <v>5133408</v>
      </c>
      <c r="D30" s="1">
        <v>28093104</v>
      </c>
      <c r="E30" s="1">
        <f t="shared" si="0"/>
        <v>0.18272840195942749</v>
      </c>
      <c r="G30">
        <f t="shared" si="1"/>
        <v>4.0562464252754467</v>
      </c>
    </row>
    <row r="31" spans="2:23">
      <c r="B31" s="116"/>
      <c r="C31" s="1">
        <v>5674674</v>
      </c>
      <c r="D31" s="1">
        <v>30026978</v>
      </c>
      <c r="E31" s="1">
        <f t="shared" si="0"/>
        <v>0.18898585132343321</v>
      </c>
      <c r="G31">
        <f t="shared" si="1"/>
        <v>4.1951507025630361</v>
      </c>
    </row>
    <row r="32" spans="2:23">
      <c r="B32" s="116"/>
      <c r="C32" s="1">
        <v>5284668</v>
      </c>
      <c r="D32" s="1">
        <v>29365826</v>
      </c>
      <c r="E32" s="1">
        <f t="shared" si="0"/>
        <v>0.17995979408173296</v>
      </c>
      <c r="G32">
        <f t="shared" si="1"/>
        <v>3.9947882409621984</v>
      </c>
    </row>
    <row r="33" spans="2:11">
      <c r="B33" s="116" t="s">
        <v>418</v>
      </c>
      <c r="C33" s="1">
        <v>98826000</v>
      </c>
      <c r="D33" s="1">
        <v>10157913</v>
      </c>
      <c r="E33" s="1">
        <f t="shared" si="0"/>
        <v>9.7289669639816765</v>
      </c>
      <c r="G33">
        <f t="shared" si="1"/>
        <v>215.96581071198702</v>
      </c>
    </row>
    <row r="34" spans="2:11">
      <c r="B34" s="116"/>
      <c r="C34" s="1">
        <v>100121848</v>
      </c>
      <c r="D34" s="1">
        <v>10524211</v>
      </c>
      <c r="E34" s="1">
        <f t="shared" si="0"/>
        <v>9.5134778274589902</v>
      </c>
      <c r="G34">
        <f t="shared" si="1"/>
        <v>211.18233408584152</v>
      </c>
    </row>
    <row r="35" spans="2:11">
      <c r="B35" s="116"/>
      <c r="C35" s="1">
        <v>83585496</v>
      </c>
      <c r="D35" s="1">
        <v>10299435</v>
      </c>
      <c r="E35" s="1">
        <f t="shared" si="0"/>
        <v>8.1155418719570545</v>
      </c>
      <c r="G35">
        <f t="shared" si="1"/>
        <v>180.15063533805858</v>
      </c>
      <c r="J35" s="1"/>
      <c r="K35" s="18"/>
    </row>
    <row r="36" spans="2:11">
      <c r="B36" s="116" t="s">
        <v>419</v>
      </c>
      <c r="C36" s="1">
        <v>11082259</v>
      </c>
      <c r="D36" s="1">
        <v>10302390</v>
      </c>
      <c r="E36" s="1">
        <f t="shared" si="0"/>
        <v>1.0756978720471657</v>
      </c>
      <c r="G36">
        <f t="shared" si="1"/>
        <v>23.878584836179627</v>
      </c>
      <c r="K36" s="1"/>
    </row>
    <row r="37" spans="2:11">
      <c r="B37" s="116"/>
      <c r="C37" s="1">
        <v>10459955</v>
      </c>
      <c r="D37" s="1">
        <v>9549099</v>
      </c>
      <c r="E37" s="1">
        <f t="shared" si="0"/>
        <v>1.0953865909233951</v>
      </c>
      <c r="G37">
        <f t="shared" si="1"/>
        <v>24.315639474120864</v>
      </c>
    </row>
    <row r="38" spans="2:11">
      <c r="B38" s="116"/>
      <c r="C38" s="1">
        <v>10352060</v>
      </c>
      <c r="D38" s="1">
        <v>9609739</v>
      </c>
      <c r="E38" s="1">
        <f t="shared" si="0"/>
        <v>1.0772467389592995</v>
      </c>
      <c r="G38">
        <f t="shared" si="1"/>
        <v>23.912966934464301</v>
      </c>
    </row>
  </sheetData>
  <mergeCells count="12">
    <mergeCell ref="B36:B38"/>
    <mergeCell ref="B3:B5"/>
    <mergeCell ref="B6:B8"/>
    <mergeCell ref="B9:B11"/>
    <mergeCell ref="B12:B14"/>
    <mergeCell ref="B15:B17"/>
    <mergeCell ref="B18:B20"/>
    <mergeCell ref="B21:B23"/>
    <mergeCell ref="B24:B26"/>
    <mergeCell ref="B27:B29"/>
    <mergeCell ref="B30:B32"/>
    <mergeCell ref="B33:B35"/>
  </mergeCells>
  <phoneticPr fontId="2" type="noConversion"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57D1A4-7A8D-D14B-AFA7-DEE16484C17A}">
  <dimension ref="A1"/>
  <sheetViews>
    <sheetView zoomScale="75" workbookViewId="0">
      <selection activeCell="C3" sqref="C3"/>
    </sheetView>
  </sheetViews>
  <sheetFormatPr baseColWidth="10" defaultRowHeight="16"/>
  <sheetData>
    <row r="1" spans="1:1">
      <c r="A1" t="s">
        <v>87</v>
      </c>
    </row>
  </sheetData>
  <phoneticPr fontId="2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62339A-7488-374F-AB28-BB4501EBE486}">
  <dimension ref="A1"/>
  <sheetViews>
    <sheetView topLeftCell="A6" zoomScale="75" workbookViewId="0">
      <selection activeCell="B5" sqref="B5"/>
    </sheetView>
  </sheetViews>
  <sheetFormatPr baseColWidth="10" defaultRowHeight="16"/>
  <sheetData>
    <row r="1" spans="1:1">
      <c r="A1" t="s">
        <v>88</v>
      </c>
    </row>
  </sheetData>
  <phoneticPr fontId="2" type="noConversion"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823FDB-3C66-AF40-BEFC-0B3459E890F6}">
  <dimension ref="A1"/>
  <sheetViews>
    <sheetView topLeftCell="A4" workbookViewId="0">
      <selection activeCell="G18" sqref="G18"/>
    </sheetView>
  </sheetViews>
  <sheetFormatPr baseColWidth="10" defaultRowHeight="16"/>
  <sheetData>
    <row r="1" spans="1:1">
      <c r="A1" t="s">
        <v>89</v>
      </c>
    </row>
  </sheetData>
  <phoneticPr fontId="2" type="noConversion"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7ADA03-27D6-6E49-897F-3289D241849F}">
  <dimension ref="A1"/>
  <sheetViews>
    <sheetView topLeftCell="A4" zoomScale="117" workbookViewId="0"/>
  </sheetViews>
  <sheetFormatPr baseColWidth="10" defaultRowHeight="16"/>
  <sheetData>
    <row r="1" spans="1:1">
      <c r="A1" t="s">
        <v>90</v>
      </c>
    </row>
  </sheetData>
  <phoneticPr fontId="2" type="noConversion"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12A07B-9E90-5244-9AA3-37CB69D09F04}">
  <dimension ref="A1"/>
  <sheetViews>
    <sheetView topLeftCell="A3" workbookViewId="0"/>
  </sheetViews>
  <sheetFormatPr baseColWidth="10" defaultRowHeight="16"/>
  <sheetData>
    <row r="1" spans="1:1">
      <c r="A1" t="s">
        <v>91</v>
      </c>
    </row>
  </sheetData>
  <phoneticPr fontId="2" type="noConversion"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08D4E8-A980-E14C-8F6D-A8D32A3DB33B}">
  <dimension ref="A1:V34"/>
  <sheetViews>
    <sheetView topLeftCell="F1" zoomScale="85" workbookViewId="0">
      <selection activeCell="O9" sqref="O9:V14"/>
    </sheetView>
  </sheetViews>
  <sheetFormatPr baseColWidth="10" defaultRowHeight="16"/>
  <sheetData>
    <row r="1" spans="1:22">
      <c r="A1" t="s">
        <v>657</v>
      </c>
    </row>
    <row r="5" spans="1:22">
      <c r="B5" t="s">
        <v>641</v>
      </c>
      <c r="C5" t="s">
        <v>642</v>
      </c>
      <c r="D5" s="1">
        <v>586</v>
      </c>
      <c r="G5">
        <f>D5-565.666666666667</f>
        <v>20.33333333333303</v>
      </c>
      <c r="H5">
        <v>0</v>
      </c>
    </row>
    <row r="6" spans="1:22">
      <c r="D6" s="1">
        <v>545</v>
      </c>
      <c r="G6">
        <f t="shared" ref="G6:G34" si="0">D6-565.666666666667</f>
        <v>-20.66666666666697</v>
      </c>
      <c r="H6">
        <v>0</v>
      </c>
      <c r="O6" s="1"/>
      <c r="P6" s="1"/>
      <c r="Q6" s="1"/>
    </row>
    <row r="7" spans="1:22">
      <c r="D7" s="1">
        <v>566</v>
      </c>
      <c r="E7">
        <f>AVERAGE(D5:D7)</f>
        <v>565.66666666666663</v>
      </c>
      <c r="F7">
        <v>565.66666666666697</v>
      </c>
      <c r="G7">
        <f t="shared" si="0"/>
        <v>0.33333333333303017</v>
      </c>
      <c r="H7">
        <v>0</v>
      </c>
      <c r="O7" s="1"/>
      <c r="P7" s="1"/>
      <c r="Q7" s="1"/>
    </row>
    <row r="8" spans="1:22">
      <c r="C8" t="s">
        <v>643</v>
      </c>
      <c r="D8" s="1">
        <v>641</v>
      </c>
      <c r="G8">
        <f t="shared" si="0"/>
        <v>75.33333333333303</v>
      </c>
      <c r="O8" s="1"/>
      <c r="P8" s="1"/>
      <c r="Q8" s="1"/>
    </row>
    <row r="9" spans="1:22">
      <c r="D9" s="1">
        <v>605</v>
      </c>
      <c r="G9">
        <f t="shared" si="0"/>
        <v>39.33333333333303</v>
      </c>
      <c r="H9" s="90"/>
      <c r="I9" s="90" t="s">
        <v>2</v>
      </c>
      <c r="J9" s="90"/>
      <c r="K9" s="90"/>
      <c r="L9" s="90" t="s">
        <v>17</v>
      </c>
      <c r="M9" s="90"/>
      <c r="N9" s="90"/>
      <c r="O9" s="90" t="s">
        <v>663</v>
      </c>
      <c r="P9" s="90" t="s">
        <v>396</v>
      </c>
      <c r="Q9" s="90" t="s">
        <v>664</v>
      </c>
      <c r="R9" s="101" t="s">
        <v>665</v>
      </c>
      <c r="S9" s="90" t="s">
        <v>663</v>
      </c>
      <c r="T9" s="90" t="s">
        <v>396</v>
      </c>
      <c r="U9" s="90" t="s">
        <v>664</v>
      </c>
      <c r="V9" s="101" t="s">
        <v>665</v>
      </c>
    </row>
    <row r="10" spans="1:22">
      <c r="D10" s="1">
        <v>657</v>
      </c>
      <c r="G10">
        <f t="shared" si="0"/>
        <v>91.33333333333303</v>
      </c>
      <c r="H10" s="90" t="s">
        <v>644</v>
      </c>
      <c r="I10" s="90">
        <v>0</v>
      </c>
      <c r="J10" s="90">
        <v>0</v>
      </c>
      <c r="K10" s="90">
        <v>0</v>
      </c>
      <c r="L10" s="90">
        <v>5150.333333333333</v>
      </c>
      <c r="M10" s="90">
        <v>5427.333333333333</v>
      </c>
      <c r="N10" s="90">
        <v>5385.333333333333</v>
      </c>
      <c r="O10" s="90">
        <f>AVERAGE(I10:K10)</f>
        <v>0</v>
      </c>
      <c r="P10" s="90">
        <f>STDEV(I10:K10)</f>
        <v>0</v>
      </c>
      <c r="Q10" s="90">
        <f>P10/SQRT(3)</f>
        <v>0</v>
      </c>
      <c r="R10" s="90"/>
      <c r="S10" s="90">
        <f>AVERAGE(L10:N10)</f>
        <v>5321</v>
      </c>
      <c r="T10" s="90">
        <f>STDEV(L10:N10)</f>
        <v>149.28607883300214</v>
      </c>
      <c r="U10" s="90">
        <f>T10/SQRT(3)</f>
        <v>86.19035780049748</v>
      </c>
      <c r="V10" s="94"/>
    </row>
    <row r="11" spans="1:22">
      <c r="C11" t="s">
        <v>645</v>
      </c>
      <c r="D11" s="1">
        <v>891</v>
      </c>
      <c r="G11">
        <f t="shared" si="0"/>
        <v>325.33333333333303</v>
      </c>
      <c r="H11" s="90" t="s">
        <v>646</v>
      </c>
      <c r="I11" s="90">
        <v>75.33333333333303</v>
      </c>
      <c r="J11" s="90">
        <v>39.33333333333303</v>
      </c>
      <c r="K11" s="90">
        <v>91.33333333333303</v>
      </c>
      <c r="L11" s="90">
        <v>10000.333333333332</v>
      </c>
      <c r="M11" s="90">
        <v>9909.3333333333321</v>
      </c>
      <c r="N11" s="90">
        <v>9481.3333333333321</v>
      </c>
      <c r="O11" s="90">
        <f>AVERAGE(I11:K11)</f>
        <v>68.666666666666359</v>
      </c>
      <c r="P11" s="90">
        <f t="shared" ref="P11:P14" si="1">STDEV(I11:K11)</f>
        <v>26.633312473917599</v>
      </c>
      <c r="Q11" s="90">
        <f t="shared" ref="Q11:Q14" si="2">P11/SQRT(3)</f>
        <v>15.376750126227744</v>
      </c>
      <c r="R11" s="94" t="s">
        <v>681</v>
      </c>
      <c r="S11" s="90">
        <f>AVERAGE(L11:N11)</f>
        <v>9796.9999999999982</v>
      </c>
      <c r="T11" s="90">
        <f>STDEV(L11:N11)</f>
        <v>277.13594738563478</v>
      </c>
      <c r="U11" s="90">
        <f t="shared" ref="U11:U14" si="3">T11/SQRT(3)</f>
        <v>160.00451382521823</v>
      </c>
      <c r="V11" s="94" t="s">
        <v>666</v>
      </c>
    </row>
    <row r="12" spans="1:22">
      <c r="D12" s="1">
        <v>805</v>
      </c>
      <c r="G12">
        <f t="shared" si="0"/>
        <v>239.33333333333303</v>
      </c>
      <c r="H12" s="90" t="s">
        <v>647</v>
      </c>
      <c r="I12" s="90">
        <v>325.33333333333303</v>
      </c>
      <c r="J12" s="90">
        <v>239.33333333333303</v>
      </c>
      <c r="K12" s="90">
        <v>195.33333333333303</v>
      </c>
      <c r="L12" s="90">
        <v>13072.333333333332</v>
      </c>
      <c r="M12" s="90">
        <v>12883.333333333332</v>
      </c>
      <c r="N12" s="90">
        <v>12506.333333333332</v>
      </c>
      <c r="O12" s="90">
        <f>AVERAGE(I12:K12)</f>
        <v>253.33333333333303</v>
      </c>
      <c r="P12" s="90">
        <f t="shared" si="1"/>
        <v>66.12110101926605</v>
      </c>
      <c r="Q12" s="90">
        <f t="shared" si="2"/>
        <v>38.175035472587695</v>
      </c>
      <c r="R12" s="94" t="s">
        <v>681</v>
      </c>
      <c r="S12" s="90">
        <f>AVERAGE(L12:N12)</f>
        <v>12820.666666666666</v>
      </c>
      <c r="T12" s="90">
        <f>STDEV(L12:N12)</f>
        <v>288.15678602686654</v>
      </c>
      <c r="U12" s="90">
        <f t="shared" si="3"/>
        <v>166.36739798142881</v>
      </c>
      <c r="V12" s="94" t="s">
        <v>666</v>
      </c>
    </row>
    <row r="13" spans="1:22">
      <c r="D13" s="1">
        <v>761</v>
      </c>
      <c r="G13">
        <f t="shared" si="0"/>
        <v>195.33333333333303</v>
      </c>
      <c r="H13" s="90" t="s">
        <v>648</v>
      </c>
      <c r="I13" s="90">
        <v>870.33333333333303</v>
      </c>
      <c r="J13" s="90">
        <v>734.33333333333303</v>
      </c>
      <c r="K13" s="90">
        <v>672.33333333333303</v>
      </c>
      <c r="L13" s="90">
        <v>13541.333333333332</v>
      </c>
      <c r="M13" s="90">
        <v>13109.333333333332</v>
      </c>
      <c r="N13" s="90">
        <v>15350.333333333332</v>
      </c>
      <c r="O13" s="90">
        <f>AVERAGE(I13:K13)</f>
        <v>758.99999999999966</v>
      </c>
      <c r="P13" s="90">
        <f t="shared" si="1"/>
        <v>101.27849393298291</v>
      </c>
      <c r="Q13" s="90">
        <f t="shared" si="2"/>
        <v>58.473165735327569</v>
      </c>
      <c r="R13" s="94">
        <v>0.87170000000000003</v>
      </c>
      <c r="S13" s="90">
        <f>AVERAGE(L13:N13)</f>
        <v>14000.333333333334</v>
      </c>
      <c r="T13" s="90">
        <f>STDEV(L13:N13)</f>
        <v>1188.9200982404159</v>
      </c>
      <c r="U13" s="90">
        <f t="shared" si="3"/>
        <v>686.42333876406042</v>
      </c>
      <c r="V13" s="94" t="s">
        <v>666</v>
      </c>
    </row>
    <row r="14" spans="1:22">
      <c r="C14" t="s">
        <v>649</v>
      </c>
      <c r="D14" s="1">
        <v>1436</v>
      </c>
      <c r="G14">
        <f t="shared" si="0"/>
        <v>870.33333333333303</v>
      </c>
      <c r="H14" s="90" t="s">
        <v>650</v>
      </c>
      <c r="I14" s="90">
        <v>1198.333333333333</v>
      </c>
      <c r="J14" s="90">
        <v>1133.333333333333</v>
      </c>
      <c r="K14" s="90">
        <v>1129.333333333333</v>
      </c>
      <c r="L14" s="90">
        <v>14496.333333333332</v>
      </c>
      <c r="M14" s="90">
        <v>14136.333333333332</v>
      </c>
      <c r="N14" s="90">
        <v>15159.333333333332</v>
      </c>
      <c r="O14" s="90">
        <f>AVERAGE(I14:K14)</f>
        <v>1153.6666666666663</v>
      </c>
      <c r="P14" s="90">
        <f t="shared" si="1"/>
        <v>38.734136537856806</v>
      </c>
      <c r="Q14" s="90">
        <f t="shared" si="2"/>
        <v>22.363164156959346</v>
      </c>
      <c r="R14" s="94">
        <v>0.16300000000000001</v>
      </c>
      <c r="S14" s="90">
        <f>AVERAGE(L14:N14)</f>
        <v>14597.333333333334</v>
      </c>
      <c r="T14" s="90">
        <f>STDEV(L14:N14)</f>
        <v>518.92485005056369</v>
      </c>
      <c r="U14" s="90">
        <f t="shared" si="3"/>
        <v>299.60140186587915</v>
      </c>
      <c r="V14" s="94" t="s">
        <v>666</v>
      </c>
    </row>
    <row r="15" spans="1:22">
      <c r="D15" s="1">
        <v>1300</v>
      </c>
      <c r="G15">
        <f t="shared" si="0"/>
        <v>734.33333333333303</v>
      </c>
      <c r="H15" s="90"/>
      <c r="I15" s="90"/>
      <c r="J15" s="90"/>
      <c r="K15" s="90"/>
      <c r="L15" s="90"/>
      <c r="M15" s="90"/>
      <c r="N15" s="90"/>
      <c r="O15" s="90"/>
      <c r="P15" s="90"/>
      <c r="Q15" s="90"/>
      <c r="R15" s="90"/>
      <c r="S15" s="90"/>
      <c r="T15" s="90"/>
      <c r="U15" s="94"/>
      <c r="V15" s="90"/>
    </row>
    <row r="16" spans="1:22">
      <c r="D16" s="1">
        <v>1238</v>
      </c>
      <c r="G16">
        <f t="shared" si="0"/>
        <v>672.33333333333303</v>
      </c>
      <c r="O16" s="1"/>
      <c r="P16" s="1"/>
      <c r="Q16" s="1"/>
    </row>
    <row r="17" spans="3:17">
      <c r="C17" t="s">
        <v>651</v>
      </c>
      <c r="D17" s="1">
        <v>1764</v>
      </c>
      <c r="G17">
        <f t="shared" si="0"/>
        <v>1198.333333333333</v>
      </c>
      <c r="O17" s="1"/>
      <c r="P17" s="1"/>
      <c r="Q17" s="1"/>
    </row>
    <row r="18" spans="3:17">
      <c r="D18" s="1">
        <v>1699</v>
      </c>
      <c r="G18">
        <f t="shared" si="0"/>
        <v>1133.333333333333</v>
      </c>
    </row>
    <row r="19" spans="3:17">
      <c r="D19" s="1">
        <v>1695</v>
      </c>
      <c r="G19">
        <f t="shared" si="0"/>
        <v>1129.333333333333</v>
      </c>
    </row>
    <row r="20" spans="3:17">
      <c r="C20" t="s">
        <v>652</v>
      </c>
      <c r="D20" s="1">
        <v>5716</v>
      </c>
      <c r="G20">
        <f t="shared" si="0"/>
        <v>5150.333333333333</v>
      </c>
    </row>
    <row r="21" spans="3:17">
      <c r="D21" s="1">
        <v>5993</v>
      </c>
      <c r="G21">
        <f t="shared" si="0"/>
        <v>5427.333333333333</v>
      </c>
    </row>
    <row r="22" spans="3:17">
      <c r="D22" s="1">
        <v>5951</v>
      </c>
      <c r="G22">
        <f t="shared" si="0"/>
        <v>5385.333333333333</v>
      </c>
    </row>
    <row r="23" spans="3:17">
      <c r="C23" t="s">
        <v>653</v>
      </c>
      <c r="D23" s="1">
        <v>10566</v>
      </c>
      <c r="G23">
        <f t="shared" si="0"/>
        <v>10000.333333333332</v>
      </c>
    </row>
    <row r="24" spans="3:17">
      <c r="D24" s="1">
        <v>10475</v>
      </c>
      <c r="G24">
        <f t="shared" si="0"/>
        <v>9909.3333333333321</v>
      </c>
    </row>
    <row r="25" spans="3:17">
      <c r="D25" s="1">
        <v>10047</v>
      </c>
      <c r="G25">
        <f t="shared" si="0"/>
        <v>9481.3333333333321</v>
      </c>
    </row>
    <row r="26" spans="3:17">
      <c r="C26" t="s">
        <v>654</v>
      </c>
      <c r="D26" s="1">
        <v>13638</v>
      </c>
      <c r="G26">
        <f t="shared" si="0"/>
        <v>13072.333333333332</v>
      </c>
    </row>
    <row r="27" spans="3:17">
      <c r="D27" s="1">
        <v>13449</v>
      </c>
      <c r="G27">
        <f t="shared" si="0"/>
        <v>12883.333333333332</v>
      </c>
    </row>
    <row r="28" spans="3:17">
      <c r="D28" s="1">
        <v>13072</v>
      </c>
      <c r="G28">
        <f t="shared" si="0"/>
        <v>12506.333333333332</v>
      </c>
    </row>
    <row r="29" spans="3:17">
      <c r="C29" t="s">
        <v>655</v>
      </c>
      <c r="D29" s="1">
        <v>14107</v>
      </c>
      <c r="G29">
        <f t="shared" si="0"/>
        <v>13541.333333333332</v>
      </c>
    </row>
    <row r="30" spans="3:17">
      <c r="D30" s="1">
        <v>13675</v>
      </c>
      <c r="G30">
        <f t="shared" si="0"/>
        <v>13109.333333333332</v>
      </c>
    </row>
    <row r="31" spans="3:17">
      <c r="D31" s="1">
        <v>15916</v>
      </c>
      <c r="G31">
        <f t="shared" si="0"/>
        <v>15350.333333333332</v>
      </c>
    </row>
    <row r="32" spans="3:17">
      <c r="C32" t="s">
        <v>656</v>
      </c>
      <c r="D32" s="1">
        <v>15062</v>
      </c>
      <c r="G32">
        <f t="shared" si="0"/>
        <v>14496.333333333332</v>
      </c>
    </row>
    <row r="33" spans="4:7">
      <c r="D33" s="1">
        <v>14702</v>
      </c>
      <c r="G33">
        <f t="shared" si="0"/>
        <v>14136.333333333332</v>
      </c>
    </row>
    <row r="34" spans="4:7">
      <c r="D34" s="1">
        <v>15725</v>
      </c>
      <c r="G34">
        <f t="shared" si="0"/>
        <v>15159.333333333332</v>
      </c>
    </row>
  </sheetData>
  <phoneticPr fontId="2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FF402-70CA-FC44-B400-743957A01315}">
  <dimension ref="A1:R20"/>
  <sheetViews>
    <sheetView zoomScale="75" workbookViewId="0">
      <selection activeCell="F26" sqref="F26"/>
    </sheetView>
  </sheetViews>
  <sheetFormatPr baseColWidth="10" defaultRowHeight="16"/>
  <sheetData>
    <row r="1" spans="1:18">
      <c r="A1" t="s">
        <v>640</v>
      </c>
    </row>
    <row r="5" spans="1:18">
      <c r="K5" t="s">
        <v>94</v>
      </c>
      <c r="L5" t="s">
        <v>95</v>
      </c>
      <c r="N5" t="s">
        <v>96</v>
      </c>
    </row>
    <row r="6" spans="1:18">
      <c r="I6" t="s">
        <v>97</v>
      </c>
      <c r="J6">
        <v>0</v>
      </c>
      <c r="K6">
        <v>1</v>
      </c>
      <c r="L6">
        <v>1</v>
      </c>
      <c r="N6">
        <v>1</v>
      </c>
      <c r="P6" t="s">
        <v>98</v>
      </c>
    </row>
    <row r="7" spans="1:18">
      <c r="J7">
        <v>12</v>
      </c>
      <c r="K7">
        <v>1.0778186041351694</v>
      </c>
      <c r="L7">
        <v>0.98351136566136244</v>
      </c>
      <c r="N7">
        <v>0.91250175297402836</v>
      </c>
      <c r="Q7" t="s">
        <v>97</v>
      </c>
      <c r="R7" t="s">
        <v>99</v>
      </c>
    </row>
    <row r="8" spans="1:18">
      <c r="J8">
        <v>24</v>
      </c>
      <c r="K8">
        <v>0.80609768265760495</v>
      </c>
      <c r="L8">
        <v>0.70962089260490002</v>
      </c>
      <c r="N8">
        <v>0.8803162543097347</v>
      </c>
      <c r="P8">
        <v>0</v>
      </c>
      <c r="Q8">
        <v>1</v>
      </c>
      <c r="R8">
        <v>1.251553013058333</v>
      </c>
    </row>
    <row r="9" spans="1:18">
      <c r="I9" t="s">
        <v>99</v>
      </c>
      <c r="J9">
        <v>0</v>
      </c>
      <c r="K9">
        <v>0.81010747705318731</v>
      </c>
      <c r="L9">
        <v>1.0138924538070009</v>
      </c>
      <c r="N9">
        <v>1.251553013058333</v>
      </c>
      <c r="P9">
        <v>12</v>
      </c>
      <c r="Q9">
        <v>0.91250175297402836</v>
      </c>
      <c r="R9">
        <v>0.65446032608269611</v>
      </c>
    </row>
    <row r="10" spans="1:18">
      <c r="J10">
        <v>12</v>
      </c>
      <c r="K10">
        <v>0.87633546879716417</v>
      </c>
      <c r="L10">
        <v>0.57352679666682438</v>
      </c>
      <c r="N10">
        <v>0.65446032608269611</v>
      </c>
      <c r="P10">
        <v>24</v>
      </c>
      <c r="Q10">
        <v>0.8803162543097347</v>
      </c>
      <c r="R10">
        <v>0.24016314850204754</v>
      </c>
    </row>
    <row r="11" spans="1:18">
      <c r="J11">
        <v>24</v>
      </c>
      <c r="K11">
        <v>0.80295446819054495</v>
      </c>
      <c r="L11">
        <v>0.19284007318442845</v>
      </c>
      <c r="N11">
        <v>0.24016314850204754</v>
      </c>
    </row>
    <row r="14" spans="1:18">
      <c r="K14" t="s">
        <v>100</v>
      </c>
      <c r="L14" t="s">
        <v>95</v>
      </c>
      <c r="N14" t="s">
        <v>96</v>
      </c>
      <c r="P14" t="s">
        <v>101</v>
      </c>
    </row>
    <row r="15" spans="1:18">
      <c r="I15" t="s">
        <v>97</v>
      </c>
      <c r="J15">
        <v>0</v>
      </c>
      <c r="K15">
        <v>0.86454548064136694</v>
      </c>
      <c r="L15">
        <v>0</v>
      </c>
      <c r="N15">
        <v>0</v>
      </c>
      <c r="Q15" t="s">
        <v>97</v>
      </c>
      <c r="R15" t="s">
        <v>99</v>
      </c>
    </row>
    <row r="16" spans="1:18">
      <c r="J16">
        <v>12</v>
      </c>
      <c r="K16">
        <v>1.0000000000023532</v>
      </c>
      <c r="L16">
        <v>1</v>
      </c>
      <c r="N16">
        <v>0.99999999999764677</v>
      </c>
      <c r="P16">
        <v>0</v>
      </c>
      <c r="Q16">
        <v>0</v>
      </c>
      <c r="R16">
        <v>0</v>
      </c>
    </row>
    <row r="17" spans="9:18">
      <c r="J17">
        <v>24</v>
      </c>
      <c r="K17">
        <v>0.95199753328386572</v>
      </c>
      <c r="L17">
        <v>3.5615142436262248</v>
      </c>
      <c r="N17">
        <v>3.7410960838742593</v>
      </c>
      <c r="P17">
        <v>12</v>
      </c>
      <c r="Q17">
        <v>0.99999999999764677</v>
      </c>
      <c r="R17">
        <v>2.2317076818439974</v>
      </c>
    </row>
    <row r="18" spans="9:18">
      <c r="I18" t="s">
        <v>99</v>
      </c>
      <c r="J18">
        <v>0</v>
      </c>
      <c r="K18">
        <v>0.96340088126806089</v>
      </c>
      <c r="L18">
        <v>0</v>
      </c>
      <c r="N18">
        <v>0</v>
      </c>
      <c r="P18">
        <v>24</v>
      </c>
      <c r="Q18">
        <v>3.7410960838742593</v>
      </c>
      <c r="R18">
        <v>9.792456792097866</v>
      </c>
    </row>
    <row r="19" spans="9:18">
      <c r="J19">
        <v>12</v>
      </c>
      <c r="K19">
        <v>1.0285904354951667</v>
      </c>
      <c r="L19">
        <v>2.2955131763658261</v>
      </c>
      <c r="N19">
        <v>2.2317076818439974</v>
      </c>
    </row>
    <row r="20" spans="9:18">
      <c r="J20">
        <v>24</v>
      </c>
      <c r="K20">
        <v>0.93767384831828793</v>
      </c>
      <c r="L20">
        <v>9.1821306447369633</v>
      </c>
      <c r="N20">
        <v>9.792456792097866</v>
      </c>
    </row>
  </sheetData>
  <phoneticPr fontId="2" type="noConversion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1A8803-BF92-CE4F-BCD5-06453945958D}">
  <dimension ref="A1"/>
  <sheetViews>
    <sheetView topLeftCell="A4" workbookViewId="0">
      <selection activeCell="K28" sqref="K28"/>
    </sheetView>
  </sheetViews>
  <sheetFormatPr baseColWidth="10" defaultRowHeight="16"/>
  <sheetData>
    <row r="1" spans="1:1">
      <c r="A1" t="s">
        <v>102</v>
      </c>
    </row>
  </sheetData>
  <phoneticPr fontId="2" type="noConversion"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52B75F-5133-6B4C-AA6B-7E1FDDB946A2}">
  <dimension ref="A1:Z67"/>
  <sheetViews>
    <sheetView topLeftCell="H8" zoomScale="90" workbookViewId="0">
      <selection activeCell="S20" sqref="S20:V24"/>
    </sheetView>
  </sheetViews>
  <sheetFormatPr baseColWidth="10" defaultRowHeight="16"/>
  <sheetData>
    <row r="1" spans="1:24">
      <c r="A1" t="s">
        <v>103</v>
      </c>
    </row>
    <row r="4" spans="1:24"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</row>
    <row r="5" spans="1:24">
      <c r="B5" s="1">
        <v>22373</v>
      </c>
      <c r="C5" s="1">
        <v>15907</v>
      </c>
      <c r="D5" s="1">
        <v>1.4065000000000001</v>
      </c>
      <c r="E5" s="1" t="s">
        <v>604</v>
      </c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</row>
    <row r="6" spans="1:24">
      <c r="B6" s="1">
        <v>26947</v>
      </c>
      <c r="C6" s="1">
        <v>14239</v>
      </c>
      <c r="D6" s="1">
        <v>1.8925000000000001</v>
      </c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</row>
    <row r="7" spans="1:24">
      <c r="B7" s="1">
        <v>25046</v>
      </c>
      <c r="C7" s="1">
        <v>14058</v>
      </c>
      <c r="D7" s="1">
        <v>1.7816000000000001</v>
      </c>
      <c r="E7" s="1"/>
      <c r="F7" s="1"/>
      <c r="G7" s="1"/>
      <c r="H7" s="1"/>
      <c r="I7" s="1"/>
      <c r="J7" s="1"/>
      <c r="K7" s="1"/>
      <c r="L7" s="1"/>
      <c r="M7" s="1">
        <f>AVERAGE(J13:L13)</f>
        <v>0.54870000000000008</v>
      </c>
      <c r="N7" s="1">
        <v>0.54869999999999997</v>
      </c>
      <c r="O7" s="1"/>
      <c r="P7" s="1"/>
      <c r="Q7" s="1"/>
      <c r="R7" s="1"/>
      <c r="S7" s="1"/>
      <c r="T7" s="1"/>
      <c r="U7" s="1"/>
      <c r="V7" s="1"/>
      <c r="W7" s="1"/>
      <c r="X7" s="1"/>
    </row>
    <row r="8" spans="1:24">
      <c r="B8">
        <v>1249219</v>
      </c>
      <c r="C8">
        <v>11327</v>
      </c>
      <c r="D8" s="1">
        <v>110.2791</v>
      </c>
      <c r="E8" s="1" t="s">
        <v>605</v>
      </c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</row>
    <row r="9" spans="1:24">
      <c r="B9">
        <v>1203489</v>
      </c>
      <c r="C9">
        <v>13376</v>
      </c>
      <c r="D9" s="1">
        <v>89.968800000000002</v>
      </c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</row>
    <row r="10" spans="1:24">
      <c r="B10" s="1">
        <v>1296570</v>
      </c>
      <c r="C10" s="1">
        <v>12986</v>
      </c>
      <c r="D10" s="1">
        <v>99.8429</v>
      </c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</row>
    <row r="11" spans="1:24">
      <c r="B11">
        <v>1016</v>
      </c>
      <c r="C11">
        <v>1823</v>
      </c>
      <c r="D11" s="1">
        <v>0.55759999999999998</v>
      </c>
      <c r="E11" t="s">
        <v>606</v>
      </c>
      <c r="F11" s="1"/>
      <c r="G11" s="1"/>
      <c r="H11" s="1"/>
      <c r="I11" s="1"/>
      <c r="J11" s="1" t="s">
        <v>105</v>
      </c>
      <c r="K11" s="1"/>
      <c r="L11" s="1"/>
      <c r="M11" s="1" t="s">
        <v>106</v>
      </c>
      <c r="N11" s="1"/>
      <c r="O11" s="1"/>
      <c r="P11" s="1"/>
      <c r="Q11" s="1"/>
      <c r="R11" s="1" t="s">
        <v>105</v>
      </c>
      <c r="S11" s="1"/>
      <c r="T11" s="1"/>
      <c r="U11" s="1" t="s">
        <v>106</v>
      </c>
      <c r="V11" s="1"/>
      <c r="W11" s="1"/>
      <c r="X11" s="1"/>
    </row>
    <row r="12" spans="1:24">
      <c r="B12">
        <v>904</v>
      </c>
      <c r="C12">
        <v>1767</v>
      </c>
      <c r="D12" s="1">
        <v>0.51190000000000002</v>
      </c>
      <c r="F12" s="1"/>
      <c r="G12" s="1"/>
      <c r="H12" s="1"/>
      <c r="I12" s="1" t="s">
        <v>107</v>
      </c>
      <c r="J12" s="1">
        <v>1.4065000000000001</v>
      </c>
      <c r="K12" s="1">
        <v>1.8925000000000001</v>
      </c>
      <c r="L12" s="1">
        <v>1.7816000000000001</v>
      </c>
      <c r="M12" s="1">
        <v>110.2791</v>
      </c>
      <c r="N12" s="1">
        <v>89.968800000000002</v>
      </c>
      <c r="O12" s="1">
        <v>99.8429</v>
      </c>
      <c r="P12" s="1"/>
      <c r="Q12" s="1" t="s">
        <v>107</v>
      </c>
      <c r="R12" s="1">
        <f t="shared" ref="R12:W15" si="0">J12/0.5487</f>
        <v>2.5633315108438128</v>
      </c>
      <c r="S12" s="1">
        <f t="shared" si="0"/>
        <v>3.4490614178968473</v>
      </c>
      <c r="T12" s="1">
        <f t="shared" si="0"/>
        <v>3.2469473300528526</v>
      </c>
      <c r="U12" s="1">
        <f t="shared" si="0"/>
        <v>200.98250410060143</v>
      </c>
      <c r="V12" s="1">
        <f t="shared" si="0"/>
        <v>163.96719518862767</v>
      </c>
      <c r="W12" s="1">
        <f t="shared" si="0"/>
        <v>181.96263896482597</v>
      </c>
      <c r="X12" s="1"/>
    </row>
    <row r="13" spans="1:24">
      <c r="B13">
        <v>982</v>
      </c>
      <c r="C13">
        <v>1704</v>
      </c>
      <c r="D13" s="1">
        <v>0.5766</v>
      </c>
      <c r="F13" s="1"/>
      <c r="G13" s="1"/>
      <c r="H13" s="1"/>
      <c r="I13" s="1" t="s">
        <v>108</v>
      </c>
      <c r="J13" s="1">
        <v>0.55759999999999998</v>
      </c>
      <c r="K13" s="1">
        <v>0.51190000000000002</v>
      </c>
      <c r="L13" s="1">
        <v>0.5766</v>
      </c>
      <c r="M13" s="1">
        <v>1.5760000000000001</v>
      </c>
      <c r="N13" s="1">
        <v>1.4218</v>
      </c>
      <c r="O13" s="1">
        <v>1.7554000000000001</v>
      </c>
      <c r="P13" s="1"/>
      <c r="Q13" s="1" t="s">
        <v>108</v>
      </c>
      <c r="R13" s="1">
        <f t="shared" si="0"/>
        <v>1.0162201567340987</v>
      </c>
      <c r="S13" s="1">
        <f t="shared" si="0"/>
        <v>0.93293238563878267</v>
      </c>
      <c r="T13" s="1">
        <f t="shared" si="0"/>
        <v>1.0508474576271187</v>
      </c>
      <c r="U13" s="1">
        <f t="shared" si="0"/>
        <v>2.8722434845999638</v>
      </c>
      <c r="V13" s="1">
        <f t="shared" si="0"/>
        <v>2.5912156005102971</v>
      </c>
      <c r="W13" s="1">
        <f t="shared" si="0"/>
        <v>3.1991981046108986</v>
      </c>
      <c r="X13" s="1"/>
    </row>
    <row r="14" spans="1:24">
      <c r="B14" s="1">
        <v>2592</v>
      </c>
      <c r="C14" s="1">
        <v>1645</v>
      </c>
      <c r="D14" s="1">
        <v>1.5760000000000001</v>
      </c>
      <c r="E14" t="s">
        <v>607</v>
      </c>
      <c r="F14" s="1"/>
      <c r="G14" s="1"/>
      <c r="H14" s="1"/>
      <c r="I14" s="1" t="s">
        <v>498</v>
      </c>
      <c r="J14" s="1">
        <v>5.6845999999999997</v>
      </c>
      <c r="K14" s="1">
        <v>5.4766000000000004</v>
      </c>
      <c r="L14" s="1">
        <v>4.4836999999999998</v>
      </c>
      <c r="M14" s="1">
        <v>151.31450000000001</v>
      </c>
      <c r="N14" s="1">
        <v>145.72030000000001</v>
      </c>
      <c r="O14" s="1">
        <v>152.15799999999999</v>
      </c>
      <c r="P14" s="1"/>
      <c r="Q14" s="1" t="s">
        <v>498</v>
      </c>
      <c r="R14" s="1">
        <f t="shared" si="0"/>
        <v>10.360123929287406</v>
      </c>
      <c r="S14" s="1">
        <f t="shared" si="0"/>
        <v>9.9810461089848754</v>
      </c>
      <c r="T14" s="1">
        <f t="shared" si="0"/>
        <v>8.1714962638964828</v>
      </c>
      <c r="U14" s="1">
        <f t="shared" si="0"/>
        <v>275.76909057772923</v>
      </c>
      <c r="V14" s="1">
        <f t="shared" si="0"/>
        <v>265.57371970111177</v>
      </c>
      <c r="W14" s="1">
        <f t="shared" si="0"/>
        <v>277.30636048842717</v>
      </c>
      <c r="X14" s="1"/>
    </row>
    <row r="15" spans="1:24">
      <c r="B15" s="1">
        <v>2386</v>
      </c>
      <c r="C15" s="1">
        <v>1678</v>
      </c>
      <c r="D15" s="1">
        <v>1.4218</v>
      </c>
      <c r="F15" s="1"/>
      <c r="G15" s="1"/>
      <c r="H15" s="1"/>
      <c r="I15" s="1" t="s">
        <v>499</v>
      </c>
      <c r="J15" s="1">
        <v>1.1071</v>
      </c>
      <c r="K15" s="1">
        <v>1.2458</v>
      </c>
      <c r="L15" s="1">
        <v>1.2863</v>
      </c>
      <c r="M15" s="1">
        <v>4.9345999999999997</v>
      </c>
      <c r="N15" s="1">
        <v>4.8894000000000002</v>
      </c>
      <c r="O15" s="1">
        <v>7.1104000000000003</v>
      </c>
      <c r="P15" s="1"/>
      <c r="Q15" s="1" t="s">
        <v>499</v>
      </c>
      <c r="R15" s="1">
        <f t="shared" si="0"/>
        <v>2.017678148350647</v>
      </c>
      <c r="S15" s="1">
        <f t="shared" si="0"/>
        <v>2.2704574448696921</v>
      </c>
      <c r="T15" s="1">
        <f t="shared" si="0"/>
        <v>2.3442682704574449</v>
      </c>
      <c r="U15" s="1">
        <f t="shared" si="0"/>
        <v>8.9932567887734649</v>
      </c>
      <c r="V15" s="1">
        <f t="shared" si="0"/>
        <v>8.9108802624384911</v>
      </c>
      <c r="W15" s="1">
        <f t="shared" si="0"/>
        <v>12.958629487880446</v>
      </c>
      <c r="X15" s="1"/>
    </row>
    <row r="16" spans="1:24">
      <c r="B16">
        <v>2770</v>
      </c>
      <c r="C16">
        <v>1578</v>
      </c>
      <c r="D16" s="1">
        <v>1.7554000000000001</v>
      </c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</row>
    <row r="17" spans="2:24">
      <c r="B17">
        <v>16528</v>
      </c>
      <c r="C17">
        <v>2907</v>
      </c>
      <c r="D17" s="1">
        <v>5.6845999999999997</v>
      </c>
      <c r="E17" s="1" t="s">
        <v>150</v>
      </c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</row>
    <row r="18" spans="2:24">
      <c r="B18" s="1">
        <v>14352</v>
      </c>
      <c r="C18" s="1">
        <v>2620</v>
      </c>
      <c r="D18" s="1">
        <v>5.4766000000000004</v>
      </c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</row>
    <row r="19" spans="2:24">
      <c r="B19">
        <v>11483</v>
      </c>
      <c r="C19">
        <v>2561</v>
      </c>
      <c r="D19" s="1">
        <v>4.4836999999999998</v>
      </c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</row>
    <row r="20" spans="2:24">
      <c r="B20">
        <v>401458</v>
      </c>
      <c r="C20">
        <v>2653</v>
      </c>
      <c r="D20" s="1">
        <v>151.31450000000001</v>
      </c>
      <c r="E20" s="1" t="s">
        <v>608</v>
      </c>
      <c r="F20" s="1"/>
      <c r="G20" s="1"/>
      <c r="H20" s="1"/>
      <c r="I20" s="91"/>
      <c r="J20" s="91" t="s">
        <v>105</v>
      </c>
      <c r="K20" s="91"/>
      <c r="L20" s="91"/>
      <c r="M20" s="91" t="s">
        <v>106</v>
      </c>
      <c r="N20" s="91"/>
      <c r="O20" s="91"/>
      <c r="P20" s="90" t="s">
        <v>663</v>
      </c>
      <c r="Q20" s="90" t="s">
        <v>396</v>
      </c>
      <c r="R20" s="90" t="s">
        <v>664</v>
      </c>
      <c r="S20" s="90" t="s">
        <v>663</v>
      </c>
      <c r="T20" s="90" t="s">
        <v>396</v>
      </c>
      <c r="U20" s="90" t="s">
        <v>664</v>
      </c>
      <c r="V20" s="101" t="s">
        <v>665</v>
      </c>
      <c r="W20" s="1"/>
      <c r="X20" s="1"/>
    </row>
    <row r="21" spans="2:24">
      <c r="B21" s="1">
        <v>421164</v>
      </c>
      <c r="C21" s="1">
        <v>2890</v>
      </c>
      <c r="D21" s="1">
        <v>145.72030000000001</v>
      </c>
      <c r="E21" s="1"/>
      <c r="F21" s="89"/>
      <c r="I21" s="90" t="s">
        <v>107</v>
      </c>
      <c r="J21" s="91">
        <v>2.5633315108438128</v>
      </c>
      <c r="K21" s="91">
        <v>3.4490614178968473</v>
      </c>
      <c r="L21" s="91">
        <v>3.2469473300528526</v>
      </c>
      <c r="M21" s="91">
        <v>200.98250410060143</v>
      </c>
      <c r="N21" s="91">
        <v>163.96719518862767</v>
      </c>
      <c r="O21" s="91">
        <v>181.96263896482597</v>
      </c>
      <c r="P21" s="90">
        <f>AVERAGE(J21:L21)</f>
        <v>3.0864467529311708</v>
      </c>
      <c r="Q21" s="90">
        <f>STDEV(J21:L21)</f>
        <v>0.4641655884534524</v>
      </c>
      <c r="R21" s="90">
        <f>Q21/SQRT(3)</f>
        <v>0.26798612744216183</v>
      </c>
      <c r="S21" s="90">
        <f>AVERAGE(M21:O21)</f>
        <v>182.30411275135168</v>
      </c>
      <c r="T21" s="90">
        <f>STDEV(M21:O21)</f>
        <v>18.510016929283836</v>
      </c>
      <c r="U21" s="90">
        <f>T21/SQRT(3)</f>
        <v>10.686763256826554</v>
      </c>
      <c r="V21" s="94"/>
      <c r="W21" s="1"/>
      <c r="X21" s="1"/>
    </row>
    <row r="22" spans="2:24">
      <c r="B22">
        <v>422440</v>
      </c>
      <c r="C22">
        <v>2776</v>
      </c>
      <c r="D22" s="1">
        <v>152.15799999999999</v>
      </c>
      <c r="E22" s="1"/>
      <c r="F22" s="89"/>
      <c r="G22" s="1"/>
      <c r="I22" s="90" t="s">
        <v>108</v>
      </c>
      <c r="J22" s="90">
        <v>1.0162201567340987</v>
      </c>
      <c r="K22" s="90">
        <v>0.93293238563878267</v>
      </c>
      <c r="L22" s="91">
        <v>1.0508474576271187</v>
      </c>
      <c r="M22" s="91">
        <v>2.8722434845999638</v>
      </c>
      <c r="N22" s="91">
        <v>2.5912156005102971</v>
      </c>
      <c r="O22" s="91">
        <v>3.1991981046108986</v>
      </c>
      <c r="P22" s="90">
        <f>AVERAGE(J22:L22)</f>
        <v>1</v>
      </c>
      <c r="Q22" s="90">
        <f t="shared" ref="Q22:Q24" si="1">STDEV(J22:L22)</f>
        <v>6.0607847378558691E-2</v>
      </c>
      <c r="R22" s="90">
        <f t="shared" ref="R22:R24" si="2">Q22/SQRT(3)</f>
        <v>3.4991956999014619E-2</v>
      </c>
      <c r="S22" s="90">
        <f t="shared" ref="S22:S24" si="3">AVERAGE(M22:O22)</f>
        <v>2.8875523965737195</v>
      </c>
      <c r="T22" s="90">
        <f t="shared" ref="T22:T24" si="4">STDEV(M22:O22)</f>
        <v>0.30428022185556958</v>
      </c>
      <c r="U22" s="90">
        <f t="shared" ref="U22:U24" si="5">T22/SQRT(3)</f>
        <v>0.17567626799739217</v>
      </c>
      <c r="V22" s="94"/>
      <c r="W22" s="1"/>
      <c r="X22" s="1"/>
    </row>
    <row r="23" spans="2:24">
      <c r="B23">
        <v>936</v>
      </c>
      <c r="C23">
        <v>845</v>
      </c>
      <c r="D23" s="1">
        <v>1.1071</v>
      </c>
      <c r="E23" s="1" t="s">
        <v>151</v>
      </c>
      <c r="F23" s="89"/>
      <c r="G23" s="1"/>
      <c r="I23" s="90" t="s">
        <v>498</v>
      </c>
      <c r="J23" s="90">
        <v>10.360123929287406</v>
      </c>
      <c r="K23" s="90">
        <v>9.9810461089848754</v>
      </c>
      <c r="L23" s="91">
        <v>8.1714962638964828</v>
      </c>
      <c r="M23" s="91">
        <v>275.76909057772923</v>
      </c>
      <c r="N23" s="91">
        <v>265.57371970111177</v>
      </c>
      <c r="O23" s="91">
        <v>277.30636048842717</v>
      </c>
      <c r="P23" s="90">
        <f>AVERAGE(J23:L23)</f>
        <v>9.504222100722922</v>
      </c>
      <c r="Q23" s="90">
        <f t="shared" si="1"/>
        <v>1.1696339664911743</v>
      </c>
      <c r="R23" s="90">
        <f t="shared" si="2"/>
        <v>0.67528848540700925</v>
      </c>
      <c r="S23" s="90">
        <f t="shared" si="3"/>
        <v>272.88305692242267</v>
      </c>
      <c r="T23" s="90">
        <f t="shared" si="4"/>
        <v>6.3765670745092633</v>
      </c>
      <c r="U23" s="90">
        <f t="shared" si="5"/>
        <v>3.6815127169736277</v>
      </c>
      <c r="V23" s="94"/>
      <c r="W23" s="1"/>
      <c r="X23" s="1"/>
    </row>
    <row r="24" spans="2:24">
      <c r="B24" s="1">
        <v>1029</v>
      </c>
      <c r="C24" s="1">
        <v>826</v>
      </c>
      <c r="D24" s="1">
        <v>1.2458</v>
      </c>
      <c r="E24" s="1"/>
      <c r="F24" s="89"/>
      <c r="G24" s="1"/>
      <c r="I24" s="90" t="s">
        <v>499</v>
      </c>
      <c r="J24" s="90">
        <v>2.017678148350647</v>
      </c>
      <c r="K24" s="90">
        <v>2.2704574448696921</v>
      </c>
      <c r="L24" s="91">
        <v>2.3442682704574449</v>
      </c>
      <c r="M24" s="91">
        <v>8.9932567887734649</v>
      </c>
      <c r="N24" s="91">
        <v>8.9108802624384911</v>
      </c>
      <c r="O24" s="91">
        <v>12.958629487880446</v>
      </c>
      <c r="P24" s="90">
        <f>AVERAGE(J24:L24)</f>
        <v>2.2108012878925947</v>
      </c>
      <c r="Q24" s="90">
        <f t="shared" si="1"/>
        <v>0.17127293937861396</v>
      </c>
      <c r="R24" s="90">
        <f t="shared" si="2"/>
        <v>9.8884477655141231E-2</v>
      </c>
      <c r="S24" s="90">
        <f t="shared" si="3"/>
        <v>10.287588846364132</v>
      </c>
      <c r="T24" s="90">
        <f t="shared" si="4"/>
        <v>2.3135557167478589</v>
      </c>
      <c r="U24" s="90">
        <f t="shared" si="5"/>
        <v>1.335732015849574</v>
      </c>
      <c r="V24" s="94" t="s">
        <v>666</v>
      </c>
      <c r="W24" s="1"/>
      <c r="X24" s="1"/>
    </row>
    <row r="25" spans="2:24">
      <c r="B25">
        <v>1057</v>
      </c>
      <c r="C25">
        <v>821</v>
      </c>
      <c r="D25" s="1">
        <v>1.2863</v>
      </c>
      <c r="E25" s="1"/>
      <c r="F25" s="89"/>
      <c r="I25" s="90"/>
      <c r="J25" s="90"/>
      <c r="K25" s="90"/>
      <c r="L25" s="91"/>
      <c r="M25" s="91"/>
      <c r="N25" s="91"/>
      <c r="O25" s="91"/>
      <c r="P25" s="90"/>
      <c r="Q25" s="90"/>
      <c r="R25" s="90"/>
      <c r="S25" s="90"/>
      <c r="T25" s="90"/>
      <c r="U25" s="90"/>
      <c r="V25" s="94"/>
      <c r="W25" s="1"/>
      <c r="X25" s="1"/>
    </row>
    <row r="26" spans="2:24">
      <c r="B26">
        <v>3866</v>
      </c>
      <c r="C26">
        <v>783</v>
      </c>
      <c r="D26" s="1">
        <v>4.9345999999999997</v>
      </c>
      <c r="E26" s="1" t="s">
        <v>609</v>
      </c>
      <c r="F26" s="89"/>
      <c r="I26" s="90"/>
      <c r="J26" s="90"/>
      <c r="K26" s="90"/>
      <c r="L26" s="91"/>
      <c r="M26" s="91"/>
      <c r="N26" s="91"/>
      <c r="O26" s="91"/>
      <c r="P26" s="90"/>
      <c r="Q26" s="90"/>
      <c r="R26" s="90"/>
      <c r="S26" s="90"/>
      <c r="T26" s="90"/>
      <c r="U26" s="90"/>
      <c r="V26" s="94"/>
      <c r="W26" s="1"/>
      <c r="X26" s="1"/>
    </row>
    <row r="27" spans="2:24">
      <c r="B27">
        <v>3751</v>
      </c>
      <c r="C27">
        <v>767</v>
      </c>
      <c r="D27" s="1">
        <v>4.8894000000000002</v>
      </c>
      <c r="E27" s="1"/>
      <c r="F27" s="89"/>
      <c r="G27" s="1"/>
    </row>
    <row r="28" spans="2:24">
      <c r="B28" s="1">
        <v>5052</v>
      </c>
      <c r="C28" s="1">
        <v>710</v>
      </c>
      <c r="D28" s="1">
        <v>7.1104000000000003</v>
      </c>
      <c r="E28" s="1"/>
      <c r="F28" s="89"/>
    </row>
    <row r="29" spans="2:24">
      <c r="E29" s="1"/>
      <c r="F29" s="89"/>
    </row>
    <row r="30" spans="2:24">
      <c r="E30" s="1"/>
      <c r="F30" s="89"/>
    </row>
    <row r="31" spans="2:24">
      <c r="B31" s="1"/>
      <c r="C31" s="1"/>
      <c r="D31" s="1"/>
      <c r="E31" s="1"/>
      <c r="F31" s="89"/>
      <c r="G31" s="1"/>
    </row>
    <row r="32" spans="2:24">
      <c r="B32" s="1"/>
      <c r="C32" s="1"/>
      <c r="D32" s="1"/>
      <c r="E32" s="1"/>
      <c r="F32" s="89"/>
      <c r="G32" s="1"/>
    </row>
    <row r="33" spans="5:24">
      <c r="E33" s="1"/>
      <c r="F33" s="1"/>
      <c r="G33" s="1"/>
    </row>
    <row r="34" spans="5:24"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</row>
    <row r="35" spans="5:24"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</row>
    <row r="36" spans="5:24"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</row>
    <row r="37" spans="5:24"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</row>
    <row r="38" spans="5:24"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</row>
    <row r="39" spans="5:24"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</row>
    <row r="40" spans="5:24"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</row>
    <row r="41" spans="5:24"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</row>
    <row r="42" spans="5:24"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</row>
    <row r="43" spans="5:24"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</row>
    <row r="44" spans="5:24"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</row>
    <row r="45" spans="5:24"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</row>
    <row r="46" spans="5:24"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</row>
    <row r="47" spans="5:24"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</row>
    <row r="48" spans="5:24"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</row>
    <row r="49" spans="2:26"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</row>
    <row r="53" spans="2:26">
      <c r="D53" s="1"/>
      <c r="E53" s="1"/>
      <c r="F53" s="1"/>
      <c r="G53" s="1"/>
      <c r="H53" s="116"/>
      <c r="I53" s="1"/>
      <c r="J53" s="1"/>
    </row>
    <row r="54" spans="2:26">
      <c r="D54" s="1"/>
      <c r="E54" s="1"/>
      <c r="F54" s="1"/>
      <c r="G54" s="1"/>
      <c r="H54" s="116"/>
      <c r="I54" s="1"/>
      <c r="J54" s="1"/>
    </row>
    <row r="55" spans="2:26">
      <c r="D55" s="1"/>
      <c r="E55" s="1"/>
      <c r="F55" s="1"/>
      <c r="G55" s="1"/>
      <c r="H55" s="116"/>
      <c r="I55" s="1"/>
      <c r="J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2:26">
      <c r="D56" s="1"/>
      <c r="E56" s="1"/>
      <c r="F56" s="1"/>
      <c r="G56" s="1"/>
      <c r="H56" s="116"/>
      <c r="I56" s="1"/>
      <c r="J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2:26">
      <c r="D57" s="1"/>
      <c r="E57" s="1"/>
      <c r="F57" s="1"/>
      <c r="G57" s="1"/>
      <c r="H57" s="116"/>
      <c r="I57" s="1"/>
      <c r="J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2:26">
      <c r="D58" s="1"/>
      <c r="E58" s="1"/>
      <c r="F58" s="1"/>
      <c r="G58" s="1"/>
      <c r="H58" s="116"/>
      <c r="I58" s="1"/>
      <c r="J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2:26">
      <c r="D59" s="1"/>
      <c r="E59" s="1"/>
      <c r="F59" s="1"/>
      <c r="G59" s="1"/>
      <c r="H59" s="116"/>
      <c r="I59" s="1"/>
      <c r="J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2:26">
      <c r="D60" s="1"/>
      <c r="E60" s="1"/>
      <c r="F60" s="1"/>
      <c r="G60" s="1"/>
      <c r="H60" s="116"/>
      <c r="I60" s="1"/>
      <c r="J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2:26">
      <c r="D61" s="1"/>
      <c r="E61" s="1"/>
      <c r="F61" s="1"/>
      <c r="G61" s="1"/>
      <c r="H61" s="116"/>
      <c r="I61" s="1"/>
      <c r="J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2:26">
      <c r="D62" s="1"/>
      <c r="E62" s="1"/>
      <c r="F62" s="1"/>
      <c r="G62" s="1"/>
      <c r="H62" s="116"/>
      <c r="I62" s="1"/>
      <c r="J62" s="1"/>
    </row>
    <row r="63" spans="2:26">
      <c r="D63" s="1"/>
      <c r="E63" s="1"/>
      <c r="F63" s="1"/>
      <c r="G63" s="1"/>
      <c r="H63" s="116"/>
      <c r="I63" s="1"/>
      <c r="J63" s="1"/>
    </row>
    <row r="64" spans="2:26">
      <c r="D64" s="1"/>
      <c r="E64" s="1"/>
      <c r="F64" s="1"/>
      <c r="G64" s="1"/>
      <c r="H64" s="116"/>
      <c r="I64" s="1"/>
      <c r="J64" s="1"/>
    </row>
    <row r="65" spans="4:10">
      <c r="D65" s="1"/>
      <c r="E65" s="1"/>
      <c r="F65" s="1"/>
      <c r="G65" s="1"/>
      <c r="H65" s="116"/>
      <c r="I65" s="1"/>
      <c r="J65" s="1"/>
    </row>
    <row r="66" spans="4:10">
      <c r="D66" s="1"/>
      <c r="E66" s="1"/>
      <c r="F66" s="1"/>
      <c r="G66" s="1"/>
      <c r="H66" s="116"/>
      <c r="I66" s="1"/>
      <c r="J66" s="1"/>
    </row>
    <row r="67" spans="4:10">
      <c r="D67" s="35"/>
      <c r="E67" s="1"/>
      <c r="F67" s="1"/>
      <c r="G67" s="1"/>
      <c r="H67" s="116"/>
      <c r="I67" s="1"/>
      <c r="J67" s="1"/>
    </row>
  </sheetData>
  <mergeCells count="4">
    <mergeCell ref="H62:H67"/>
    <mergeCell ref="H53:H55"/>
    <mergeCell ref="H56:H58"/>
    <mergeCell ref="H59:H61"/>
  </mergeCells>
  <phoneticPr fontId="2" type="noConversion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F34E1-F607-C94A-BDE4-60324E881722}">
  <dimension ref="A1:AB53"/>
  <sheetViews>
    <sheetView topLeftCell="M22" workbookViewId="0">
      <selection activeCell="O9" sqref="O9:V13"/>
    </sheetView>
  </sheetViews>
  <sheetFormatPr baseColWidth="10" defaultRowHeight="16"/>
  <sheetData>
    <row r="1" spans="1:28">
      <c r="A1" t="s">
        <v>111</v>
      </c>
    </row>
    <row r="3" spans="1:28">
      <c r="B3" t="s">
        <v>27</v>
      </c>
      <c r="C3" t="s">
        <v>112</v>
      </c>
      <c r="D3">
        <v>18.803999999999998</v>
      </c>
      <c r="F3" t="s">
        <v>27</v>
      </c>
      <c r="G3" t="s">
        <v>113</v>
      </c>
      <c r="H3">
        <v>32.497999999999998</v>
      </c>
      <c r="I3">
        <f>H3-E5</f>
        <v>13.841000000000001</v>
      </c>
      <c r="J3">
        <f>POWER(2,-I3)</f>
        <v>6.8146543089756632E-5</v>
      </c>
      <c r="M3">
        <f>J3/0.000077828472083116</f>
        <v>0.87559913828168612</v>
      </c>
    </row>
    <row r="4" spans="1:28">
      <c r="B4" t="s">
        <v>27</v>
      </c>
      <c r="C4" t="s">
        <v>112</v>
      </c>
      <c r="D4">
        <v>18.548999999999999</v>
      </c>
      <c r="F4" t="s">
        <v>27</v>
      </c>
      <c r="G4" t="s">
        <v>113</v>
      </c>
      <c r="H4">
        <v>32.502000000000002</v>
      </c>
      <c r="I4">
        <f>H4-E5</f>
        <v>13.845000000000006</v>
      </c>
      <c r="J4">
        <f t="shared" ref="J4:J26" si="0">POWER(2,-I4)</f>
        <v>6.7957862440715401E-5</v>
      </c>
      <c r="M4">
        <f t="shared" ref="M4:M26" si="1">J4/0.000077828472083116</f>
        <v>0.87317482435143534</v>
      </c>
    </row>
    <row r="5" spans="1:28">
      <c r="B5" t="s">
        <v>27</v>
      </c>
      <c r="C5" t="s">
        <v>112</v>
      </c>
      <c r="D5">
        <v>18.617999999999999</v>
      </c>
      <c r="E5">
        <f>AVERAGE(D3:D5)</f>
        <v>18.656999999999996</v>
      </c>
      <c r="F5" t="s">
        <v>27</v>
      </c>
      <c r="G5" t="s">
        <v>113</v>
      </c>
      <c r="H5">
        <v>31.983000000000001</v>
      </c>
      <c r="I5">
        <f>H5-E5</f>
        <v>13.326000000000004</v>
      </c>
      <c r="J5">
        <f t="shared" si="0"/>
        <v>9.7381010718875841E-5</v>
      </c>
      <c r="K5">
        <f>AVERAGE(J3:J5)</f>
        <v>7.7828472083115967E-5</v>
      </c>
      <c r="L5">
        <v>7.7828472083115994E-5</v>
      </c>
      <c r="M5">
        <f t="shared" si="1"/>
        <v>1.2512260373668771</v>
      </c>
    </row>
    <row r="6" spans="1:28">
      <c r="B6" t="s">
        <v>30</v>
      </c>
      <c r="C6" t="s">
        <v>112</v>
      </c>
      <c r="D6">
        <v>19.152000000000001</v>
      </c>
      <c r="F6" t="s">
        <v>30</v>
      </c>
      <c r="G6" t="s">
        <v>113</v>
      </c>
      <c r="H6">
        <v>32.158000000000001</v>
      </c>
      <c r="I6">
        <f t="shared" ref="I6" si="2">H6-E8</f>
        <v>13.169</v>
      </c>
      <c r="J6">
        <f t="shared" si="0"/>
        <v>1.0857653729710664E-4</v>
      </c>
      <c r="M6">
        <f t="shared" si="1"/>
        <v>1.395074763656591</v>
      </c>
    </row>
    <row r="7" spans="1:28">
      <c r="B7" t="s">
        <v>30</v>
      </c>
      <c r="C7" t="s">
        <v>112</v>
      </c>
      <c r="D7">
        <v>18.891999999999999</v>
      </c>
      <c r="F7" t="s">
        <v>30</v>
      </c>
      <c r="G7" t="s">
        <v>113</v>
      </c>
      <c r="H7">
        <v>34.539000000000001</v>
      </c>
      <c r="I7">
        <f t="shared" ref="I7" si="3">H7-E8</f>
        <v>15.55</v>
      </c>
      <c r="J7">
        <f t="shared" si="0"/>
        <v>2.0844120128698644E-5</v>
      </c>
      <c r="M7">
        <f t="shared" si="1"/>
        <v>0.26782126862825228</v>
      </c>
      <c r="O7" s="90" t="s">
        <v>152</v>
      </c>
      <c r="P7" s="90"/>
      <c r="Q7" s="90"/>
      <c r="R7" s="90"/>
      <c r="S7" s="90"/>
      <c r="T7" s="90"/>
      <c r="U7" s="90"/>
      <c r="V7" s="90"/>
      <c r="W7" s="90"/>
      <c r="X7" s="90"/>
      <c r="Y7" s="90"/>
      <c r="Z7" s="90"/>
      <c r="AA7" s="90"/>
      <c r="AB7" s="90"/>
    </row>
    <row r="8" spans="1:28">
      <c r="B8" t="s">
        <v>30</v>
      </c>
      <c r="C8" t="s">
        <v>112</v>
      </c>
      <c r="D8">
        <v>18.922999999999998</v>
      </c>
      <c r="E8">
        <f t="shared" ref="E8" si="4">AVERAGE(D6:D8)</f>
        <v>18.989000000000001</v>
      </c>
      <c r="F8" t="s">
        <v>30</v>
      </c>
      <c r="G8" t="s">
        <v>113</v>
      </c>
      <c r="H8">
        <v>33.472999999999999</v>
      </c>
      <c r="I8">
        <f t="shared" ref="I8" si="5">H8-E8</f>
        <v>14.483999999999998</v>
      </c>
      <c r="J8">
        <f t="shared" si="0"/>
        <v>4.3639678538869989E-5</v>
      </c>
      <c r="M8">
        <f t="shared" si="1"/>
        <v>0.56071611546305977</v>
      </c>
      <c r="O8" s="90"/>
      <c r="P8" s="90"/>
      <c r="Q8" s="90"/>
      <c r="R8" s="90"/>
      <c r="S8" s="90"/>
      <c r="T8" s="90"/>
      <c r="U8" s="90"/>
      <c r="V8" s="90"/>
      <c r="W8" s="90"/>
      <c r="X8" s="90"/>
      <c r="Y8" s="90"/>
      <c r="Z8" s="90"/>
      <c r="AA8" s="90"/>
      <c r="AB8" s="90"/>
    </row>
    <row r="9" spans="1:28">
      <c r="B9" t="s">
        <v>703</v>
      </c>
      <c r="C9" t="s">
        <v>112</v>
      </c>
      <c r="D9">
        <v>18.843</v>
      </c>
      <c r="F9" t="s">
        <v>703</v>
      </c>
      <c r="G9" t="s">
        <v>113</v>
      </c>
      <c r="H9">
        <v>34.095999999999997</v>
      </c>
      <c r="I9">
        <f t="shared" ref="I9" si="6">H9-E11</f>
        <v>15.319999999999997</v>
      </c>
      <c r="J9">
        <f t="shared" si="0"/>
        <v>2.4446712572925541E-5</v>
      </c>
      <c r="M9">
        <f t="shared" si="1"/>
        <v>0.31411014399483472</v>
      </c>
      <c r="O9" s="90"/>
      <c r="P9" s="45" t="s">
        <v>116</v>
      </c>
      <c r="Q9" s="90"/>
      <c r="R9" s="90"/>
      <c r="S9" s="45" t="s">
        <v>117</v>
      </c>
      <c r="T9" s="90"/>
      <c r="U9" s="90"/>
      <c r="V9" s="90" t="s">
        <v>663</v>
      </c>
      <c r="W9" s="90" t="s">
        <v>396</v>
      </c>
      <c r="X9" s="90" t="s">
        <v>664</v>
      </c>
      <c r="Y9" s="90" t="s">
        <v>663</v>
      </c>
      <c r="Z9" s="90" t="s">
        <v>396</v>
      </c>
      <c r="AA9" s="90" t="s">
        <v>664</v>
      </c>
      <c r="AB9" s="101" t="s">
        <v>665</v>
      </c>
    </row>
    <row r="10" spans="1:28">
      <c r="B10" t="s">
        <v>703</v>
      </c>
      <c r="C10" t="s">
        <v>112</v>
      </c>
      <c r="D10">
        <v>18.716000000000001</v>
      </c>
      <c r="F10" t="s">
        <v>703</v>
      </c>
      <c r="G10" t="s">
        <v>113</v>
      </c>
      <c r="H10">
        <v>32.866999999999997</v>
      </c>
      <c r="I10">
        <f t="shared" ref="I10" si="7">H10-E11</f>
        <v>14.090999999999998</v>
      </c>
      <c r="J10">
        <f t="shared" si="0"/>
        <v>5.7304183796109211E-5</v>
      </c>
      <c r="M10">
        <f t="shared" si="1"/>
        <v>0.7362881765803122</v>
      </c>
      <c r="O10" s="45" t="s">
        <v>118</v>
      </c>
      <c r="P10" s="90">
        <v>0.87559913828168612</v>
      </c>
      <c r="Q10" s="90">
        <v>0.87317482435143534</v>
      </c>
      <c r="R10" s="90">
        <v>1.2512260373668771</v>
      </c>
      <c r="S10" s="90">
        <v>3936.8947814626172</v>
      </c>
      <c r="T10" s="90">
        <v>3794.8902297903992</v>
      </c>
      <c r="U10" s="90">
        <v>3983.5595867291581</v>
      </c>
      <c r="V10" s="90">
        <f>AVERAGE(P10:R10)</f>
        <v>0.99999999999999956</v>
      </c>
      <c r="W10" s="90">
        <f>STDEV(P10:R10)</f>
        <v>0.21757150712537152</v>
      </c>
      <c r="X10" s="90">
        <f>W10/SQRT(3)</f>
        <v>0.12561496820682583</v>
      </c>
      <c r="Y10" s="90">
        <f>AVERAGE(S10:U10)</f>
        <v>3905.1148659940577</v>
      </c>
      <c r="Z10" s="90">
        <f>STDEV(S10:U10)</f>
        <v>98.267511580953212</v>
      </c>
      <c r="AA10" s="90">
        <f>Z10/SQRT(3)</f>
        <v>56.734774263858007</v>
      </c>
      <c r="AB10" s="94"/>
    </row>
    <row r="11" spans="1:28">
      <c r="B11" t="s">
        <v>703</v>
      </c>
      <c r="C11" t="s">
        <v>112</v>
      </c>
      <c r="D11">
        <v>18.768999999999998</v>
      </c>
      <c r="E11">
        <f t="shared" ref="E11" si="8">AVERAGE(D9:D11)</f>
        <v>18.776</v>
      </c>
      <c r="F11" t="s">
        <v>703</v>
      </c>
      <c r="G11" t="s">
        <v>113</v>
      </c>
      <c r="H11">
        <v>32.844000000000001</v>
      </c>
      <c r="I11">
        <f t="shared" ref="I11" si="9">H11-E11</f>
        <v>14.068000000000001</v>
      </c>
      <c r="J11">
        <f t="shared" si="0"/>
        <v>5.8225070223849995E-5</v>
      </c>
      <c r="M11">
        <f t="shared" si="1"/>
        <v>0.74812043286252905</v>
      </c>
      <c r="O11" s="45" t="s">
        <v>119</v>
      </c>
      <c r="P11" s="90">
        <v>1.395074763656591</v>
      </c>
      <c r="Q11" s="90">
        <v>0.26782126862825228</v>
      </c>
      <c r="R11" s="90">
        <v>0.56071611546305977</v>
      </c>
      <c r="S11" s="90">
        <v>64.281979003475286</v>
      </c>
      <c r="T11" s="90">
        <v>54.167005801466637</v>
      </c>
      <c r="U11" s="90">
        <v>81.365338797107938</v>
      </c>
      <c r="V11" s="90">
        <f>AVERAGE(P11:R11)</f>
        <v>0.74120404924930094</v>
      </c>
      <c r="W11" s="90">
        <f t="shared" ref="W11:W13" si="10">STDEV(P11:R11)</f>
        <v>0.58489916327109015</v>
      </c>
      <c r="X11" s="90">
        <f t="shared" ref="X11:X13" si="11">W11/SQRT(3)</f>
        <v>0.33769168936335081</v>
      </c>
      <c r="Y11" s="90">
        <f t="shared" ref="Y11:Y13" si="12">AVERAGE(S11:U11)</f>
        <v>66.604774534016613</v>
      </c>
      <c r="Z11" s="90">
        <f t="shared" ref="Z11:Z13" si="13">STDEV(S11:U11)</f>
        <v>13.747140202346625</v>
      </c>
      <c r="AA11" s="90">
        <f t="shared" ref="AA11:AA13" si="14">Z11/SQRT(3)</f>
        <v>7.9369150964123509</v>
      </c>
      <c r="AB11" s="94"/>
    </row>
    <row r="12" spans="1:28">
      <c r="B12" t="s">
        <v>704</v>
      </c>
      <c r="C12" t="s">
        <v>112</v>
      </c>
      <c r="D12">
        <v>18.036000000000001</v>
      </c>
      <c r="F12" t="s">
        <v>704</v>
      </c>
      <c r="G12" t="s">
        <v>113</v>
      </c>
      <c r="H12">
        <v>32.697000000000003</v>
      </c>
      <c r="I12">
        <f t="shared" ref="I12" si="15">H12-E14</f>
        <v>14.752333333333336</v>
      </c>
      <c r="J12">
        <f t="shared" si="0"/>
        <v>3.6233072302989242E-5</v>
      </c>
      <c r="M12">
        <f t="shared" si="1"/>
        <v>0.4655503485189143</v>
      </c>
      <c r="O12" s="45" t="s">
        <v>120</v>
      </c>
      <c r="P12" s="90">
        <v>0.31411014399483472</v>
      </c>
      <c r="Q12" s="90">
        <v>0.7362881765803122</v>
      </c>
      <c r="R12" s="90">
        <v>0.74812043286252905</v>
      </c>
      <c r="S12" s="90">
        <v>4209.2352862168</v>
      </c>
      <c r="T12" s="90">
        <v>4051.7864962201024</v>
      </c>
      <c r="U12" s="90">
        <v>4043.3697971116007</v>
      </c>
      <c r="V12" s="90">
        <f>AVERAGE(P12:R12)</f>
        <v>0.59950625114589196</v>
      </c>
      <c r="W12" s="90">
        <f t="shared" si="10"/>
        <v>0.24723107420976725</v>
      </c>
      <c r="X12" s="90">
        <f t="shared" si="11"/>
        <v>0.14273892724704948</v>
      </c>
      <c r="Y12" s="90">
        <f t="shared" si="12"/>
        <v>4101.4638598495012</v>
      </c>
      <c r="Z12" s="90">
        <f t="shared" si="13"/>
        <v>93.427621514744573</v>
      </c>
      <c r="AA12" s="90">
        <f t="shared" si="14"/>
        <v>53.940462431284253</v>
      </c>
      <c r="AB12" s="94"/>
    </row>
    <row r="13" spans="1:28">
      <c r="B13" t="s">
        <v>704</v>
      </c>
      <c r="C13" t="s">
        <v>112</v>
      </c>
      <c r="D13">
        <v>17.908999999999999</v>
      </c>
      <c r="F13" t="s">
        <v>704</v>
      </c>
      <c r="G13" t="s">
        <v>113</v>
      </c>
      <c r="H13">
        <v>34.287999999999997</v>
      </c>
      <c r="I13">
        <f t="shared" ref="I13" si="16">H13-E14</f>
        <v>16.34333333333333</v>
      </c>
      <c r="J13">
        <f t="shared" si="0"/>
        <v>1.2027252746265247E-5</v>
      </c>
      <c r="M13">
        <f t="shared" si="1"/>
        <v>0.15453538305905434</v>
      </c>
      <c r="O13" s="45" t="s">
        <v>121</v>
      </c>
      <c r="P13" s="90">
        <v>0.4655503485189143</v>
      </c>
      <c r="Q13" s="90">
        <v>0.15453538305905434</v>
      </c>
      <c r="R13" s="90">
        <v>0.21778992274894737</v>
      </c>
      <c r="S13" s="90">
        <v>42.361323908800124</v>
      </c>
      <c r="T13" s="90">
        <v>37.39246754113681</v>
      </c>
      <c r="U13" s="90">
        <v>39.469758124704057</v>
      </c>
      <c r="V13" s="90">
        <f>AVERAGE(P13:R13)</f>
        <v>0.27929188477563865</v>
      </c>
      <c r="W13" s="90">
        <f t="shared" si="10"/>
        <v>0.16437592793608471</v>
      </c>
      <c r="X13" s="90">
        <f t="shared" si="11"/>
        <v>9.4902486242193038E-2</v>
      </c>
      <c r="Y13" s="90">
        <f t="shared" si="12"/>
        <v>39.741183191546995</v>
      </c>
      <c r="Z13" s="90">
        <f t="shared" si="13"/>
        <v>2.4955234071833678</v>
      </c>
      <c r="AA13" s="90">
        <f t="shared" si="14"/>
        <v>1.4407911109063296</v>
      </c>
      <c r="AB13" s="94" t="s">
        <v>666</v>
      </c>
    </row>
    <row r="14" spans="1:28">
      <c r="B14" t="s">
        <v>704</v>
      </c>
      <c r="C14" t="s">
        <v>112</v>
      </c>
      <c r="D14">
        <v>17.888999999999999</v>
      </c>
      <c r="E14">
        <f t="shared" ref="E14" si="17">AVERAGE(D12:D14)</f>
        <v>17.944666666666667</v>
      </c>
      <c r="F14" t="s">
        <v>704</v>
      </c>
      <c r="G14" t="s">
        <v>113</v>
      </c>
      <c r="H14">
        <v>33.792999999999999</v>
      </c>
      <c r="I14">
        <f t="shared" ref="I14" si="18">H14-E14</f>
        <v>15.848333333333333</v>
      </c>
      <c r="J14">
        <f t="shared" si="0"/>
        <v>1.695025692265044E-5</v>
      </c>
      <c r="M14">
        <f t="shared" si="1"/>
        <v>0.21778992274894737</v>
      </c>
    </row>
    <row r="15" spans="1:28">
      <c r="B15" t="s">
        <v>114</v>
      </c>
      <c r="C15" t="s">
        <v>112</v>
      </c>
      <c r="D15">
        <v>18.125</v>
      </c>
      <c r="F15" t="s">
        <v>114</v>
      </c>
      <c r="G15" t="s">
        <v>113</v>
      </c>
      <c r="H15">
        <v>19.72</v>
      </c>
      <c r="I15">
        <f t="shared" ref="I15" si="19">H15-E17</f>
        <v>1.7064999999999984</v>
      </c>
      <c r="J15">
        <f t="shared" si="0"/>
        <v>0.30640250559322835</v>
      </c>
      <c r="M15">
        <f t="shared" si="1"/>
        <v>3936.8947814626172</v>
      </c>
    </row>
    <row r="16" spans="1:28">
      <c r="B16" t="s">
        <v>114</v>
      </c>
      <c r="C16" t="s">
        <v>112</v>
      </c>
      <c r="D16" t="s">
        <v>115</v>
      </c>
      <c r="F16" t="s">
        <v>114</v>
      </c>
      <c r="G16" t="s">
        <v>113</v>
      </c>
      <c r="H16">
        <v>19.773</v>
      </c>
      <c r="I16">
        <f t="shared" ref="I16" si="20">H16-E17</f>
        <v>1.7594999999999992</v>
      </c>
      <c r="J16">
        <f t="shared" si="0"/>
        <v>0.29535050830773174</v>
      </c>
      <c r="M16">
        <f t="shared" si="1"/>
        <v>3794.8902297903992</v>
      </c>
    </row>
    <row r="17" spans="2:28">
      <c r="B17" t="s">
        <v>114</v>
      </c>
      <c r="C17" t="s">
        <v>112</v>
      </c>
      <c r="D17">
        <v>17.902000000000001</v>
      </c>
      <c r="E17">
        <f t="shared" ref="E17" si="21">AVERAGE(D15:D17)</f>
        <v>18.013500000000001</v>
      </c>
      <c r="F17" t="s">
        <v>114</v>
      </c>
      <c r="G17" t="s">
        <v>113</v>
      </c>
      <c r="H17">
        <v>19.702999999999999</v>
      </c>
      <c r="I17">
        <f t="shared" ref="I17" si="22">H17-E17</f>
        <v>1.6894999999999989</v>
      </c>
      <c r="J17">
        <f t="shared" si="0"/>
        <v>0.31003435608717939</v>
      </c>
      <c r="M17">
        <f t="shared" si="1"/>
        <v>3983.5595867291581</v>
      </c>
    </row>
    <row r="18" spans="2:28">
      <c r="B18" t="s">
        <v>104</v>
      </c>
      <c r="C18" t="s">
        <v>112</v>
      </c>
      <c r="D18">
        <v>20.37</v>
      </c>
      <c r="F18" t="s">
        <v>104</v>
      </c>
      <c r="G18" t="s">
        <v>113</v>
      </c>
      <c r="H18">
        <v>27.834</v>
      </c>
      <c r="I18">
        <f t="shared" ref="I18" si="23">H18-E20</f>
        <v>7.6429999999999971</v>
      </c>
      <c r="J18">
        <f t="shared" si="0"/>
        <v>5.0029682083194251E-3</v>
      </c>
      <c r="M18">
        <f t="shared" si="1"/>
        <v>64.281979003475286</v>
      </c>
    </row>
    <row r="19" spans="2:28">
      <c r="B19" t="s">
        <v>104</v>
      </c>
      <c r="C19" t="s">
        <v>112</v>
      </c>
      <c r="D19">
        <v>20.088999999999999</v>
      </c>
      <c r="F19" t="s">
        <v>104</v>
      </c>
      <c r="G19" t="s">
        <v>113</v>
      </c>
      <c r="H19">
        <v>28.081</v>
      </c>
      <c r="I19">
        <f t="shared" ref="I19" si="24">H19-E20</f>
        <v>7.889999999999997</v>
      </c>
      <c r="J19">
        <f t="shared" si="0"/>
        <v>4.2157352988454284E-3</v>
      </c>
      <c r="M19">
        <f t="shared" si="1"/>
        <v>54.167005801466637</v>
      </c>
    </row>
    <row r="20" spans="2:28">
      <c r="B20" t="s">
        <v>104</v>
      </c>
      <c r="C20" t="s">
        <v>112</v>
      </c>
      <c r="D20">
        <v>20.114000000000001</v>
      </c>
      <c r="E20">
        <f t="shared" ref="E20" si="25">AVERAGE(D18:D20)</f>
        <v>20.191000000000003</v>
      </c>
      <c r="F20" t="s">
        <v>104</v>
      </c>
      <c r="G20" t="s">
        <v>113</v>
      </c>
      <c r="H20">
        <v>27.494</v>
      </c>
      <c r="I20">
        <f t="shared" ref="I20" si="26">H20-E20</f>
        <v>7.3029999999999973</v>
      </c>
      <c r="J20">
        <f t="shared" si="0"/>
        <v>6.3325399991039904E-3</v>
      </c>
      <c r="M20">
        <f t="shared" si="1"/>
        <v>81.365338797107938</v>
      </c>
    </row>
    <row r="21" spans="2:28">
      <c r="B21" t="s">
        <v>705</v>
      </c>
      <c r="C21" t="s">
        <v>112</v>
      </c>
      <c r="D21">
        <v>18.952000000000002</v>
      </c>
      <c r="F21" t="s">
        <v>705</v>
      </c>
      <c r="G21" t="s">
        <v>113</v>
      </c>
      <c r="H21">
        <v>20.555</v>
      </c>
      <c r="I21">
        <f t="shared" ref="I21" si="27">H21-E23</f>
        <v>1.6099999999999994</v>
      </c>
      <c r="J21">
        <f t="shared" si="0"/>
        <v>0.32759835096459095</v>
      </c>
      <c r="M21">
        <f t="shared" si="1"/>
        <v>4209.2352862168</v>
      </c>
    </row>
    <row r="22" spans="2:28">
      <c r="B22" t="s">
        <v>705</v>
      </c>
      <c r="C22" t="s">
        <v>112</v>
      </c>
      <c r="D22">
        <v>18.913</v>
      </c>
      <c r="F22" t="s">
        <v>705</v>
      </c>
      <c r="G22" t="s">
        <v>113</v>
      </c>
      <c r="H22">
        <v>20.61</v>
      </c>
      <c r="I22">
        <f t="shared" ref="I22" si="28">H22-E23</f>
        <v>1.6649999999999991</v>
      </c>
      <c r="J22">
        <f t="shared" si="0"/>
        <v>0.31534435220781259</v>
      </c>
      <c r="M22">
        <f t="shared" si="1"/>
        <v>4051.7864962201024</v>
      </c>
    </row>
    <row r="23" spans="2:28">
      <c r="B23" t="s">
        <v>705</v>
      </c>
      <c r="C23" t="s">
        <v>112</v>
      </c>
      <c r="D23">
        <v>18.97</v>
      </c>
      <c r="E23">
        <f t="shared" ref="E23" si="29">AVERAGE(D21:D23)</f>
        <v>18.945</v>
      </c>
      <c r="F23" t="s">
        <v>705</v>
      </c>
      <c r="G23" t="s">
        <v>113</v>
      </c>
      <c r="H23">
        <v>20.613</v>
      </c>
      <c r="I23">
        <f t="shared" ref="I23" si="30">H23-E23</f>
        <v>1.6679999999999993</v>
      </c>
      <c r="J23">
        <f t="shared" si="0"/>
        <v>0.3146892933762146</v>
      </c>
      <c r="M23">
        <f t="shared" si="1"/>
        <v>4043.3697971116007</v>
      </c>
    </row>
    <row r="24" spans="2:28">
      <c r="B24" t="s">
        <v>706</v>
      </c>
      <c r="C24" t="s">
        <v>112</v>
      </c>
      <c r="D24">
        <v>19.079999999999998</v>
      </c>
      <c r="F24" t="s">
        <v>706</v>
      </c>
      <c r="G24" t="s">
        <v>113</v>
      </c>
      <c r="H24">
        <v>27.292000000000002</v>
      </c>
      <c r="I24">
        <f t="shared" ref="I24" si="31">H24-E26</f>
        <v>8.2446666666666673</v>
      </c>
      <c r="J24">
        <f t="shared" si="0"/>
        <v>3.2969171152398844E-3</v>
      </c>
      <c r="M24">
        <f t="shared" si="1"/>
        <v>42.361323908800124</v>
      </c>
    </row>
    <row r="25" spans="2:28">
      <c r="B25" t="s">
        <v>706</v>
      </c>
      <c r="C25" t="s">
        <v>112</v>
      </c>
      <c r="D25">
        <v>18.959</v>
      </c>
      <c r="F25" t="s">
        <v>706</v>
      </c>
      <c r="G25" t="s">
        <v>113</v>
      </c>
      <c r="H25">
        <v>27.472000000000001</v>
      </c>
      <c r="I25">
        <f t="shared" ref="I25" si="32">H25-E26</f>
        <v>8.424666666666667</v>
      </c>
      <c r="J25">
        <f t="shared" si="0"/>
        <v>2.9101986161441874E-3</v>
      </c>
      <c r="M25">
        <f t="shared" si="1"/>
        <v>37.39246754113681</v>
      </c>
    </row>
    <row r="26" spans="2:28">
      <c r="B26" t="s">
        <v>706</v>
      </c>
      <c r="C26" t="s">
        <v>112</v>
      </c>
      <c r="D26">
        <v>19.103000000000002</v>
      </c>
      <c r="E26">
        <f t="shared" ref="E26" si="33">AVERAGE(D24:D26)</f>
        <v>19.047333333333334</v>
      </c>
      <c r="F26" t="s">
        <v>706</v>
      </c>
      <c r="G26" t="s">
        <v>113</v>
      </c>
      <c r="H26">
        <v>27.393999999999998</v>
      </c>
      <c r="I26">
        <f t="shared" ref="I26" si="34">H26-E26</f>
        <v>8.346666666666664</v>
      </c>
      <c r="J26">
        <f t="shared" si="0"/>
        <v>3.0718709683358702E-3</v>
      </c>
      <c r="M26">
        <f t="shared" si="1"/>
        <v>39.469758124704057</v>
      </c>
    </row>
    <row r="30" spans="2:28">
      <c r="B30" t="s">
        <v>27</v>
      </c>
      <c r="C30" t="s">
        <v>112</v>
      </c>
      <c r="D30">
        <v>19.099</v>
      </c>
      <c r="F30" t="s">
        <v>27</v>
      </c>
      <c r="G30" t="s">
        <v>122</v>
      </c>
      <c r="H30">
        <v>26.885999999999999</v>
      </c>
      <c r="I30">
        <f t="shared" ref="I30:I51" si="35">H30-E32</f>
        <v>7.8503333333333316</v>
      </c>
      <c r="J30">
        <f t="shared" ref="J30:J53" si="36">POWER(2,-I30)</f>
        <v>4.3332544402276459E-3</v>
      </c>
      <c r="M30">
        <f>J30/0.00439555811493621</f>
        <v>0.98582576476537653</v>
      </c>
    </row>
    <row r="31" spans="2:28">
      <c r="B31" t="s">
        <v>27</v>
      </c>
      <c r="C31" t="s">
        <v>112</v>
      </c>
      <c r="D31">
        <v>19.009</v>
      </c>
      <c r="F31" t="s">
        <v>27</v>
      </c>
      <c r="G31" t="s">
        <v>122</v>
      </c>
      <c r="H31">
        <v>26.713000000000001</v>
      </c>
      <c r="I31">
        <f t="shared" ref="I31:I52" si="37">H31-E32</f>
        <v>7.6773333333333333</v>
      </c>
      <c r="J31">
        <f t="shared" si="36"/>
        <v>4.8853128418436175E-3</v>
      </c>
      <c r="M31">
        <f t="shared" ref="M31:M53" si="38">J31/0.00439555811493621</f>
        <v>1.111420373500059</v>
      </c>
      <c r="O31" s="90" t="s">
        <v>123</v>
      </c>
      <c r="P31" s="90"/>
      <c r="Q31" s="90"/>
      <c r="R31" s="90"/>
      <c r="S31" s="90"/>
      <c r="T31" s="90"/>
      <c r="U31" s="90"/>
      <c r="V31" s="90"/>
      <c r="W31" s="90"/>
      <c r="X31" s="90"/>
      <c r="Y31" s="90"/>
      <c r="Z31" s="90"/>
      <c r="AA31" s="90"/>
      <c r="AB31" s="90"/>
    </row>
    <row r="32" spans="2:28">
      <c r="B32" t="s">
        <v>27</v>
      </c>
      <c r="C32" t="s">
        <v>112</v>
      </c>
      <c r="D32">
        <v>18.998999999999999</v>
      </c>
      <c r="E32">
        <f t="shared" ref="E32" si="39">AVERAGE(D30:D32)</f>
        <v>19.035666666666668</v>
      </c>
      <c r="F32" t="s">
        <v>27</v>
      </c>
      <c r="G32" t="s">
        <v>122</v>
      </c>
      <c r="H32">
        <v>27.013000000000002</v>
      </c>
      <c r="I32">
        <f t="shared" ref="I32:I53" si="40">H32-E32</f>
        <v>7.9773333333333341</v>
      </c>
      <c r="J32">
        <f t="shared" si="36"/>
        <v>3.9681070627373694E-3</v>
      </c>
      <c r="K32">
        <f>AVERAGE(J30:J32)</f>
        <v>4.3955581149362107E-3</v>
      </c>
      <c r="L32">
        <v>4.3955581149362098E-3</v>
      </c>
      <c r="M32">
        <f t="shared" si="38"/>
        <v>0.90275386173456529</v>
      </c>
      <c r="O32" s="90"/>
      <c r="P32" s="90"/>
      <c r="Q32" s="90"/>
      <c r="R32" s="90"/>
      <c r="S32" s="90"/>
      <c r="T32" s="90"/>
      <c r="U32" s="90"/>
      <c r="V32" s="90"/>
      <c r="W32" s="90"/>
      <c r="X32" s="90"/>
      <c r="Y32" s="90"/>
      <c r="Z32" s="90"/>
      <c r="AA32" s="90"/>
      <c r="AB32" s="90"/>
    </row>
    <row r="33" spans="2:28">
      <c r="B33" t="s">
        <v>30</v>
      </c>
      <c r="C33" t="s">
        <v>112</v>
      </c>
      <c r="D33">
        <v>19.341999999999999</v>
      </c>
      <c r="F33" t="s">
        <v>30</v>
      </c>
      <c r="G33" t="s">
        <v>122</v>
      </c>
      <c r="H33">
        <v>27.227</v>
      </c>
      <c r="I33">
        <f t="shared" si="35"/>
        <v>7.9423333333333339</v>
      </c>
      <c r="J33">
        <f t="shared" si="36"/>
        <v>4.0655511656522191E-3</v>
      </c>
      <c r="M33">
        <f t="shared" si="38"/>
        <v>0.92492262855935869</v>
      </c>
      <c r="O33" s="90"/>
      <c r="P33" s="45" t="s">
        <v>116</v>
      </c>
      <c r="Q33" s="90"/>
      <c r="R33" s="90"/>
      <c r="S33" s="45" t="s">
        <v>117</v>
      </c>
      <c r="T33" s="90"/>
      <c r="U33" s="90"/>
      <c r="V33" s="90" t="s">
        <v>663</v>
      </c>
      <c r="W33" s="90" t="s">
        <v>396</v>
      </c>
      <c r="X33" s="90" t="s">
        <v>664</v>
      </c>
      <c r="Y33" s="90" t="s">
        <v>663</v>
      </c>
      <c r="Z33" s="90" t="s">
        <v>396</v>
      </c>
      <c r="AA33" s="90" t="s">
        <v>664</v>
      </c>
      <c r="AB33" s="101" t="s">
        <v>665</v>
      </c>
    </row>
    <row r="34" spans="2:28">
      <c r="B34" t="s">
        <v>30</v>
      </c>
      <c r="C34" t="s">
        <v>112</v>
      </c>
      <c r="D34">
        <v>19.103999999999999</v>
      </c>
      <c r="F34" t="s">
        <v>30</v>
      </c>
      <c r="G34" t="s">
        <v>122</v>
      </c>
      <c r="H34">
        <v>27.152999999999999</v>
      </c>
      <c r="I34">
        <f t="shared" si="37"/>
        <v>7.8683333333333323</v>
      </c>
      <c r="J34">
        <f t="shared" si="36"/>
        <v>4.2795258180308047E-3</v>
      </c>
      <c r="M34">
        <f t="shared" si="38"/>
        <v>0.97360237451732812</v>
      </c>
      <c r="O34" s="45" t="s">
        <v>118</v>
      </c>
      <c r="P34" s="90">
        <v>0.98582576476537653</v>
      </c>
      <c r="Q34" s="90">
        <v>1.111420373500059</v>
      </c>
      <c r="R34" s="90">
        <v>0.90275386173456529</v>
      </c>
      <c r="S34" s="90">
        <v>25.68293054421736</v>
      </c>
      <c r="T34" s="90">
        <v>25.700738766259072</v>
      </c>
      <c r="U34" s="90">
        <v>24.012903064416495</v>
      </c>
      <c r="V34" s="90">
        <f>AVERAGE(P34:R34)</f>
        <v>1.0000000000000002</v>
      </c>
      <c r="W34" s="90">
        <f>STDEV(P34:R34)</f>
        <v>0.10505289139980661</v>
      </c>
      <c r="X34" s="90">
        <f>W34/SQRT(3)</f>
        <v>6.0652315128826871E-2</v>
      </c>
      <c r="Y34" s="90">
        <f>AVERAGE(S34:U34)</f>
        <v>25.132190791630975</v>
      </c>
      <c r="Z34" s="90">
        <f>STDEV(S34:U34)</f>
        <v>0.96937250085443927</v>
      </c>
      <c r="AA34" s="90">
        <f>Z34/SQRT(3)</f>
        <v>0.5596674743133313</v>
      </c>
      <c r="AB34" s="94"/>
    </row>
    <row r="35" spans="2:28">
      <c r="B35" t="s">
        <v>30</v>
      </c>
      <c r="C35" t="s">
        <v>112</v>
      </c>
      <c r="D35">
        <v>19.408000000000001</v>
      </c>
      <c r="E35">
        <f t="shared" ref="E35" si="41">AVERAGE(D33:D35)</f>
        <v>19.284666666666666</v>
      </c>
      <c r="F35" t="s">
        <v>30</v>
      </c>
      <c r="G35" t="s">
        <v>122</v>
      </c>
      <c r="H35">
        <v>26.992999999999999</v>
      </c>
      <c r="I35">
        <f t="shared" si="40"/>
        <v>7.7083333333333321</v>
      </c>
      <c r="J35">
        <f t="shared" si="36"/>
        <v>4.7814591535338133E-3</v>
      </c>
      <c r="M35">
        <f t="shared" si="38"/>
        <v>1.0877934106447831</v>
      </c>
      <c r="O35" s="45" t="s">
        <v>119</v>
      </c>
      <c r="P35" s="90">
        <v>0.92492262855935869</v>
      </c>
      <c r="Q35" s="90">
        <v>0.97360237451732812</v>
      </c>
      <c r="R35" s="90">
        <v>1.0877934106447831</v>
      </c>
      <c r="S35" s="90">
        <v>1.246950842177148</v>
      </c>
      <c r="T35" s="90">
        <v>1.2696268923388014</v>
      </c>
      <c r="U35" s="90">
        <v>1.3364488217327501</v>
      </c>
      <c r="V35" s="90">
        <f>AVERAGE(P35:R35)</f>
        <v>0.99543947124048993</v>
      </c>
      <c r="W35" s="90">
        <f t="shared" ref="W35:W37" si="42">STDEV(P35:R35)</f>
        <v>8.360243423042174E-2</v>
      </c>
      <c r="X35" s="90">
        <f t="shared" ref="X35:X37" si="43">W35/SQRT(3)</f>
        <v>4.8267887907841978E-2</v>
      </c>
      <c r="Y35" s="90">
        <f t="shared" ref="Y35:Y37" si="44">AVERAGE(S35:U35)</f>
        <v>1.2843421854162331</v>
      </c>
      <c r="Z35" s="90">
        <f t="shared" ref="Z35:Z37" si="45">STDEV(S35:U35)</f>
        <v>4.6528238456874524E-2</v>
      </c>
      <c r="AA35" s="90">
        <f t="shared" ref="AA35:AA37" si="46">Z35/SQRT(3)</f>
        <v>2.6863090997995605E-2</v>
      </c>
      <c r="AB35" s="94"/>
    </row>
    <row r="36" spans="2:28">
      <c r="B36" t="s">
        <v>703</v>
      </c>
      <c r="C36" t="s">
        <v>112</v>
      </c>
      <c r="D36">
        <v>18.803999999999998</v>
      </c>
      <c r="F36" t="s">
        <v>703</v>
      </c>
      <c r="G36" t="s">
        <v>122</v>
      </c>
      <c r="H36">
        <v>26.727</v>
      </c>
      <c r="I36">
        <f t="shared" si="35"/>
        <v>7.7859999999999978</v>
      </c>
      <c r="J36">
        <f t="shared" si="36"/>
        <v>4.5308580254118606E-3</v>
      </c>
      <c r="M36">
        <f t="shared" si="38"/>
        <v>1.0307810537223701</v>
      </c>
      <c r="O36" s="45" t="s">
        <v>120</v>
      </c>
      <c r="P36" s="90">
        <v>1.0307810537223701</v>
      </c>
      <c r="Q36" s="90">
        <v>1.0336429512460767</v>
      </c>
      <c r="R36" s="90">
        <v>1.040111306394701</v>
      </c>
      <c r="S36" s="90">
        <v>18.701359662464093</v>
      </c>
      <c r="T36" s="90">
        <v>17.680305011010496</v>
      </c>
      <c r="U36" s="90">
        <v>19.522572410649651</v>
      </c>
      <c r="V36" s="90">
        <f>AVERAGE(P36:R36)</f>
        <v>1.034845103787716</v>
      </c>
      <c r="W36" s="90">
        <f t="shared" si="42"/>
        <v>4.7798830302018475E-3</v>
      </c>
      <c r="X36" s="90">
        <f t="shared" si="43"/>
        <v>2.7596667541819608E-3</v>
      </c>
      <c r="Y36" s="90">
        <f t="shared" si="44"/>
        <v>18.63474569470808</v>
      </c>
      <c r="Z36" s="90">
        <f t="shared" si="45"/>
        <v>0.92293843698724187</v>
      </c>
      <c r="AA36" s="90">
        <f t="shared" si="46"/>
        <v>0.53285875504003655</v>
      </c>
      <c r="AB36" s="94"/>
    </row>
    <row r="37" spans="2:28">
      <c r="B37" t="s">
        <v>703</v>
      </c>
      <c r="C37" t="s">
        <v>112</v>
      </c>
      <c r="D37">
        <v>19.006</v>
      </c>
      <c r="F37" t="s">
        <v>703</v>
      </c>
      <c r="G37" t="s">
        <v>122</v>
      </c>
      <c r="H37">
        <v>26.722999999999999</v>
      </c>
      <c r="I37">
        <f t="shared" si="37"/>
        <v>7.7819999999999965</v>
      </c>
      <c r="J37">
        <f t="shared" si="36"/>
        <v>4.5434376622963055E-3</v>
      </c>
      <c r="M37">
        <f t="shared" si="38"/>
        <v>1.0336429512460767</v>
      </c>
      <c r="O37" s="45" t="s">
        <v>121</v>
      </c>
      <c r="P37" s="90">
        <v>1.6752827281710525</v>
      </c>
      <c r="Q37" s="90">
        <v>1.4264256904290114</v>
      </c>
      <c r="R37" s="90">
        <v>1.5469264366636286</v>
      </c>
      <c r="S37" s="90">
        <v>4.3461498720773495</v>
      </c>
      <c r="T37" s="90">
        <v>4.1003240334417477</v>
      </c>
      <c r="U37" s="90">
        <v>3.9061244785493883</v>
      </c>
      <c r="V37" s="90">
        <f>AVERAGE(P37:R37)</f>
        <v>1.5495449517545641</v>
      </c>
      <c r="W37" s="90">
        <f t="shared" si="42"/>
        <v>0.12444918149347957</v>
      </c>
      <c r="X37" s="90">
        <f t="shared" si="43"/>
        <v>7.1850768435689022E-2</v>
      </c>
      <c r="Y37" s="90">
        <f t="shared" si="44"/>
        <v>4.1175327946894953</v>
      </c>
      <c r="Z37" s="90">
        <f t="shared" si="45"/>
        <v>0.22051687653130037</v>
      </c>
      <c r="AA37" s="90">
        <f t="shared" si="46"/>
        <v>0.12731547802620174</v>
      </c>
      <c r="AB37" s="94" t="s">
        <v>666</v>
      </c>
    </row>
    <row r="38" spans="2:28">
      <c r="B38" t="s">
        <v>703</v>
      </c>
      <c r="C38" t="s">
        <v>112</v>
      </c>
      <c r="D38">
        <v>19.013000000000002</v>
      </c>
      <c r="E38">
        <f t="shared" ref="E38" si="47">AVERAGE(D36:D38)</f>
        <v>18.941000000000003</v>
      </c>
      <c r="F38" t="s">
        <v>703</v>
      </c>
      <c r="G38" t="s">
        <v>122</v>
      </c>
      <c r="H38">
        <v>26.713999999999999</v>
      </c>
      <c r="I38">
        <f t="shared" si="40"/>
        <v>7.7729999999999961</v>
      </c>
      <c r="J38">
        <f t="shared" si="36"/>
        <v>4.57186969326013E-3</v>
      </c>
      <c r="M38">
        <f t="shared" si="38"/>
        <v>1.040111306394701</v>
      </c>
    </row>
    <row r="39" spans="2:28">
      <c r="B39" t="s">
        <v>704</v>
      </c>
      <c r="C39" t="s">
        <v>112</v>
      </c>
      <c r="D39">
        <v>18.349</v>
      </c>
      <c r="F39" t="s">
        <v>704</v>
      </c>
      <c r="G39" t="s">
        <v>122</v>
      </c>
      <c r="H39">
        <v>25.222999999999999</v>
      </c>
      <c r="I39">
        <f t="shared" si="35"/>
        <v>7.0853333333333346</v>
      </c>
      <c r="J39">
        <f t="shared" si="36"/>
        <v>7.3638025906247418E-3</v>
      </c>
      <c r="M39">
        <f t="shared" si="38"/>
        <v>1.6752827281710525</v>
      </c>
    </row>
    <row r="40" spans="2:28">
      <c r="B40" t="s">
        <v>704</v>
      </c>
      <c r="C40" t="s">
        <v>112</v>
      </c>
      <c r="D40">
        <v>17.891999999999999</v>
      </c>
      <c r="F40" t="s">
        <v>704</v>
      </c>
      <c r="G40" t="s">
        <v>122</v>
      </c>
      <c r="H40">
        <v>25.454999999999998</v>
      </c>
      <c r="I40">
        <f t="shared" si="37"/>
        <v>7.3173333333333339</v>
      </c>
      <c r="J40">
        <f t="shared" si="36"/>
        <v>6.2699370189187266E-3</v>
      </c>
      <c r="M40">
        <f t="shared" si="38"/>
        <v>1.4264256904290114</v>
      </c>
    </row>
    <row r="41" spans="2:28">
      <c r="B41" t="s">
        <v>704</v>
      </c>
      <c r="C41" t="s">
        <v>112</v>
      </c>
      <c r="D41">
        <v>18.172000000000001</v>
      </c>
      <c r="E41">
        <f t="shared" ref="E41" si="48">AVERAGE(D39:D41)</f>
        <v>18.137666666666664</v>
      </c>
      <c r="F41" t="s">
        <v>704</v>
      </c>
      <c r="G41" t="s">
        <v>122</v>
      </c>
      <c r="H41">
        <v>25.338000000000001</v>
      </c>
      <c r="I41">
        <f t="shared" si="40"/>
        <v>7.2003333333333366</v>
      </c>
      <c r="J41">
        <f t="shared" si="36"/>
        <v>6.7996050518861675E-3</v>
      </c>
      <c r="M41">
        <f t="shared" si="38"/>
        <v>1.5469264366636286</v>
      </c>
    </row>
    <row r="42" spans="2:28">
      <c r="B42" t="s">
        <v>114</v>
      </c>
      <c r="C42" t="s">
        <v>112</v>
      </c>
      <c r="D42">
        <v>18.614999999999998</v>
      </c>
      <c r="F42" t="s">
        <v>114</v>
      </c>
      <c r="G42" t="s">
        <v>122</v>
      </c>
      <c r="H42">
        <v>21.581</v>
      </c>
      <c r="I42">
        <f t="shared" si="35"/>
        <v>3.147000000000002</v>
      </c>
      <c r="J42">
        <f t="shared" si="36"/>
        <v>0.11289081376897767</v>
      </c>
      <c r="M42">
        <f t="shared" si="38"/>
        <v>25.68293054421736</v>
      </c>
    </row>
    <row r="43" spans="2:28">
      <c r="B43" t="s">
        <v>114</v>
      </c>
      <c r="C43" t="s">
        <v>112</v>
      </c>
      <c r="D43" t="s">
        <v>115</v>
      </c>
      <c r="F43" t="s">
        <v>114</v>
      </c>
      <c r="G43" t="s">
        <v>122</v>
      </c>
      <c r="H43">
        <v>21.58</v>
      </c>
      <c r="I43">
        <f t="shared" si="37"/>
        <v>3.1460000000000008</v>
      </c>
      <c r="J43">
        <f t="shared" si="36"/>
        <v>0.11296909084388569</v>
      </c>
      <c r="M43">
        <f t="shared" si="38"/>
        <v>25.700738766259072</v>
      </c>
    </row>
    <row r="44" spans="2:28">
      <c r="B44" t="s">
        <v>114</v>
      </c>
      <c r="C44" t="s">
        <v>112</v>
      </c>
      <c r="D44">
        <v>18.253</v>
      </c>
      <c r="E44">
        <f t="shared" ref="E44" si="49">AVERAGE(D42:D44)</f>
        <v>18.433999999999997</v>
      </c>
      <c r="F44" t="s">
        <v>114</v>
      </c>
      <c r="G44" t="s">
        <v>122</v>
      </c>
      <c r="H44">
        <v>21.678000000000001</v>
      </c>
      <c r="I44">
        <f t="shared" si="40"/>
        <v>3.2440000000000033</v>
      </c>
      <c r="J44">
        <f t="shared" si="36"/>
        <v>0.10555011092797251</v>
      </c>
      <c r="M44">
        <f t="shared" si="38"/>
        <v>24.012903064416495</v>
      </c>
    </row>
    <row r="45" spans="2:28">
      <c r="B45" t="s">
        <v>104</v>
      </c>
      <c r="C45" t="s">
        <v>112</v>
      </c>
      <c r="D45">
        <v>20.516999999999999</v>
      </c>
      <c r="F45" t="s">
        <v>104</v>
      </c>
      <c r="G45" t="s">
        <v>122</v>
      </c>
      <c r="H45">
        <v>27.913</v>
      </c>
      <c r="I45">
        <f t="shared" si="35"/>
        <v>7.511333333333333</v>
      </c>
      <c r="J45">
        <f t="shared" si="36"/>
        <v>5.4810448932583042E-3</v>
      </c>
      <c r="M45">
        <f t="shared" si="38"/>
        <v>1.246950842177148</v>
      </c>
    </row>
    <row r="46" spans="2:28">
      <c r="B46" t="s">
        <v>104</v>
      </c>
      <c r="C46" t="s">
        <v>112</v>
      </c>
      <c r="D46">
        <v>20.169</v>
      </c>
      <c r="F46" t="s">
        <v>104</v>
      </c>
      <c r="G46" t="s">
        <v>122</v>
      </c>
      <c r="H46">
        <v>27.887</v>
      </c>
      <c r="I46">
        <f t="shared" si="37"/>
        <v>7.4853333333333332</v>
      </c>
      <c r="J46">
        <f t="shared" si="36"/>
        <v>5.5807187895610599E-3</v>
      </c>
      <c r="M46">
        <f t="shared" si="38"/>
        <v>1.2696268923388014</v>
      </c>
    </row>
    <row r="47" spans="2:28">
      <c r="B47" t="s">
        <v>104</v>
      </c>
      <c r="C47" t="s">
        <v>112</v>
      </c>
      <c r="D47">
        <v>20.518999999999998</v>
      </c>
      <c r="E47">
        <f t="shared" ref="E47" si="50">AVERAGE(D45:D47)</f>
        <v>20.401666666666667</v>
      </c>
      <c r="F47" t="s">
        <v>104</v>
      </c>
      <c r="G47" t="s">
        <v>122</v>
      </c>
      <c r="H47">
        <v>27.812999999999999</v>
      </c>
      <c r="I47">
        <f t="shared" si="40"/>
        <v>7.4113333333333316</v>
      </c>
      <c r="J47">
        <f t="shared" si="36"/>
        <v>5.8744384635643259E-3</v>
      </c>
      <c r="M47">
        <f t="shared" si="38"/>
        <v>1.3364488217327501</v>
      </c>
    </row>
    <row r="48" spans="2:28">
      <c r="B48" t="s">
        <v>705</v>
      </c>
      <c r="C48" t="s">
        <v>112</v>
      </c>
      <c r="D48">
        <v>19.085999999999999</v>
      </c>
      <c r="F48" t="s">
        <v>705</v>
      </c>
      <c r="G48" t="s">
        <v>122</v>
      </c>
      <c r="H48">
        <v>22.58</v>
      </c>
      <c r="I48">
        <f t="shared" si="35"/>
        <v>3.6046666666666631</v>
      </c>
      <c r="J48">
        <f t="shared" si="36"/>
        <v>8.2202913224684745E-2</v>
      </c>
      <c r="M48">
        <f t="shared" si="38"/>
        <v>18.701359662464093</v>
      </c>
    </row>
    <row r="49" spans="2:13">
      <c r="B49" t="s">
        <v>705</v>
      </c>
      <c r="C49" t="s">
        <v>112</v>
      </c>
      <c r="D49">
        <v>18.920000000000002</v>
      </c>
      <c r="F49" t="s">
        <v>705</v>
      </c>
      <c r="G49" t="s">
        <v>122</v>
      </c>
      <c r="H49">
        <v>22.661000000000001</v>
      </c>
      <c r="I49">
        <f t="shared" si="37"/>
        <v>3.6856666666666662</v>
      </c>
      <c r="J49">
        <f t="shared" si="36"/>
        <v>7.7714808165694524E-2</v>
      </c>
      <c r="M49">
        <f t="shared" si="38"/>
        <v>17.680305011010496</v>
      </c>
    </row>
    <row r="50" spans="2:13">
      <c r="B50" t="s">
        <v>705</v>
      </c>
      <c r="C50" t="s">
        <v>112</v>
      </c>
      <c r="D50">
        <v>18.920000000000002</v>
      </c>
      <c r="E50">
        <f t="shared" ref="E50" si="51">AVERAGE(D48:D50)</f>
        <v>18.975333333333335</v>
      </c>
      <c r="F50" t="s">
        <v>705</v>
      </c>
      <c r="G50" t="s">
        <v>122</v>
      </c>
      <c r="H50">
        <v>22.518000000000001</v>
      </c>
      <c r="I50">
        <f t="shared" si="40"/>
        <v>3.5426666666666655</v>
      </c>
      <c r="J50">
        <f t="shared" si="36"/>
        <v>8.5812601584060844E-2</v>
      </c>
      <c r="M50">
        <f t="shared" si="38"/>
        <v>19.522572410649651</v>
      </c>
    </row>
    <row r="51" spans="2:13">
      <c r="B51" t="s">
        <v>706</v>
      </c>
      <c r="C51" t="s">
        <v>112</v>
      </c>
      <c r="D51">
        <v>19.39</v>
      </c>
      <c r="F51" t="s">
        <v>706</v>
      </c>
      <c r="G51" t="s">
        <v>122</v>
      </c>
      <c r="H51">
        <v>24.998000000000001</v>
      </c>
      <c r="I51">
        <f t="shared" si="35"/>
        <v>5.7100000000000009</v>
      </c>
      <c r="J51">
        <f t="shared" si="36"/>
        <v>1.9103754338938565E-2</v>
      </c>
      <c r="M51">
        <f t="shared" si="38"/>
        <v>4.3461498720773495</v>
      </c>
    </row>
    <row r="52" spans="2:13">
      <c r="B52" t="s">
        <v>706</v>
      </c>
      <c r="C52" t="s">
        <v>112</v>
      </c>
      <c r="D52">
        <v>19.050999999999998</v>
      </c>
      <c r="F52" t="s">
        <v>706</v>
      </c>
      <c r="G52" t="s">
        <v>122</v>
      </c>
      <c r="H52">
        <v>25.082000000000001</v>
      </c>
      <c r="I52">
        <f t="shared" si="37"/>
        <v>5.7940000000000005</v>
      </c>
      <c r="J52">
        <f t="shared" si="36"/>
        <v>1.8023212579062843E-2</v>
      </c>
      <c r="M52">
        <f t="shared" si="38"/>
        <v>4.1003240334417477</v>
      </c>
    </row>
    <row r="53" spans="2:13">
      <c r="B53" t="s">
        <v>706</v>
      </c>
      <c r="C53" t="s">
        <v>112</v>
      </c>
      <c r="D53">
        <v>19.422999999999998</v>
      </c>
      <c r="E53">
        <f t="shared" ref="E53" si="52">AVERAGE(D51:D53)</f>
        <v>19.288</v>
      </c>
      <c r="F53" t="s">
        <v>706</v>
      </c>
      <c r="G53" t="s">
        <v>122</v>
      </c>
      <c r="H53">
        <v>25.152000000000001</v>
      </c>
      <c r="I53">
        <f t="shared" si="40"/>
        <v>5.8640000000000008</v>
      </c>
      <c r="J53">
        <f t="shared" si="36"/>
        <v>1.7169597149638734E-2</v>
      </c>
      <c r="M53">
        <f t="shared" si="38"/>
        <v>3.9061244785493883</v>
      </c>
    </row>
  </sheetData>
  <phoneticPr fontId="2" type="noConversion"/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CE25E-C47E-F540-8A04-C722301D614A}">
  <dimension ref="A1:AM147"/>
  <sheetViews>
    <sheetView topLeftCell="O1" zoomScale="75" workbookViewId="0">
      <selection activeCell="AA7" sqref="AA7:AC13"/>
    </sheetView>
  </sheetViews>
  <sheetFormatPr baseColWidth="10" defaultRowHeight="16"/>
  <sheetData>
    <row r="1" spans="1:39">
      <c r="A1" t="s">
        <v>124</v>
      </c>
    </row>
    <row r="2" spans="1:39">
      <c r="B2" t="s">
        <v>125</v>
      </c>
      <c r="C2" t="s">
        <v>112</v>
      </c>
      <c r="D2">
        <v>16.957000000000001</v>
      </c>
      <c r="F2" t="s">
        <v>125</v>
      </c>
      <c r="G2" t="s">
        <v>126</v>
      </c>
      <c r="H2">
        <v>38.905999999999999</v>
      </c>
      <c r="I2">
        <f>H2-E4</f>
        <v>21.95</v>
      </c>
      <c r="J2">
        <f t="shared" ref="J2:J65" si="0">POWER(2,-I2)</f>
        <v>2.4682639213594861E-7</v>
      </c>
      <c r="L2">
        <f>J2/5.03579021990184E-07</f>
        <v>0.49014430974600814</v>
      </c>
    </row>
    <row r="3" spans="1:39">
      <c r="B3" t="s">
        <v>125</v>
      </c>
      <c r="C3" t="s">
        <v>112</v>
      </c>
      <c r="D3">
        <v>16.940999999999999</v>
      </c>
      <c r="F3" t="s">
        <v>125</v>
      </c>
      <c r="G3" t="s">
        <v>126</v>
      </c>
      <c r="H3">
        <v>37.651000000000003</v>
      </c>
      <c r="I3">
        <f>H3-E4</f>
        <v>20.695000000000004</v>
      </c>
      <c r="J3">
        <f t="shared" si="0"/>
        <v>5.8909351211878141E-7</v>
      </c>
      <c r="K3" s="8">
        <v>5.0357902199018401E-7</v>
      </c>
      <c r="L3">
        <f t="shared" ref="L3:L66" si="1">J3/5.03579021990184E-07</f>
        <v>1.1698134481270435</v>
      </c>
    </row>
    <row r="4" spans="1:39">
      <c r="B4" t="s">
        <v>125</v>
      </c>
      <c r="C4" t="s">
        <v>112</v>
      </c>
      <c r="D4">
        <v>16.97</v>
      </c>
      <c r="E4">
        <f>AVERAGE(D2:D4)</f>
        <v>16.956</v>
      </c>
      <c r="F4" t="s">
        <v>125</v>
      </c>
      <c r="G4" t="s">
        <v>126</v>
      </c>
      <c r="H4">
        <v>37.454999999999998</v>
      </c>
      <c r="I4">
        <f>H4-E4</f>
        <v>20.498999999999999</v>
      </c>
      <c r="J4">
        <f t="shared" si="0"/>
        <v>6.748171617158218E-7</v>
      </c>
      <c r="K4">
        <f>AVERAGE(J2:J4)</f>
        <v>5.0357902199018391E-7</v>
      </c>
      <c r="L4">
        <f t="shared" si="1"/>
        <v>1.340042242126948</v>
      </c>
    </row>
    <row r="5" spans="1:39">
      <c r="B5" t="s">
        <v>127</v>
      </c>
      <c r="C5" t="s">
        <v>112</v>
      </c>
      <c r="D5">
        <v>17.177</v>
      </c>
      <c r="F5" t="s">
        <v>127</v>
      </c>
      <c r="G5" t="s">
        <v>126</v>
      </c>
      <c r="H5">
        <v>31.571000000000002</v>
      </c>
      <c r="I5">
        <f t="shared" ref="I5" si="2">H5-E7</f>
        <v>14.384</v>
      </c>
      <c r="J5">
        <f t="shared" si="0"/>
        <v>4.6771849371575409E-5</v>
      </c>
      <c r="L5">
        <f t="shared" si="1"/>
        <v>92.878867723141781</v>
      </c>
      <c r="N5" s="90" t="s">
        <v>126</v>
      </c>
      <c r="O5" s="90"/>
      <c r="P5" s="90"/>
      <c r="Q5" s="90"/>
      <c r="R5" s="90"/>
      <c r="S5" s="90"/>
      <c r="T5" s="90"/>
      <c r="U5" s="90"/>
      <c r="V5" s="90"/>
      <c r="W5" s="90"/>
      <c r="X5" s="90"/>
      <c r="Y5" s="90"/>
      <c r="Z5" s="90"/>
      <c r="AA5" s="90"/>
      <c r="AB5" s="90"/>
      <c r="AC5" s="90"/>
      <c r="AD5" s="90"/>
      <c r="AE5" s="90"/>
      <c r="AF5" s="90"/>
      <c r="AG5" s="90"/>
      <c r="AH5" s="90"/>
      <c r="AI5" s="90"/>
      <c r="AJ5" s="90"/>
      <c r="AK5" s="90"/>
      <c r="AL5" s="90"/>
      <c r="AM5" s="90"/>
    </row>
    <row r="6" spans="1:39">
      <c r="B6" t="s">
        <v>127</v>
      </c>
      <c r="C6" t="s">
        <v>112</v>
      </c>
      <c r="D6">
        <v>17.21</v>
      </c>
      <c r="F6" t="s">
        <v>127</v>
      </c>
      <c r="G6" t="s">
        <v>126</v>
      </c>
      <c r="H6">
        <v>30.957000000000001</v>
      </c>
      <c r="I6">
        <f t="shared" ref="I6" si="3">H6-E7</f>
        <v>13.77</v>
      </c>
      <c r="J6">
        <f t="shared" si="0"/>
        <v>7.1584164381828581E-5</v>
      </c>
      <c r="L6">
        <f t="shared" si="1"/>
        <v>142.15080703505544</v>
      </c>
      <c r="N6" s="90"/>
      <c r="O6" s="90"/>
      <c r="P6" s="90"/>
      <c r="Q6" s="90"/>
      <c r="R6" s="90"/>
      <c r="S6" s="90"/>
      <c r="T6" s="90"/>
      <c r="U6" s="90"/>
      <c r="V6" s="90"/>
      <c r="W6" s="90"/>
      <c r="X6" s="90"/>
      <c r="Y6" s="90"/>
      <c r="Z6" s="90"/>
      <c r="AA6" s="90"/>
      <c r="AB6" s="90"/>
      <c r="AC6" s="90"/>
      <c r="AD6" s="90"/>
      <c r="AE6" s="90"/>
      <c r="AF6" s="90"/>
      <c r="AG6" s="90"/>
      <c r="AH6" s="90"/>
      <c r="AI6" s="90"/>
      <c r="AJ6" s="90"/>
      <c r="AK6" s="90"/>
      <c r="AL6" s="90"/>
      <c r="AM6" s="90"/>
    </row>
    <row r="7" spans="1:39">
      <c r="B7" t="s">
        <v>127</v>
      </c>
      <c r="C7" t="s">
        <v>112</v>
      </c>
      <c r="D7">
        <v>17.173999999999999</v>
      </c>
      <c r="E7">
        <f t="shared" ref="E7" si="4">AVERAGE(D5:D7)</f>
        <v>17.187000000000001</v>
      </c>
      <c r="F7" t="s">
        <v>127</v>
      </c>
      <c r="G7" t="s">
        <v>126</v>
      </c>
      <c r="H7">
        <v>31.527000000000001</v>
      </c>
      <c r="I7">
        <f t="shared" ref="I7" si="5">H7-E7</f>
        <v>14.34</v>
      </c>
      <c r="J7">
        <f t="shared" si="0"/>
        <v>4.8220294913536221E-5</v>
      </c>
      <c r="L7">
        <f t="shared" si="1"/>
        <v>95.755170108091107</v>
      </c>
      <c r="N7" s="90"/>
      <c r="O7" s="90" t="s">
        <v>97</v>
      </c>
      <c r="P7" s="90"/>
      <c r="Q7" s="90"/>
      <c r="R7" s="90" t="s">
        <v>99</v>
      </c>
      <c r="S7" s="90"/>
      <c r="T7" s="90"/>
      <c r="U7" s="90" t="s">
        <v>150</v>
      </c>
      <c r="V7" s="90"/>
      <c r="W7" s="90"/>
      <c r="X7" s="90" t="s">
        <v>151</v>
      </c>
      <c r="Y7" s="90"/>
      <c r="Z7" s="90"/>
      <c r="AA7" s="90" t="s">
        <v>663</v>
      </c>
      <c r="AB7" s="90" t="s">
        <v>396</v>
      </c>
      <c r="AC7" s="90" t="s">
        <v>664</v>
      </c>
      <c r="AD7" s="90" t="s">
        <v>663</v>
      </c>
      <c r="AE7" s="90" t="s">
        <v>396</v>
      </c>
      <c r="AF7" s="90" t="s">
        <v>664</v>
      </c>
      <c r="AG7" s="90" t="s">
        <v>663</v>
      </c>
      <c r="AH7" s="90" t="s">
        <v>396</v>
      </c>
      <c r="AI7" s="90" t="s">
        <v>664</v>
      </c>
      <c r="AJ7" s="90" t="s">
        <v>663</v>
      </c>
      <c r="AK7" s="90" t="s">
        <v>396</v>
      </c>
      <c r="AL7" s="90" t="s">
        <v>664</v>
      </c>
      <c r="AM7" s="101" t="s">
        <v>665</v>
      </c>
    </row>
    <row r="8" spans="1:39">
      <c r="B8" t="s">
        <v>128</v>
      </c>
      <c r="C8" t="s">
        <v>112</v>
      </c>
      <c r="D8">
        <v>17.395</v>
      </c>
      <c r="F8" t="s">
        <v>128</v>
      </c>
      <c r="G8" t="s">
        <v>126</v>
      </c>
      <c r="H8">
        <v>30.56</v>
      </c>
      <c r="I8">
        <f t="shared" ref="I8" si="6">H8-E10</f>
        <v>13.011666666666667</v>
      </c>
      <c r="J8">
        <f t="shared" si="0"/>
        <v>1.2108714507198236E-4</v>
      </c>
      <c r="L8">
        <f t="shared" si="1"/>
        <v>240.45311616325162</v>
      </c>
      <c r="N8" s="90">
        <v>0</v>
      </c>
      <c r="O8" s="90">
        <v>0.49014430974600814</v>
      </c>
      <c r="P8" s="90">
        <v>1.1698134481270435</v>
      </c>
      <c r="Q8" s="90">
        <v>1.340042242126948</v>
      </c>
      <c r="R8" s="90">
        <v>1.1577136657029579</v>
      </c>
      <c r="S8" s="90">
        <v>6.9464625479337556</v>
      </c>
      <c r="T8" s="90">
        <v>6.0640366773706385</v>
      </c>
      <c r="U8" s="90">
        <v>1.3637808318044022</v>
      </c>
      <c r="V8" s="90"/>
      <c r="W8" s="90">
        <v>4.6900776638308619</v>
      </c>
      <c r="X8" s="90">
        <v>5.9860810503893971</v>
      </c>
      <c r="Y8" s="90">
        <v>2.6437977455984751</v>
      </c>
      <c r="Z8" s="90">
        <v>13.66687800062882</v>
      </c>
      <c r="AA8" s="90">
        <f>AVERAGE(O8:Q8)</f>
        <v>0.99999999999999989</v>
      </c>
      <c r="AB8" s="90">
        <f>STDEV(O8:Q8)</f>
        <v>0.44967663853034046</v>
      </c>
      <c r="AC8" s="90">
        <f>AB8/SQRT(3)</f>
        <v>0.25962092830377814</v>
      </c>
      <c r="AD8" s="90">
        <f>AVERAGE(R8:T8)</f>
        <v>4.7227376303357831</v>
      </c>
      <c r="AE8" s="90">
        <f>STDEV(R8:T8)</f>
        <v>3.1187683074516026</v>
      </c>
      <c r="AF8" s="90">
        <f>AE8/SQRT(3)</f>
        <v>1.8006217218472564</v>
      </c>
      <c r="AG8" s="90">
        <f>AVERAGE(U8:W8)</f>
        <v>3.0269292478176322</v>
      </c>
      <c r="AH8" s="90">
        <f>STDEV(U8:W8)</f>
        <v>2.3520470461652394</v>
      </c>
      <c r="AI8" s="90">
        <f>AH8/SQRT(3)</f>
        <v>1.3579549952501653</v>
      </c>
      <c r="AJ8" s="90">
        <f>AVERAGE(X8:Z8)</f>
        <v>7.4322522655388967</v>
      </c>
      <c r="AK8" s="90">
        <f>STDEV(X8:Z8)</f>
        <v>5.6520467942910022</v>
      </c>
      <c r="AL8" s="90">
        <f>AK8/SQRT(3)</f>
        <v>3.2632107381562716</v>
      </c>
      <c r="AM8" s="90"/>
    </row>
    <row r="9" spans="1:39">
      <c r="B9" t="s">
        <v>128</v>
      </c>
      <c r="C9" t="s">
        <v>112</v>
      </c>
      <c r="D9">
        <v>17.524000000000001</v>
      </c>
      <c r="F9" t="s">
        <v>128</v>
      </c>
      <c r="G9" t="s">
        <v>126</v>
      </c>
      <c r="H9">
        <v>30.471</v>
      </c>
      <c r="I9">
        <f t="shared" ref="I9" si="7">H9-E10</f>
        <v>12.922666666666668</v>
      </c>
      <c r="J9">
        <f t="shared" si="0"/>
        <v>1.287922437659172E-4</v>
      </c>
      <c r="L9">
        <f t="shared" si="1"/>
        <v>255.75379065021431</v>
      </c>
      <c r="N9" s="90">
        <v>0.5</v>
      </c>
      <c r="O9" s="90">
        <v>92.878867723141781</v>
      </c>
      <c r="P9" s="90">
        <v>142.15080703505544</v>
      </c>
      <c r="Q9" s="90">
        <v>95.755170108091107</v>
      </c>
      <c r="R9" s="90">
        <v>0.85102798524051171</v>
      </c>
      <c r="S9" s="90">
        <v>0.8976833112811593</v>
      </c>
      <c r="T9" s="90">
        <v>0.95612985889493063</v>
      </c>
      <c r="U9" s="90">
        <v>150.18655055620746</v>
      </c>
      <c r="V9" s="90">
        <v>182.10311780006552</v>
      </c>
      <c r="W9" s="90">
        <v>139.25755733948961</v>
      </c>
      <c r="X9" s="90">
        <v>56.503897501681237</v>
      </c>
      <c r="Y9" s="90">
        <v>15.150342246382799</v>
      </c>
      <c r="Z9" s="90">
        <v>5.7170800046660553</v>
      </c>
      <c r="AA9" s="90">
        <f t="shared" ref="AA9:AA13" si="8">AVERAGE(O9:Q9)</f>
        <v>110.26161495542944</v>
      </c>
      <c r="AB9" s="90">
        <f t="shared" ref="AB9:AB13" si="9">STDEV(O9:Q9)</f>
        <v>27.654271052965317</v>
      </c>
      <c r="AC9" s="90">
        <f t="shared" ref="AC9:AC13" si="10">AB9/SQRT(3)</f>
        <v>15.966200836672403</v>
      </c>
      <c r="AD9" s="90">
        <f t="shared" ref="AD9:AD13" si="11">AVERAGE(R9:T9)</f>
        <v>0.90161371847220051</v>
      </c>
      <c r="AE9" s="90">
        <f t="shared" ref="AE9:AE13" si="12">STDEV(R9:T9)</f>
        <v>5.2661058068870024E-2</v>
      </c>
      <c r="AF9" s="90">
        <f t="shared" ref="AF9:AF13" si="13">AE9/SQRT(3)</f>
        <v>3.0403876051872624E-2</v>
      </c>
      <c r="AG9" s="90">
        <f t="shared" ref="AG9:AG13" si="14">AVERAGE(U9:W9)</f>
        <v>157.18240856525418</v>
      </c>
      <c r="AH9" s="90">
        <f t="shared" ref="AH9:AH13" si="15">STDEV(U9:W9)</f>
        <v>22.263019443850794</v>
      </c>
      <c r="AI9" s="90">
        <f t="shared" ref="AI9:AI13" si="16">AH9/SQRT(3)</f>
        <v>12.853560268881129</v>
      </c>
      <c r="AJ9" s="90">
        <f t="shared" ref="AJ9:AJ13" si="17">AVERAGE(X9:Z9)</f>
        <v>25.790439917576702</v>
      </c>
      <c r="AK9" s="90">
        <f t="shared" ref="AK9:AK13" si="18">STDEV(X9:Z9)</f>
        <v>27.013588556654057</v>
      </c>
      <c r="AL9" s="90">
        <f t="shared" ref="AL9:AL13" si="19">AK9/SQRT(3)</f>
        <v>15.596302624962014</v>
      </c>
      <c r="AM9" s="90"/>
    </row>
    <row r="10" spans="1:39">
      <c r="B10" t="s">
        <v>128</v>
      </c>
      <c r="C10" t="s">
        <v>112</v>
      </c>
      <c r="D10">
        <v>17.725999999999999</v>
      </c>
      <c r="E10">
        <f t="shared" ref="E10" si="20">AVERAGE(D8:D10)</f>
        <v>17.548333333333332</v>
      </c>
      <c r="F10" t="s">
        <v>128</v>
      </c>
      <c r="G10" t="s">
        <v>126</v>
      </c>
      <c r="H10">
        <v>30.934999999999999</v>
      </c>
      <c r="I10">
        <f t="shared" ref="I10" si="21">H10-E10</f>
        <v>13.386666666666667</v>
      </c>
      <c r="J10">
        <f t="shared" si="0"/>
        <v>9.3370952973876415E-5</v>
      </c>
      <c r="L10">
        <f t="shared" si="1"/>
        <v>185.41469937501972</v>
      </c>
      <c r="N10" s="90">
        <v>1</v>
      </c>
      <c r="O10" s="90">
        <v>240.45311616325162</v>
      </c>
      <c r="P10" s="90">
        <v>255.75379065021431</v>
      </c>
      <c r="Q10" s="90">
        <v>185.41469937501972</v>
      </c>
      <c r="R10" s="90">
        <v>1.1237167900545495</v>
      </c>
      <c r="S10" s="90"/>
      <c r="T10" s="90"/>
      <c r="U10" s="90">
        <v>310.57082074791327</v>
      </c>
      <c r="V10" s="90">
        <v>407.53452633327481</v>
      </c>
      <c r="W10" s="90">
        <v>439.51801189030374</v>
      </c>
      <c r="X10" s="90">
        <v>8.2760659751179322</v>
      </c>
      <c r="Y10" s="90">
        <v>8.6095936396686934</v>
      </c>
      <c r="Z10" s="90">
        <v>14.835124673875194</v>
      </c>
      <c r="AA10" s="90">
        <f t="shared" si="8"/>
        <v>227.20720206282854</v>
      </c>
      <c r="AB10" s="90">
        <f t="shared" si="9"/>
        <v>36.99307530635803</v>
      </c>
      <c r="AC10" s="90">
        <f t="shared" si="10"/>
        <v>21.357961986277907</v>
      </c>
      <c r="AD10" s="90">
        <f t="shared" si="11"/>
        <v>1.1237167900545495</v>
      </c>
      <c r="AE10" s="90" t="e">
        <f t="shared" si="12"/>
        <v>#DIV/0!</v>
      </c>
      <c r="AF10" s="90" t="e">
        <f t="shared" si="13"/>
        <v>#DIV/0!</v>
      </c>
      <c r="AG10" s="90">
        <f t="shared" si="14"/>
        <v>385.87445299049728</v>
      </c>
      <c r="AH10" s="90">
        <f t="shared" si="15"/>
        <v>67.146955320318725</v>
      </c>
      <c r="AI10" s="90">
        <f t="shared" si="16"/>
        <v>38.767312729449792</v>
      </c>
      <c r="AJ10" s="90">
        <f t="shared" si="17"/>
        <v>10.573594762887273</v>
      </c>
      <c r="AK10" s="90">
        <f t="shared" si="18"/>
        <v>3.6943589514878927</v>
      </c>
      <c r="AL10" s="90">
        <f t="shared" si="19"/>
        <v>2.1329391351246385</v>
      </c>
      <c r="AM10" s="94"/>
    </row>
    <row r="11" spans="1:39">
      <c r="B11" t="s">
        <v>129</v>
      </c>
      <c r="C11" t="s">
        <v>112</v>
      </c>
      <c r="D11">
        <v>17.364000000000001</v>
      </c>
      <c r="F11" t="s">
        <v>129</v>
      </c>
      <c r="G11" t="s">
        <v>126</v>
      </c>
      <c r="H11">
        <v>29.681999999999999</v>
      </c>
      <c r="I11">
        <f t="shared" ref="I11" si="22">H11-E13</f>
        <v>12.116999999999997</v>
      </c>
      <c r="J11">
        <f t="shared" si="0"/>
        <v>2.2512283152163913E-4</v>
      </c>
      <c r="L11">
        <f t="shared" si="1"/>
        <v>447.04569033065741</v>
      </c>
      <c r="N11" s="90">
        <v>4</v>
      </c>
      <c r="O11" s="90">
        <v>447.04569033065741</v>
      </c>
      <c r="P11" s="90">
        <v>346.87654439815947</v>
      </c>
      <c r="Q11" s="90">
        <v>465.70691036840509</v>
      </c>
      <c r="R11" s="90">
        <v>0.44296925643448359</v>
      </c>
      <c r="S11" s="90">
        <v>0.54573727052298393</v>
      </c>
      <c r="T11" s="90">
        <v>5.9186923956256905</v>
      </c>
      <c r="U11" s="90">
        <v>729.92873830037979</v>
      </c>
      <c r="V11" s="90">
        <v>834.98809197338232</v>
      </c>
      <c r="W11" s="90">
        <v>738.58073037078645</v>
      </c>
      <c r="X11" s="90">
        <v>2.1474310543435764</v>
      </c>
      <c r="Y11" s="90">
        <v>0.97780034045465603</v>
      </c>
      <c r="Z11" s="90">
        <v>9.6773484707826114</v>
      </c>
      <c r="AA11" s="90">
        <f t="shared" si="8"/>
        <v>419.87638169907399</v>
      </c>
      <c r="AB11" s="90">
        <f t="shared" si="9"/>
        <v>63.904557488447743</v>
      </c>
      <c r="AC11" s="90">
        <f t="shared" si="10"/>
        <v>36.895313468399223</v>
      </c>
      <c r="AD11" s="90">
        <f t="shared" si="11"/>
        <v>2.3024663075277192</v>
      </c>
      <c r="AE11" s="90">
        <f t="shared" si="12"/>
        <v>3.1321651706703126</v>
      </c>
      <c r="AF11" s="90">
        <f t="shared" si="13"/>
        <v>1.8083564044328753</v>
      </c>
      <c r="AG11" s="90">
        <f t="shared" si="14"/>
        <v>767.83252021484952</v>
      </c>
      <c r="AH11" s="90">
        <f t="shared" si="15"/>
        <v>58.319099404553405</v>
      </c>
      <c r="AI11" s="90">
        <f t="shared" si="16"/>
        <v>33.670547740115452</v>
      </c>
      <c r="AJ11" s="90">
        <f t="shared" si="17"/>
        <v>4.2675266218602816</v>
      </c>
      <c r="AK11" s="90">
        <f t="shared" si="18"/>
        <v>4.7214021571484608</v>
      </c>
      <c r="AL11" s="90">
        <f t="shared" si="19"/>
        <v>2.7259028063821438</v>
      </c>
      <c r="AM11" s="94"/>
    </row>
    <row r="12" spans="1:39">
      <c r="B12" t="s">
        <v>129</v>
      </c>
      <c r="C12" t="s">
        <v>112</v>
      </c>
      <c r="D12">
        <v>17.666</v>
      </c>
      <c r="F12" t="s">
        <v>129</v>
      </c>
      <c r="G12" t="s">
        <v>126</v>
      </c>
      <c r="H12">
        <v>30.047999999999998</v>
      </c>
      <c r="I12">
        <f t="shared" ref="I12" si="23">H12-E13</f>
        <v>12.482999999999997</v>
      </c>
      <c r="J12">
        <f t="shared" si="0"/>
        <v>1.7467975097935979E-4</v>
      </c>
      <c r="L12">
        <f t="shared" si="1"/>
        <v>346.87654439815947</v>
      </c>
      <c r="N12" s="90">
        <v>6</v>
      </c>
      <c r="O12" s="90">
        <v>573.48494880844999</v>
      </c>
      <c r="P12" s="90">
        <v>581.49050036122776</v>
      </c>
      <c r="Q12" s="90">
        <v>485.25921945514682</v>
      </c>
      <c r="R12" s="90">
        <v>3.8904718640347129</v>
      </c>
      <c r="S12" s="90"/>
      <c r="T12" s="90">
        <v>15.422290529221968</v>
      </c>
      <c r="U12" s="90">
        <v>934.97143554316574</v>
      </c>
      <c r="V12" s="90">
        <v>997.22723863420379</v>
      </c>
      <c r="W12" s="90">
        <v>896.88455071059172</v>
      </c>
      <c r="X12" s="90">
        <v>5.8696662728354845</v>
      </c>
      <c r="Y12" s="90">
        <v>1.8078543849757152</v>
      </c>
      <c r="Z12" s="90">
        <v>9.4170714736860504</v>
      </c>
      <c r="AA12" s="90">
        <f t="shared" si="8"/>
        <v>546.74488954160813</v>
      </c>
      <c r="AB12" s="90">
        <f t="shared" si="9"/>
        <v>53.398388865226295</v>
      </c>
      <c r="AC12" s="90">
        <f t="shared" si="10"/>
        <v>30.829574185630719</v>
      </c>
      <c r="AD12" s="90">
        <f t="shared" si="11"/>
        <v>9.6563811966283399</v>
      </c>
      <c r="AE12" s="90">
        <f t="shared" si="12"/>
        <v>8.1542271775675115</v>
      </c>
      <c r="AF12" s="90">
        <f t="shared" si="13"/>
        <v>4.7078452560019652</v>
      </c>
      <c r="AG12" s="90">
        <f t="shared" si="14"/>
        <v>943.0277416293203</v>
      </c>
      <c r="AH12" s="90">
        <f t="shared" si="15"/>
        <v>50.654139078156383</v>
      </c>
      <c r="AI12" s="90">
        <f t="shared" si="16"/>
        <v>29.245180832342331</v>
      </c>
      <c r="AJ12" s="90">
        <f t="shared" si="17"/>
        <v>5.6981973771657506</v>
      </c>
      <c r="AK12" s="90">
        <f t="shared" si="18"/>
        <v>3.8075053988690533</v>
      </c>
      <c r="AL12" s="90">
        <f t="shared" si="19"/>
        <v>2.1982642669780015</v>
      </c>
      <c r="AM12" s="94"/>
    </row>
    <row r="13" spans="1:39">
      <c r="B13" t="s">
        <v>129</v>
      </c>
      <c r="C13" t="s">
        <v>112</v>
      </c>
      <c r="D13">
        <v>17.664999999999999</v>
      </c>
      <c r="E13">
        <f t="shared" ref="E13" si="24">AVERAGE(D11:D13)</f>
        <v>17.565000000000001</v>
      </c>
      <c r="F13" t="s">
        <v>129</v>
      </c>
      <c r="G13" t="s">
        <v>126</v>
      </c>
      <c r="H13">
        <v>29.623000000000001</v>
      </c>
      <c r="I13">
        <f t="shared" ref="I13" si="25">H13-E13</f>
        <v>12.058</v>
      </c>
      <c r="J13">
        <f t="shared" si="0"/>
        <v>2.3452023045739172E-4</v>
      </c>
      <c r="L13">
        <f t="shared" si="1"/>
        <v>465.70691036840509</v>
      </c>
      <c r="N13" s="90">
        <v>12</v>
      </c>
      <c r="O13" s="90">
        <v>610.96467000483483</v>
      </c>
      <c r="P13" s="90">
        <v>616.92236832311323</v>
      </c>
      <c r="Q13" s="90">
        <v>556.77288619945443</v>
      </c>
      <c r="R13" s="90"/>
      <c r="S13" s="90">
        <v>5.9957704326128489</v>
      </c>
      <c r="T13" s="90">
        <v>3.7736095213698788</v>
      </c>
      <c r="U13" s="90">
        <v>1160.0289912964515</v>
      </c>
      <c r="V13" s="90">
        <v>1169.7180811226788</v>
      </c>
      <c r="W13" s="90">
        <v>1289.8120575381174</v>
      </c>
      <c r="X13" s="90">
        <v>8.7965947256588457</v>
      </c>
      <c r="Y13" s="90">
        <v>14.927960265651839</v>
      </c>
      <c r="Z13" s="90">
        <v>9.7672007275918542</v>
      </c>
      <c r="AA13" s="90">
        <f t="shared" si="8"/>
        <v>594.88664150913417</v>
      </c>
      <c r="AB13" s="90">
        <f t="shared" si="9"/>
        <v>33.141624887254835</v>
      </c>
      <c r="AC13" s="90">
        <f t="shared" si="10"/>
        <v>19.13432605003818</v>
      </c>
      <c r="AD13" s="90">
        <f t="shared" si="11"/>
        <v>4.8846899769913641</v>
      </c>
      <c r="AE13" s="90">
        <f t="shared" si="12"/>
        <v>1.5713050492275806</v>
      </c>
      <c r="AF13" s="90">
        <f t="shared" si="13"/>
        <v>0.90719339315056191</v>
      </c>
      <c r="AG13" s="90">
        <f t="shared" si="14"/>
        <v>1206.5197099857494</v>
      </c>
      <c r="AH13" s="90">
        <f t="shared" si="15"/>
        <v>72.29578816226811</v>
      </c>
      <c r="AI13" s="90">
        <f t="shared" si="16"/>
        <v>41.739992756761659</v>
      </c>
      <c r="AJ13" s="90">
        <f t="shared" si="17"/>
        <v>11.163918572967512</v>
      </c>
      <c r="AK13" s="90">
        <f t="shared" si="18"/>
        <v>3.2956829946077191</v>
      </c>
      <c r="AL13" s="90">
        <f t="shared" si="19"/>
        <v>1.9027634641004387</v>
      </c>
      <c r="AM13" s="94" t="s">
        <v>666</v>
      </c>
    </row>
    <row r="14" spans="1:39">
      <c r="B14" t="s">
        <v>130</v>
      </c>
      <c r="C14" t="s">
        <v>23</v>
      </c>
      <c r="D14">
        <v>18.311</v>
      </c>
      <c r="F14" t="s">
        <v>130</v>
      </c>
      <c r="G14" t="s">
        <v>126</v>
      </c>
      <c r="H14">
        <v>30.094000000000001</v>
      </c>
      <c r="I14">
        <f t="shared" ref="I14" si="26">H14-E16</f>
        <v>11.757666666666669</v>
      </c>
      <c r="J14">
        <f t="shared" si="0"/>
        <v>2.8879498964705001E-4</v>
      </c>
      <c r="L14">
        <f t="shared" si="1"/>
        <v>573.48494880844999</v>
      </c>
    </row>
    <row r="15" spans="1:39">
      <c r="B15" t="s">
        <v>130</v>
      </c>
      <c r="C15" t="s">
        <v>23</v>
      </c>
      <c r="D15">
        <v>18.41</v>
      </c>
      <c r="F15" t="s">
        <v>130</v>
      </c>
      <c r="G15" t="s">
        <v>126</v>
      </c>
      <c r="H15">
        <v>30.074000000000002</v>
      </c>
      <c r="I15">
        <f t="shared" ref="I15" si="27">H15-E16</f>
        <v>11.737666666666669</v>
      </c>
      <c r="J15">
        <f t="shared" si="0"/>
        <v>2.9282641746848984E-4</v>
      </c>
      <c r="L15">
        <f t="shared" si="1"/>
        <v>581.49050036122776</v>
      </c>
    </row>
    <row r="16" spans="1:39">
      <c r="B16" t="s">
        <v>130</v>
      </c>
      <c r="C16" t="s">
        <v>23</v>
      </c>
      <c r="D16">
        <v>18.288</v>
      </c>
      <c r="E16">
        <f t="shared" ref="E16:E73" si="28">AVERAGE(D14:D16)</f>
        <v>18.336333333333332</v>
      </c>
      <c r="F16" t="s">
        <v>130</v>
      </c>
      <c r="G16" t="s">
        <v>126</v>
      </c>
      <c r="H16">
        <v>30.335000000000001</v>
      </c>
      <c r="I16">
        <f t="shared" ref="I16" si="29">H16-E16</f>
        <v>11.998666666666669</v>
      </c>
      <c r="J16">
        <f t="shared" si="0"/>
        <v>2.4436636314494292E-4</v>
      </c>
      <c r="L16">
        <f t="shared" si="1"/>
        <v>485.25921945514682</v>
      </c>
    </row>
    <row r="17" spans="2:12">
      <c r="B17" t="s">
        <v>131</v>
      </c>
      <c r="C17" t="s">
        <v>23</v>
      </c>
      <c r="D17">
        <v>17.757999999999999</v>
      </c>
      <c r="F17" t="s">
        <v>131</v>
      </c>
      <c r="G17" t="s">
        <v>126</v>
      </c>
      <c r="H17">
        <v>29.436</v>
      </c>
      <c r="I17">
        <f t="shared" ref="I17" si="30">H17-E19</f>
        <v>11.666333333333334</v>
      </c>
      <c r="J17">
        <f t="shared" si="0"/>
        <v>3.0766899099159026E-4</v>
      </c>
      <c r="L17">
        <f t="shared" si="1"/>
        <v>610.96467000483483</v>
      </c>
    </row>
    <row r="18" spans="2:12">
      <c r="B18" t="s">
        <v>131</v>
      </c>
      <c r="C18" t="s">
        <v>23</v>
      </c>
      <c r="D18">
        <v>17.756</v>
      </c>
      <c r="F18" t="s">
        <v>131</v>
      </c>
      <c r="G18" t="s">
        <v>126</v>
      </c>
      <c r="H18">
        <v>29.422000000000001</v>
      </c>
      <c r="I18">
        <f t="shared" ref="I18" si="31">H18-E19</f>
        <v>11.652333333333335</v>
      </c>
      <c r="J18">
        <f t="shared" si="0"/>
        <v>3.1066916288402145E-4</v>
      </c>
      <c r="L18">
        <f t="shared" si="1"/>
        <v>616.92236832311323</v>
      </c>
    </row>
    <row r="19" spans="2:12">
      <c r="B19" t="s">
        <v>131</v>
      </c>
      <c r="C19" t="s">
        <v>23</v>
      </c>
      <c r="D19">
        <v>17.795000000000002</v>
      </c>
      <c r="E19">
        <f t="shared" si="28"/>
        <v>17.769666666666666</v>
      </c>
      <c r="F19" t="s">
        <v>131</v>
      </c>
      <c r="G19" t="s">
        <v>126</v>
      </c>
      <c r="H19">
        <v>29.57</v>
      </c>
      <c r="I19">
        <f t="shared" ref="I19" si="32">H19-E19</f>
        <v>11.800333333333334</v>
      </c>
      <c r="J19">
        <f t="shared" si="0"/>
        <v>2.8037914550297331E-4</v>
      </c>
      <c r="L19">
        <f t="shared" si="1"/>
        <v>556.77288619945443</v>
      </c>
    </row>
    <row r="20" spans="2:12">
      <c r="B20" t="s">
        <v>132</v>
      </c>
      <c r="C20" t="s">
        <v>23</v>
      </c>
      <c r="D20">
        <v>18.280999999999999</v>
      </c>
      <c r="F20" t="s">
        <v>132</v>
      </c>
      <c r="G20" t="s">
        <v>126</v>
      </c>
      <c r="H20">
        <v>38.906999999999996</v>
      </c>
      <c r="I20">
        <f t="shared" ref="I20" si="33">H20-E22</f>
        <v>20.709999999999997</v>
      </c>
      <c r="J20">
        <f t="shared" si="0"/>
        <v>5.8300031551936635E-7</v>
      </c>
      <c r="K20" s="8"/>
      <c r="L20">
        <f t="shared" si="1"/>
        <v>1.1577136657029579</v>
      </c>
    </row>
    <row r="21" spans="2:12">
      <c r="B21" t="s">
        <v>132</v>
      </c>
      <c r="C21" t="s">
        <v>23</v>
      </c>
      <c r="D21">
        <v>18.010999999999999</v>
      </c>
      <c r="F21" t="s">
        <v>132</v>
      </c>
      <c r="G21" t="s">
        <v>126</v>
      </c>
      <c r="H21">
        <v>36.322000000000003</v>
      </c>
      <c r="I21">
        <f t="shared" ref="I21" si="34">H21-E22</f>
        <v>18.125000000000004</v>
      </c>
      <c r="J21">
        <f t="shared" si="0"/>
        <v>3.4980928161799223E-6</v>
      </c>
      <c r="L21">
        <f t="shared" si="1"/>
        <v>6.9464625479337556</v>
      </c>
    </row>
    <row r="22" spans="2:12">
      <c r="B22" t="s">
        <v>132</v>
      </c>
      <c r="C22" t="s">
        <v>23</v>
      </c>
      <c r="D22">
        <v>18.298999999999999</v>
      </c>
      <c r="E22">
        <f t="shared" si="28"/>
        <v>18.196999999999999</v>
      </c>
      <c r="F22" t="s">
        <v>132</v>
      </c>
      <c r="G22" t="s">
        <v>126</v>
      </c>
      <c r="H22">
        <v>36.518000000000001</v>
      </c>
      <c r="I22">
        <f t="shared" ref="I22" si="35">H22-E22</f>
        <v>18.321000000000002</v>
      </c>
      <c r="J22">
        <f t="shared" si="0"/>
        <v>3.0537216593029113E-6</v>
      </c>
      <c r="L22">
        <f t="shared" si="1"/>
        <v>6.0640366773706385</v>
      </c>
    </row>
    <row r="23" spans="2:12">
      <c r="B23" t="s">
        <v>133</v>
      </c>
      <c r="C23" t="s">
        <v>112</v>
      </c>
      <c r="D23">
        <v>18.274999999999999</v>
      </c>
      <c r="F23" t="s">
        <v>133</v>
      </c>
      <c r="G23" t="s">
        <v>126</v>
      </c>
      <c r="H23">
        <v>39.116</v>
      </c>
      <c r="I23">
        <f t="shared" ref="I23" si="36">H23-E25</f>
        <v>21.154</v>
      </c>
      <c r="J23">
        <f t="shared" si="0"/>
        <v>4.2855984049369365E-7</v>
      </c>
      <c r="L23">
        <f t="shared" si="1"/>
        <v>0.85102798524051171</v>
      </c>
    </row>
    <row r="24" spans="2:12">
      <c r="B24" t="s">
        <v>133</v>
      </c>
      <c r="C24" t="s">
        <v>112</v>
      </c>
      <c r="D24">
        <v>17.798999999999999</v>
      </c>
      <c r="F24" t="s">
        <v>133</v>
      </c>
      <c r="G24" t="s">
        <v>126</v>
      </c>
      <c r="H24">
        <v>39.039000000000001</v>
      </c>
      <c r="I24">
        <f t="shared" ref="I24" si="37">H24-E25</f>
        <v>21.077000000000002</v>
      </c>
      <c r="J24">
        <f t="shared" si="0"/>
        <v>4.5205448395187613E-7</v>
      </c>
      <c r="L24">
        <f t="shared" si="1"/>
        <v>0.8976833112811593</v>
      </c>
    </row>
    <row r="25" spans="2:12">
      <c r="B25" t="s">
        <v>133</v>
      </c>
      <c r="C25" t="s">
        <v>112</v>
      </c>
      <c r="D25">
        <v>17.812000000000001</v>
      </c>
      <c r="E25">
        <f t="shared" si="28"/>
        <v>17.962</v>
      </c>
      <c r="F25" t="s">
        <v>133</v>
      </c>
      <c r="G25" t="s">
        <v>126</v>
      </c>
      <c r="H25">
        <v>38.948</v>
      </c>
      <c r="I25">
        <f t="shared" ref="I25" si="38">H25-E25</f>
        <v>20.986000000000001</v>
      </c>
      <c r="J25">
        <f t="shared" si="0"/>
        <v>4.8148693923792183E-7</v>
      </c>
      <c r="L25">
        <f t="shared" si="1"/>
        <v>0.95612985889493063</v>
      </c>
    </row>
    <row r="26" spans="2:12">
      <c r="B26" t="s">
        <v>134</v>
      </c>
      <c r="C26" t="s">
        <v>23</v>
      </c>
      <c r="D26">
        <v>18.344000000000001</v>
      </c>
      <c r="F26" t="s">
        <v>134</v>
      </c>
      <c r="G26" t="s">
        <v>126</v>
      </c>
      <c r="H26">
        <v>39.125999999999998</v>
      </c>
      <c r="I26">
        <f t="shared" ref="I26" si="39">H26-E28</f>
        <v>20.752999999999997</v>
      </c>
      <c r="J26">
        <f t="shared" si="0"/>
        <v>5.6588020212961894E-7</v>
      </c>
      <c r="L26">
        <f t="shared" si="1"/>
        <v>1.1237167900545495</v>
      </c>
    </row>
    <row r="27" spans="2:12">
      <c r="B27" t="s">
        <v>134</v>
      </c>
      <c r="C27" t="s">
        <v>23</v>
      </c>
      <c r="D27">
        <v>18.34</v>
      </c>
      <c r="F27" t="s">
        <v>134</v>
      </c>
      <c r="G27" t="s">
        <v>126</v>
      </c>
      <c r="H27" t="s">
        <v>115</v>
      </c>
      <c r="I27" t="e">
        <f t="shared" ref="I27" si="40">H27-E28</f>
        <v>#VALUE!</v>
      </c>
      <c r="J27" t="e">
        <f t="shared" si="0"/>
        <v>#VALUE!</v>
      </c>
      <c r="L27" t="e">
        <f t="shared" si="1"/>
        <v>#VALUE!</v>
      </c>
    </row>
    <row r="28" spans="2:12">
      <c r="B28" t="s">
        <v>134</v>
      </c>
      <c r="C28" t="s">
        <v>23</v>
      </c>
      <c r="D28">
        <v>18.434999999999999</v>
      </c>
      <c r="E28">
        <f t="shared" si="28"/>
        <v>18.373000000000001</v>
      </c>
      <c r="F28" t="s">
        <v>134</v>
      </c>
      <c r="G28" t="s">
        <v>126</v>
      </c>
      <c r="H28" t="s">
        <v>115</v>
      </c>
      <c r="I28" t="e">
        <f t="shared" ref="I28" si="41">H28-E28</f>
        <v>#VALUE!</v>
      </c>
      <c r="J28" t="e">
        <f t="shared" si="0"/>
        <v>#VALUE!</v>
      </c>
      <c r="L28" t="e">
        <f t="shared" si="1"/>
        <v>#VALUE!</v>
      </c>
    </row>
    <row r="29" spans="2:12">
      <c r="B29" t="s">
        <v>135</v>
      </c>
      <c r="C29" t="s">
        <v>112</v>
      </c>
      <c r="D29">
        <v>17.170000000000002</v>
      </c>
      <c r="F29" t="s">
        <v>135</v>
      </c>
      <c r="G29" t="s">
        <v>126</v>
      </c>
      <c r="H29">
        <v>39.253</v>
      </c>
      <c r="I29">
        <f t="shared" ref="I29" si="42">H29-E31</f>
        <v>22.096</v>
      </c>
      <c r="J29">
        <f t="shared" si="0"/>
        <v>2.2307002492699628E-7</v>
      </c>
      <c r="L29">
        <f t="shared" si="1"/>
        <v>0.44296925643448359</v>
      </c>
    </row>
    <row r="30" spans="2:12">
      <c r="B30" t="s">
        <v>135</v>
      </c>
      <c r="C30" t="s">
        <v>112</v>
      </c>
      <c r="D30">
        <v>17.234999999999999</v>
      </c>
      <c r="F30" t="s">
        <v>135</v>
      </c>
      <c r="G30" t="s">
        <v>126</v>
      </c>
      <c r="H30">
        <v>38.951999999999998</v>
      </c>
      <c r="I30">
        <f t="shared" ref="I30" si="43">H30-E31</f>
        <v>21.794999999999998</v>
      </c>
      <c r="J30">
        <f t="shared" si="0"/>
        <v>2.7482184095355674E-7</v>
      </c>
      <c r="L30">
        <f t="shared" si="1"/>
        <v>0.54573727052298393</v>
      </c>
    </row>
    <row r="31" spans="2:12">
      <c r="B31" t="s">
        <v>135</v>
      </c>
      <c r="C31" t="s">
        <v>112</v>
      </c>
      <c r="D31">
        <v>17.065999999999999</v>
      </c>
      <c r="E31">
        <f t="shared" si="28"/>
        <v>17.157</v>
      </c>
      <c r="F31" t="s">
        <v>135</v>
      </c>
      <c r="G31" t="s">
        <v>126</v>
      </c>
      <c r="H31">
        <v>35.512999999999998</v>
      </c>
      <c r="I31">
        <f t="shared" ref="I31" si="44">H31-E31</f>
        <v>18.355999999999998</v>
      </c>
      <c r="J31">
        <f t="shared" si="0"/>
        <v>2.9805293280499243E-6</v>
      </c>
      <c r="L31">
        <f t="shared" si="1"/>
        <v>5.9186923956256905</v>
      </c>
    </row>
    <row r="32" spans="2:12">
      <c r="B32" t="s">
        <v>136</v>
      </c>
      <c r="C32" t="s">
        <v>23</v>
      </c>
      <c r="D32">
        <v>18.085000000000001</v>
      </c>
      <c r="F32" t="s">
        <v>136</v>
      </c>
      <c r="G32" t="s">
        <v>126</v>
      </c>
      <c r="H32">
        <v>37.037999999999997</v>
      </c>
      <c r="I32">
        <f t="shared" ref="I32" si="45">H32-E34</f>
        <v>18.961333333333329</v>
      </c>
      <c r="J32">
        <f t="shared" si="0"/>
        <v>1.9591600163709289E-6</v>
      </c>
      <c r="L32">
        <f t="shared" si="1"/>
        <v>3.8904718640347129</v>
      </c>
    </row>
    <row r="33" spans="2:12">
      <c r="B33" t="s">
        <v>136</v>
      </c>
      <c r="C33" t="s">
        <v>23</v>
      </c>
      <c r="D33">
        <v>18.064</v>
      </c>
      <c r="F33" t="s">
        <v>136</v>
      </c>
      <c r="G33" t="s">
        <v>126</v>
      </c>
      <c r="H33" t="s">
        <v>115</v>
      </c>
      <c r="I33" t="e">
        <f t="shared" ref="I33" si="46">H33-E34</f>
        <v>#VALUE!</v>
      </c>
      <c r="J33" t="e">
        <f t="shared" si="0"/>
        <v>#VALUE!</v>
      </c>
      <c r="L33" t="e">
        <f t="shared" si="1"/>
        <v>#VALUE!</v>
      </c>
    </row>
    <row r="34" spans="2:12">
      <c r="B34" t="s">
        <v>136</v>
      </c>
      <c r="C34" t="s">
        <v>23</v>
      </c>
      <c r="D34">
        <v>18.081</v>
      </c>
      <c r="E34">
        <f t="shared" si="28"/>
        <v>18.076666666666668</v>
      </c>
      <c r="F34" t="s">
        <v>136</v>
      </c>
      <c r="G34" t="s">
        <v>126</v>
      </c>
      <c r="H34">
        <v>35.051000000000002</v>
      </c>
      <c r="I34">
        <f t="shared" ref="I34" si="47">H34-E34</f>
        <v>16.974333333333334</v>
      </c>
      <c r="J34">
        <f t="shared" si="0"/>
        <v>7.7663419815540758E-6</v>
      </c>
      <c r="L34">
        <f t="shared" si="1"/>
        <v>15.422290529221968</v>
      </c>
    </row>
    <row r="35" spans="2:12">
      <c r="B35" t="s">
        <v>137</v>
      </c>
      <c r="C35" t="s">
        <v>23</v>
      </c>
      <c r="D35">
        <v>18.628</v>
      </c>
      <c r="F35" t="s">
        <v>137</v>
      </c>
      <c r="G35" t="s">
        <v>126</v>
      </c>
      <c r="H35" t="s">
        <v>115</v>
      </c>
      <c r="I35" t="e">
        <f t="shared" ref="I35" si="48">H35-E37</f>
        <v>#VALUE!</v>
      </c>
      <c r="J35" t="e">
        <f t="shared" si="0"/>
        <v>#VALUE!</v>
      </c>
      <c r="L35" t="e">
        <f t="shared" si="1"/>
        <v>#VALUE!</v>
      </c>
    </row>
    <row r="36" spans="2:12">
      <c r="B36" t="s">
        <v>137</v>
      </c>
      <c r="C36" t="s">
        <v>23</v>
      </c>
      <c r="D36">
        <v>18.462</v>
      </c>
      <c r="F36" t="s">
        <v>137</v>
      </c>
      <c r="G36" t="s">
        <v>126</v>
      </c>
      <c r="H36">
        <v>36.911999999999999</v>
      </c>
      <c r="I36">
        <f t="shared" ref="I36" si="49">H36-E37</f>
        <v>18.33733333333333</v>
      </c>
      <c r="J36">
        <f t="shared" si="0"/>
        <v>3.019344210532841E-6</v>
      </c>
      <c r="L36">
        <f t="shared" si="1"/>
        <v>5.9957704326128489</v>
      </c>
    </row>
    <row r="37" spans="2:12">
      <c r="B37" t="s">
        <v>137</v>
      </c>
      <c r="C37" t="s">
        <v>23</v>
      </c>
      <c r="D37">
        <v>18.634</v>
      </c>
      <c r="E37">
        <f t="shared" si="28"/>
        <v>18.574666666666669</v>
      </c>
      <c r="F37" t="s">
        <v>137</v>
      </c>
      <c r="G37" t="s">
        <v>126</v>
      </c>
      <c r="H37">
        <v>37.58</v>
      </c>
      <c r="I37">
        <f t="shared" ref="I37" si="50">H37-E37</f>
        <v>19.005333333333329</v>
      </c>
      <c r="J37">
        <f t="shared" si="0"/>
        <v>1.9003105921442899E-6</v>
      </c>
      <c r="L37">
        <f t="shared" si="1"/>
        <v>3.7736095213698788</v>
      </c>
    </row>
    <row r="38" spans="2:12">
      <c r="B38" t="s">
        <v>138</v>
      </c>
      <c r="C38" t="s">
        <v>112</v>
      </c>
      <c r="D38">
        <v>17.731999999999999</v>
      </c>
      <c r="F38" t="s">
        <v>138</v>
      </c>
      <c r="G38" t="s">
        <v>126</v>
      </c>
      <c r="H38">
        <v>38.116</v>
      </c>
      <c r="I38">
        <f t="shared" ref="I38" si="51">H38-E40</f>
        <v>20.473666666666663</v>
      </c>
      <c r="J38">
        <f t="shared" si="0"/>
        <v>6.867714174890205E-7</v>
      </c>
      <c r="L38">
        <f t="shared" si="1"/>
        <v>1.3637808318044022</v>
      </c>
    </row>
    <row r="39" spans="2:12">
      <c r="B39" t="s">
        <v>138</v>
      </c>
      <c r="C39" t="s">
        <v>112</v>
      </c>
      <c r="D39">
        <v>17.452999999999999</v>
      </c>
      <c r="F39" t="s">
        <v>138</v>
      </c>
      <c r="G39" t="s">
        <v>126</v>
      </c>
      <c r="H39" t="s">
        <v>115</v>
      </c>
      <c r="I39" t="e">
        <f t="shared" ref="I39" si="52">H39-E40</f>
        <v>#VALUE!</v>
      </c>
      <c r="J39" t="e">
        <f t="shared" si="0"/>
        <v>#VALUE!</v>
      </c>
      <c r="L39" t="e">
        <f t="shared" si="1"/>
        <v>#VALUE!</v>
      </c>
    </row>
    <row r="40" spans="2:12">
      <c r="B40" t="s">
        <v>138</v>
      </c>
      <c r="C40" t="s">
        <v>112</v>
      </c>
      <c r="D40">
        <v>17.742000000000001</v>
      </c>
      <c r="E40">
        <f t="shared" si="28"/>
        <v>17.642333333333337</v>
      </c>
      <c r="F40" t="s">
        <v>138</v>
      </c>
      <c r="G40" t="s">
        <v>126</v>
      </c>
      <c r="H40">
        <v>36.334000000000003</v>
      </c>
      <c r="I40">
        <f t="shared" ref="I40" si="53">H40-E40</f>
        <v>18.691666666666666</v>
      </c>
      <c r="J40">
        <f t="shared" si="0"/>
        <v>2.3618247230099526E-6</v>
      </c>
      <c r="L40">
        <f t="shared" si="1"/>
        <v>4.6900776638308619</v>
      </c>
    </row>
    <row r="41" spans="2:12">
      <c r="B41" t="s">
        <v>139</v>
      </c>
      <c r="C41" t="s">
        <v>112</v>
      </c>
      <c r="D41">
        <v>17.623000000000001</v>
      </c>
      <c r="F41" t="s">
        <v>139</v>
      </c>
      <c r="G41" t="s">
        <v>126</v>
      </c>
      <c r="H41">
        <v>31.274000000000001</v>
      </c>
      <c r="I41">
        <f t="shared" ref="I41" si="54">H41-E43</f>
        <v>13.690666666666669</v>
      </c>
      <c r="J41">
        <f t="shared" si="0"/>
        <v>7.563079624517428E-5</v>
      </c>
      <c r="L41">
        <f t="shared" si="1"/>
        <v>150.18655055620746</v>
      </c>
    </row>
    <row r="42" spans="2:12">
      <c r="B42" t="s">
        <v>139</v>
      </c>
      <c r="C42" t="s">
        <v>112</v>
      </c>
      <c r="D42">
        <v>17.593</v>
      </c>
      <c r="F42" t="s">
        <v>139</v>
      </c>
      <c r="G42" t="s">
        <v>126</v>
      </c>
      <c r="H42">
        <v>30.995999999999999</v>
      </c>
      <c r="I42">
        <f t="shared" ref="I42" si="55">H42-E43</f>
        <v>13.412666666666667</v>
      </c>
      <c r="J42">
        <f t="shared" si="0"/>
        <v>9.1703309963120261E-5</v>
      </c>
      <c r="L42">
        <f t="shared" si="1"/>
        <v>182.10311780006552</v>
      </c>
    </row>
    <row r="43" spans="2:12">
      <c r="B43" t="s">
        <v>139</v>
      </c>
      <c r="C43" t="s">
        <v>112</v>
      </c>
      <c r="D43">
        <v>17.533999999999999</v>
      </c>
      <c r="E43">
        <f t="shared" si="28"/>
        <v>17.583333333333332</v>
      </c>
      <c r="F43" t="s">
        <v>139</v>
      </c>
      <c r="G43" t="s">
        <v>126</v>
      </c>
      <c r="H43">
        <v>31.382999999999999</v>
      </c>
      <c r="I43">
        <f t="shared" ref="I43" si="56">H43-E43</f>
        <v>13.799666666666667</v>
      </c>
      <c r="J43">
        <f t="shared" si="0"/>
        <v>7.0127184529762145E-5</v>
      </c>
      <c r="L43">
        <f t="shared" si="1"/>
        <v>139.25755733948961</v>
      </c>
    </row>
    <row r="44" spans="2:12">
      <c r="B44" t="s">
        <v>140</v>
      </c>
      <c r="C44" t="s">
        <v>112</v>
      </c>
      <c r="D44">
        <v>18.466999999999999</v>
      </c>
      <c r="F44" t="s">
        <v>140</v>
      </c>
      <c r="G44" t="s">
        <v>126</v>
      </c>
      <c r="H44">
        <v>31.065000000000001</v>
      </c>
      <c r="I44">
        <f t="shared" ref="I44" si="57">H44-E46</f>
        <v>12.642500000000002</v>
      </c>
      <c r="J44">
        <f t="shared" si="0"/>
        <v>1.5639695017092292E-4</v>
      </c>
      <c r="L44">
        <f t="shared" si="1"/>
        <v>310.57082074791327</v>
      </c>
    </row>
    <row r="45" spans="2:12">
      <c r="B45" t="s">
        <v>140</v>
      </c>
      <c r="C45" t="s">
        <v>112</v>
      </c>
      <c r="D45" t="s">
        <v>115</v>
      </c>
      <c r="F45" t="s">
        <v>140</v>
      </c>
      <c r="G45" t="s">
        <v>126</v>
      </c>
      <c r="H45">
        <v>30.672999999999998</v>
      </c>
      <c r="I45">
        <f t="shared" ref="I45" si="58">H45-E46</f>
        <v>12.250499999999999</v>
      </c>
      <c r="J45">
        <f t="shared" si="0"/>
        <v>2.0522583819814342E-4</v>
      </c>
      <c r="L45">
        <f t="shared" si="1"/>
        <v>407.53452633327481</v>
      </c>
    </row>
    <row r="46" spans="2:12">
      <c r="B46" t="s">
        <v>140</v>
      </c>
      <c r="C46" t="s">
        <v>112</v>
      </c>
      <c r="D46">
        <v>18.378</v>
      </c>
      <c r="E46">
        <f t="shared" si="28"/>
        <v>18.422499999999999</v>
      </c>
      <c r="F46" t="s">
        <v>140</v>
      </c>
      <c r="G46" t="s">
        <v>126</v>
      </c>
      <c r="H46">
        <v>30.564</v>
      </c>
      <c r="I46">
        <f t="shared" ref="I46" si="59">H46-E46</f>
        <v>12.141500000000001</v>
      </c>
      <c r="J46">
        <f t="shared" si="0"/>
        <v>2.2133205057478923E-4</v>
      </c>
      <c r="L46">
        <f t="shared" si="1"/>
        <v>439.51801189030374</v>
      </c>
    </row>
    <row r="47" spans="2:12">
      <c r="B47" t="s">
        <v>141</v>
      </c>
      <c r="C47" t="s">
        <v>112</v>
      </c>
      <c r="D47">
        <v>17.791</v>
      </c>
      <c r="F47" t="s">
        <v>141</v>
      </c>
      <c r="G47" t="s">
        <v>126</v>
      </c>
      <c r="H47">
        <v>29.155000000000001</v>
      </c>
      <c r="I47">
        <f t="shared" ref="I47" si="60">H47-E49</f>
        <v>11.409666666666666</v>
      </c>
      <c r="J47">
        <f t="shared" si="0"/>
        <v>3.6757680015583422E-4</v>
      </c>
      <c r="L47">
        <f t="shared" si="1"/>
        <v>729.92873830037979</v>
      </c>
    </row>
    <row r="48" spans="2:12">
      <c r="B48" t="s">
        <v>141</v>
      </c>
      <c r="C48" t="s">
        <v>112</v>
      </c>
      <c r="D48">
        <v>17.669</v>
      </c>
      <c r="F48" t="s">
        <v>141</v>
      </c>
      <c r="G48" t="s">
        <v>126</v>
      </c>
      <c r="H48">
        <v>28.960999999999999</v>
      </c>
      <c r="I48">
        <f t="shared" ref="I48" si="61">H48-E49</f>
        <v>11.215666666666664</v>
      </c>
      <c r="J48">
        <f t="shared" si="0"/>
        <v>4.2048248672940571E-4</v>
      </c>
      <c r="L48">
        <f t="shared" si="1"/>
        <v>834.98809197338232</v>
      </c>
    </row>
    <row r="49" spans="2:12">
      <c r="B49" t="s">
        <v>141</v>
      </c>
      <c r="C49" t="s">
        <v>112</v>
      </c>
      <c r="D49">
        <v>17.776</v>
      </c>
      <c r="E49">
        <f t="shared" si="28"/>
        <v>17.745333333333335</v>
      </c>
      <c r="F49" t="s">
        <v>141</v>
      </c>
      <c r="G49" t="s">
        <v>126</v>
      </c>
      <c r="H49">
        <v>29.138000000000002</v>
      </c>
      <c r="I49">
        <f t="shared" ref="I49" si="62">H49-E49</f>
        <v>11.392666666666667</v>
      </c>
      <c r="J49">
        <f t="shared" si="0"/>
        <v>3.7193376186091644E-4</v>
      </c>
      <c r="L49">
        <f t="shared" si="1"/>
        <v>738.58073037078645</v>
      </c>
    </row>
    <row r="50" spans="2:12">
      <c r="B50" t="s">
        <v>142</v>
      </c>
      <c r="C50" t="s">
        <v>23</v>
      </c>
      <c r="D50">
        <v>17.943999999999999</v>
      </c>
      <c r="F50" t="s">
        <v>142</v>
      </c>
      <c r="G50" t="s">
        <v>126</v>
      </c>
      <c r="H50">
        <v>29.047999999999998</v>
      </c>
      <c r="I50">
        <f t="shared" ref="I50" si="63">H50-E52</f>
        <v>11.052499999999998</v>
      </c>
      <c r="J50">
        <f t="shared" si="0"/>
        <v>4.7083200109958578E-4</v>
      </c>
      <c r="L50">
        <f t="shared" si="1"/>
        <v>934.97143554316574</v>
      </c>
    </row>
    <row r="51" spans="2:12">
      <c r="B51" t="s">
        <v>142</v>
      </c>
      <c r="C51" t="s">
        <v>23</v>
      </c>
      <c r="D51" t="s">
        <v>115</v>
      </c>
      <c r="F51" t="s">
        <v>142</v>
      </c>
      <c r="G51" t="s">
        <v>126</v>
      </c>
      <c r="H51">
        <v>28.954999999999998</v>
      </c>
      <c r="I51">
        <f t="shared" ref="I51" si="64">H51-E52</f>
        <v>10.959499999999998</v>
      </c>
      <c r="J51">
        <f t="shared" si="0"/>
        <v>5.0218271753338416E-4</v>
      </c>
      <c r="L51">
        <f t="shared" si="1"/>
        <v>997.22723863420379</v>
      </c>
    </row>
    <row r="52" spans="2:12">
      <c r="B52" t="s">
        <v>142</v>
      </c>
      <c r="C52" t="s">
        <v>23</v>
      </c>
      <c r="D52">
        <v>18.047000000000001</v>
      </c>
      <c r="E52">
        <f t="shared" si="28"/>
        <v>17.9955</v>
      </c>
      <c r="F52" t="s">
        <v>142</v>
      </c>
      <c r="G52" t="s">
        <v>126</v>
      </c>
      <c r="H52">
        <v>29.108000000000001</v>
      </c>
      <c r="I52">
        <f t="shared" ref="I52" si="65">H52-E52</f>
        <v>11.112500000000001</v>
      </c>
      <c r="J52">
        <f t="shared" si="0"/>
        <v>4.5165224488494536E-4</v>
      </c>
      <c r="L52">
        <f t="shared" si="1"/>
        <v>896.88455071059172</v>
      </c>
    </row>
    <row r="53" spans="2:12">
      <c r="B53" t="s">
        <v>143</v>
      </c>
      <c r="C53" t="s">
        <v>23</v>
      </c>
      <c r="D53">
        <v>17.945</v>
      </c>
      <c r="F53" t="s">
        <v>143</v>
      </c>
      <c r="G53" t="s">
        <v>126</v>
      </c>
      <c r="H53">
        <v>28.763999999999999</v>
      </c>
      <c r="I53">
        <f t="shared" ref="I53" si="66">H53-E55</f>
        <v>10.74133333333333</v>
      </c>
      <c r="J53">
        <f t="shared" si="0"/>
        <v>5.8416626491732669E-4</v>
      </c>
      <c r="L53">
        <f t="shared" si="1"/>
        <v>1160.0289912964515</v>
      </c>
    </row>
    <row r="54" spans="2:12">
      <c r="B54" t="s">
        <v>143</v>
      </c>
      <c r="C54" t="s">
        <v>23</v>
      </c>
      <c r="D54">
        <v>18.068000000000001</v>
      </c>
      <c r="F54" t="s">
        <v>143</v>
      </c>
      <c r="G54" t="s">
        <v>126</v>
      </c>
      <c r="H54">
        <v>28.751999999999999</v>
      </c>
      <c r="I54">
        <f t="shared" ref="I54" si="67">H54-E55</f>
        <v>10.729333333333329</v>
      </c>
      <c r="J54">
        <f t="shared" si="0"/>
        <v>5.8904548729599333E-4</v>
      </c>
      <c r="L54">
        <f t="shared" si="1"/>
        <v>1169.7180811226788</v>
      </c>
    </row>
    <row r="55" spans="2:12">
      <c r="B55" t="s">
        <v>143</v>
      </c>
      <c r="C55" t="s">
        <v>23</v>
      </c>
      <c r="D55">
        <v>18.055</v>
      </c>
      <c r="E55">
        <f t="shared" si="28"/>
        <v>18.022666666666669</v>
      </c>
      <c r="F55" t="s">
        <v>143</v>
      </c>
      <c r="G55" t="s">
        <v>126</v>
      </c>
      <c r="H55">
        <v>28.611000000000001</v>
      </c>
      <c r="I55">
        <f t="shared" ref="I55" si="68">H55-E55</f>
        <v>10.588333333333331</v>
      </c>
      <c r="J55">
        <f t="shared" si="0"/>
        <v>6.4952229448619208E-4</v>
      </c>
      <c r="L55">
        <f t="shared" si="1"/>
        <v>1289.8120575381174</v>
      </c>
    </row>
    <row r="56" spans="2:12">
      <c r="B56" t="s">
        <v>144</v>
      </c>
      <c r="C56" t="s">
        <v>112</v>
      </c>
      <c r="D56">
        <v>17.87</v>
      </c>
      <c r="F56" t="s">
        <v>144</v>
      </c>
      <c r="G56" t="s">
        <v>126</v>
      </c>
      <c r="H56">
        <v>36.188000000000002</v>
      </c>
      <c r="I56">
        <f t="shared" ref="I56" si="69">H56-E58</f>
        <v>18.33966666666667</v>
      </c>
      <c r="J56">
        <f t="shared" si="0"/>
        <v>3.0144648409090659E-6</v>
      </c>
      <c r="L56">
        <f t="shared" si="1"/>
        <v>5.9860810503893971</v>
      </c>
    </row>
    <row r="57" spans="2:12">
      <c r="B57" t="s">
        <v>144</v>
      </c>
      <c r="C57" t="s">
        <v>112</v>
      </c>
      <c r="D57">
        <v>17.837</v>
      </c>
      <c r="F57" t="s">
        <v>144</v>
      </c>
      <c r="G57" t="s">
        <v>126</v>
      </c>
      <c r="H57">
        <v>37.366999999999997</v>
      </c>
      <c r="I57">
        <f t="shared" ref="I57" si="70">H57-E58</f>
        <v>19.518666666666665</v>
      </c>
      <c r="J57">
        <f t="shared" si="0"/>
        <v>1.3313610830683334E-6</v>
      </c>
      <c r="L57">
        <f t="shared" si="1"/>
        <v>2.6437977455984751</v>
      </c>
    </row>
    <row r="58" spans="2:12">
      <c r="B58" t="s">
        <v>144</v>
      </c>
      <c r="C58" t="s">
        <v>112</v>
      </c>
      <c r="D58">
        <v>17.838000000000001</v>
      </c>
      <c r="E58">
        <f t="shared" si="28"/>
        <v>17.848333333333333</v>
      </c>
      <c r="F58" t="s">
        <v>144</v>
      </c>
      <c r="G58" t="s">
        <v>126</v>
      </c>
      <c r="H58">
        <v>34.997</v>
      </c>
      <c r="I58">
        <f t="shared" ref="I58" si="71">H58-E58</f>
        <v>17.148666666666667</v>
      </c>
      <c r="J58">
        <f t="shared" si="0"/>
        <v>6.882353057215823E-6</v>
      </c>
      <c r="L58">
        <f t="shared" si="1"/>
        <v>13.66687800062882</v>
      </c>
    </row>
    <row r="59" spans="2:12">
      <c r="B59" t="s">
        <v>145</v>
      </c>
      <c r="C59" t="s">
        <v>23</v>
      </c>
      <c r="D59">
        <v>19.178000000000001</v>
      </c>
      <c r="F59" t="s">
        <v>145</v>
      </c>
      <c r="G59" t="s">
        <v>126</v>
      </c>
      <c r="H59">
        <v>34.273000000000003</v>
      </c>
      <c r="I59">
        <f t="shared" ref="I59" si="72">H59-E61</f>
        <v>15.101000000000003</v>
      </c>
      <c r="J59">
        <f t="shared" si="0"/>
        <v>2.8454177442530239E-5</v>
      </c>
      <c r="L59">
        <f t="shared" si="1"/>
        <v>56.503897501681237</v>
      </c>
    </row>
    <row r="60" spans="2:12">
      <c r="B60" t="s">
        <v>145</v>
      </c>
      <c r="C60" t="s">
        <v>23</v>
      </c>
      <c r="D60">
        <v>19.186</v>
      </c>
      <c r="F60" t="s">
        <v>145</v>
      </c>
      <c r="G60" t="s">
        <v>126</v>
      </c>
      <c r="H60">
        <v>36.171999999999997</v>
      </c>
      <c r="I60">
        <f t="shared" ref="I60" si="73">H60-E61</f>
        <v>16.999999999999996</v>
      </c>
      <c r="J60">
        <f t="shared" si="0"/>
        <v>7.6293945312500169E-6</v>
      </c>
      <c r="L60">
        <f t="shared" si="1"/>
        <v>15.150342246382799</v>
      </c>
    </row>
    <row r="61" spans="2:12">
      <c r="B61" t="s">
        <v>145</v>
      </c>
      <c r="C61" t="s">
        <v>23</v>
      </c>
      <c r="D61">
        <v>19.152000000000001</v>
      </c>
      <c r="E61">
        <f t="shared" si="28"/>
        <v>19.172000000000001</v>
      </c>
      <c r="F61" t="s">
        <v>145</v>
      </c>
      <c r="G61" t="s">
        <v>126</v>
      </c>
      <c r="H61">
        <v>37.578000000000003</v>
      </c>
      <c r="I61">
        <f t="shared" ref="I61" si="74">H61-E61</f>
        <v>18.406000000000002</v>
      </c>
      <c r="J61">
        <f t="shared" si="0"/>
        <v>2.8790015573893687E-6</v>
      </c>
      <c r="L61">
        <f t="shared" si="1"/>
        <v>5.7170800046660553</v>
      </c>
    </row>
    <row r="62" spans="2:12">
      <c r="B62" t="s">
        <v>146</v>
      </c>
      <c r="C62" t="s">
        <v>112</v>
      </c>
      <c r="D62">
        <v>17.786999999999999</v>
      </c>
      <c r="F62" t="s">
        <v>146</v>
      </c>
      <c r="G62" t="s">
        <v>126</v>
      </c>
      <c r="H62">
        <v>35.610999999999997</v>
      </c>
      <c r="I62">
        <f t="shared" ref="I62" si="75">H62-E64</f>
        <v>17.87233333333333</v>
      </c>
      <c r="J62">
        <f t="shared" si="0"/>
        <v>4.167653209676127E-6</v>
      </c>
      <c r="L62">
        <f t="shared" si="1"/>
        <v>8.2760659751179322</v>
      </c>
    </row>
    <row r="63" spans="2:12">
      <c r="B63" t="s">
        <v>146</v>
      </c>
      <c r="C63" t="s">
        <v>112</v>
      </c>
      <c r="D63">
        <v>17.826000000000001</v>
      </c>
      <c r="F63" t="s">
        <v>146</v>
      </c>
      <c r="G63" t="s">
        <v>126</v>
      </c>
      <c r="H63">
        <v>35.554000000000002</v>
      </c>
      <c r="I63">
        <f t="shared" ref="I63" si="76">H63-E64</f>
        <v>17.815333333333335</v>
      </c>
      <c r="J63">
        <f t="shared" si="0"/>
        <v>4.3356107447972694E-6</v>
      </c>
      <c r="L63">
        <f t="shared" si="1"/>
        <v>8.6095936396686934</v>
      </c>
    </row>
    <row r="64" spans="2:12">
      <c r="B64" t="s">
        <v>146</v>
      </c>
      <c r="C64" t="s">
        <v>112</v>
      </c>
      <c r="D64">
        <v>17.603000000000002</v>
      </c>
      <c r="E64">
        <f t="shared" si="28"/>
        <v>17.738666666666667</v>
      </c>
      <c r="F64" t="s">
        <v>146</v>
      </c>
      <c r="G64" t="s">
        <v>126</v>
      </c>
      <c r="H64">
        <v>34.768999999999998</v>
      </c>
      <c r="I64">
        <f t="shared" ref="I64" si="77">H64-E64</f>
        <v>17.030333333333331</v>
      </c>
      <c r="J64">
        <f t="shared" si="0"/>
        <v>7.4706575743725183E-6</v>
      </c>
      <c r="L64">
        <f t="shared" si="1"/>
        <v>14.835124673875194</v>
      </c>
    </row>
    <row r="65" spans="2:12">
      <c r="B65" t="s">
        <v>147</v>
      </c>
      <c r="C65" t="s">
        <v>112</v>
      </c>
      <c r="D65">
        <v>18.11</v>
      </c>
      <c r="F65" t="s">
        <v>147</v>
      </c>
      <c r="G65" t="s">
        <v>126</v>
      </c>
      <c r="H65">
        <v>37.79</v>
      </c>
      <c r="I65">
        <f t="shared" ref="I65" si="78">H65-E67</f>
        <v>19.818666666666665</v>
      </c>
      <c r="J65">
        <f t="shared" si="0"/>
        <v>1.0814012301376879E-6</v>
      </c>
      <c r="L65">
        <f t="shared" si="1"/>
        <v>2.1474310543435764</v>
      </c>
    </row>
    <row r="66" spans="2:12">
      <c r="B66" t="s">
        <v>147</v>
      </c>
      <c r="C66" t="s">
        <v>112</v>
      </c>
      <c r="D66">
        <v>17.687999999999999</v>
      </c>
      <c r="F66" t="s">
        <v>147</v>
      </c>
      <c r="G66" t="s">
        <v>126</v>
      </c>
      <c r="H66">
        <v>38.924999999999997</v>
      </c>
      <c r="I66">
        <f t="shared" ref="I66" si="79">H66-E67</f>
        <v>20.953666666666663</v>
      </c>
      <c r="J66">
        <f t="shared" ref="J66:J73" si="80">POWER(2,-I66)</f>
        <v>4.9239973914782466E-7</v>
      </c>
      <c r="L66">
        <f t="shared" si="1"/>
        <v>0.97780034045465603</v>
      </c>
    </row>
    <row r="67" spans="2:12">
      <c r="B67" t="s">
        <v>147</v>
      </c>
      <c r="C67" t="s">
        <v>112</v>
      </c>
      <c r="D67">
        <v>18.116</v>
      </c>
      <c r="E67">
        <f t="shared" si="28"/>
        <v>17.971333333333334</v>
      </c>
      <c r="F67" t="s">
        <v>147</v>
      </c>
      <c r="G67" t="s">
        <v>126</v>
      </c>
      <c r="H67">
        <v>35.618000000000002</v>
      </c>
      <c r="I67">
        <f t="shared" ref="I67" si="81">H67-E67</f>
        <v>17.646666666666668</v>
      </c>
      <c r="J67">
        <f t="shared" si="80"/>
        <v>4.8733096783749105E-6</v>
      </c>
      <c r="L67">
        <f t="shared" ref="L67:L73" si="82">J67/5.03579021990184E-07</f>
        <v>9.6773484707826114</v>
      </c>
    </row>
    <row r="68" spans="2:12">
      <c r="B68" t="s">
        <v>148</v>
      </c>
      <c r="C68" t="s">
        <v>23</v>
      </c>
      <c r="D68">
        <v>18.187999999999999</v>
      </c>
      <c r="F68" t="s">
        <v>148</v>
      </c>
      <c r="G68" t="s">
        <v>126</v>
      </c>
      <c r="H68">
        <v>36.6</v>
      </c>
      <c r="I68">
        <f t="shared" ref="I68" si="83">H68-E70</f>
        <v>18.368000000000002</v>
      </c>
      <c r="J68">
        <f t="shared" si="80"/>
        <v>2.9558408010832619E-6</v>
      </c>
      <c r="L68">
        <f t="shared" si="82"/>
        <v>5.8696662728354845</v>
      </c>
    </row>
    <row r="69" spans="2:12">
      <c r="B69" t="s">
        <v>148</v>
      </c>
      <c r="C69" t="s">
        <v>23</v>
      </c>
      <c r="D69">
        <v>18.242999999999999</v>
      </c>
      <c r="F69" t="s">
        <v>148</v>
      </c>
      <c r="G69" t="s">
        <v>126</v>
      </c>
      <c r="H69">
        <v>38.298999999999999</v>
      </c>
      <c r="I69">
        <f t="shared" ref="I69" si="84">H69-E70</f>
        <v>20.067</v>
      </c>
      <c r="J69">
        <f t="shared" si="80"/>
        <v>9.1039754308673626E-7</v>
      </c>
      <c r="L69">
        <f t="shared" si="82"/>
        <v>1.8078543849757152</v>
      </c>
    </row>
    <row r="70" spans="2:12">
      <c r="B70" t="s">
        <v>148</v>
      </c>
      <c r="C70" t="s">
        <v>23</v>
      </c>
      <c r="D70">
        <v>18.265000000000001</v>
      </c>
      <c r="E70">
        <f t="shared" si="28"/>
        <v>18.231999999999999</v>
      </c>
      <c r="F70" t="s">
        <v>148</v>
      </c>
      <c r="G70" t="s">
        <v>126</v>
      </c>
      <c r="H70">
        <v>35.917999999999999</v>
      </c>
      <c r="I70">
        <f t="shared" ref="I70" si="85">H70-E70</f>
        <v>17.686</v>
      </c>
      <c r="J70">
        <f t="shared" si="80"/>
        <v>4.7422396427304818E-6</v>
      </c>
      <c r="L70">
        <f t="shared" si="82"/>
        <v>9.4170714736860504</v>
      </c>
    </row>
    <row r="71" spans="2:12">
      <c r="B71" t="s">
        <v>149</v>
      </c>
      <c r="C71" t="s">
        <v>23</v>
      </c>
      <c r="D71">
        <v>18.898</v>
      </c>
      <c r="F71" t="s">
        <v>149</v>
      </c>
      <c r="G71" t="s">
        <v>126</v>
      </c>
      <c r="H71">
        <v>36.780999999999999</v>
      </c>
      <c r="I71">
        <f t="shared" ref="I71" si="86">H71-E73</f>
        <v>17.784333333333333</v>
      </c>
      <c r="J71">
        <f t="shared" si="80"/>
        <v>4.4297805687912924E-6</v>
      </c>
      <c r="L71">
        <f t="shared" si="82"/>
        <v>8.7965947256588457</v>
      </c>
    </row>
    <row r="72" spans="2:12">
      <c r="B72" t="s">
        <v>149</v>
      </c>
      <c r="C72" t="s">
        <v>23</v>
      </c>
      <c r="D72">
        <v>18.945</v>
      </c>
      <c r="F72" t="s">
        <v>149</v>
      </c>
      <c r="G72" t="s">
        <v>126</v>
      </c>
      <c r="H72">
        <v>36.018000000000001</v>
      </c>
      <c r="I72">
        <f t="shared" ref="I72" si="87">H72-E73</f>
        <v>17.021333333333335</v>
      </c>
      <c r="J72">
        <f t="shared" si="80"/>
        <v>7.5174076308852809E-6</v>
      </c>
      <c r="L72">
        <f t="shared" si="82"/>
        <v>14.927960265651839</v>
      </c>
    </row>
    <row r="73" spans="2:12">
      <c r="B73" t="s">
        <v>149</v>
      </c>
      <c r="C73" t="s">
        <v>23</v>
      </c>
      <c r="D73">
        <v>19.146999999999998</v>
      </c>
      <c r="E73">
        <f t="shared" si="28"/>
        <v>18.996666666666666</v>
      </c>
      <c r="F73" t="s">
        <v>149</v>
      </c>
      <c r="G73" t="s">
        <v>126</v>
      </c>
      <c r="H73">
        <v>36.630000000000003</v>
      </c>
      <c r="I73">
        <f t="shared" ref="I73" si="88">H73-E73</f>
        <v>17.633333333333336</v>
      </c>
      <c r="J73">
        <f t="shared" si="80"/>
        <v>4.9185573899825194E-6</v>
      </c>
      <c r="L73">
        <f t="shared" si="82"/>
        <v>9.7672007275918542</v>
      </c>
    </row>
    <row r="76" spans="2:12">
      <c r="B76" t="s">
        <v>125</v>
      </c>
      <c r="C76" t="s">
        <v>112</v>
      </c>
      <c r="D76">
        <v>16.957000000000001</v>
      </c>
      <c r="F76" t="s">
        <v>125</v>
      </c>
      <c r="G76" t="s">
        <v>153</v>
      </c>
      <c r="H76">
        <v>23.408000000000001</v>
      </c>
      <c r="I76">
        <f>H76-E78</f>
        <v>6.4520000000000017</v>
      </c>
      <c r="J76">
        <f t="shared" ref="J76:J139" si="89">POWER(2,-I76)</f>
        <v>1.1422323815625251E-2</v>
      </c>
      <c r="L76">
        <f>J76/0.0107896709823909</f>
        <v>1.0586350440404402</v>
      </c>
    </row>
    <row r="77" spans="2:12">
      <c r="B77" t="s">
        <v>125</v>
      </c>
      <c r="C77" t="s">
        <v>112</v>
      </c>
      <c r="D77">
        <v>16.940999999999999</v>
      </c>
      <c r="F77" t="s">
        <v>125</v>
      </c>
      <c r="G77" t="s">
        <v>153</v>
      </c>
      <c r="H77">
        <v>23.565999999999999</v>
      </c>
      <c r="I77">
        <f>H77-E78</f>
        <v>6.6099999999999994</v>
      </c>
      <c r="J77">
        <f t="shared" si="89"/>
        <v>1.0237448467643472E-2</v>
      </c>
      <c r="K77">
        <v>1.0789670982390901E-2</v>
      </c>
      <c r="L77">
        <f t="shared" ref="L77:L140" si="90">J77/0.0107896709823909</f>
        <v>0.94881933697063847</v>
      </c>
    </row>
    <row r="78" spans="2:12">
      <c r="B78" t="s">
        <v>125</v>
      </c>
      <c r="C78" t="s">
        <v>112</v>
      </c>
      <c r="D78">
        <v>16.97</v>
      </c>
      <c r="E78">
        <f t="shared" ref="E78" si="91">AVERAGE(D76:D78)</f>
        <v>16.956</v>
      </c>
      <c r="F78" t="s">
        <v>125</v>
      </c>
      <c r="G78" t="s">
        <v>153</v>
      </c>
      <c r="H78">
        <v>23.501000000000001</v>
      </c>
      <c r="I78">
        <f>H78-E78</f>
        <v>6.5450000000000017</v>
      </c>
      <c r="J78">
        <f t="shared" si="89"/>
        <v>1.070924066390392E-2</v>
      </c>
      <c r="K78">
        <f>AVERAGE(J76:J78)</f>
        <v>1.078967098239088E-2</v>
      </c>
      <c r="L78">
        <f t="shared" si="90"/>
        <v>0.9925456189889158</v>
      </c>
    </row>
    <row r="79" spans="2:12">
      <c r="B79" t="s">
        <v>127</v>
      </c>
      <c r="C79" t="s">
        <v>112</v>
      </c>
      <c r="D79">
        <v>17.177</v>
      </c>
      <c r="F79" t="s">
        <v>127</v>
      </c>
      <c r="G79" t="s">
        <v>153</v>
      </c>
      <c r="H79">
        <v>20.637</v>
      </c>
      <c r="I79">
        <f>H79-E81</f>
        <v>3.4499999999999993</v>
      </c>
      <c r="J79">
        <f t="shared" si="89"/>
        <v>9.1505355996601645E-2</v>
      </c>
      <c r="L79">
        <f t="shared" si="90"/>
        <v>8.4808291324120457</v>
      </c>
    </row>
    <row r="80" spans="2:12">
      <c r="B80" t="s">
        <v>127</v>
      </c>
      <c r="C80" t="s">
        <v>112</v>
      </c>
      <c r="D80">
        <v>17.21</v>
      </c>
      <c r="F80" t="s">
        <v>127</v>
      </c>
      <c r="G80" t="s">
        <v>153</v>
      </c>
      <c r="H80">
        <v>20.641999999999999</v>
      </c>
      <c r="I80">
        <f>H80-E81</f>
        <v>3.4549999999999983</v>
      </c>
      <c r="J80">
        <f t="shared" si="89"/>
        <v>9.1188771515011091E-2</v>
      </c>
      <c r="L80">
        <f t="shared" si="90"/>
        <v>8.4514876926121456</v>
      </c>
    </row>
    <row r="81" spans="2:39">
      <c r="B81" t="s">
        <v>127</v>
      </c>
      <c r="C81" t="s">
        <v>112</v>
      </c>
      <c r="D81">
        <v>17.173999999999999</v>
      </c>
      <c r="E81">
        <f t="shared" ref="E81" si="92">AVERAGE(D79:D81)</f>
        <v>17.187000000000001</v>
      </c>
      <c r="F81" t="s">
        <v>127</v>
      </c>
      <c r="G81" t="s">
        <v>153</v>
      </c>
      <c r="H81">
        <v>20.754000000000001</v>
      </c>
      <c r="I81">
        <f>H81-E81</f>
        <v>3.5670000000000002</v>
      </c>
      <c r="J81">
        <f t="shared" si="89"/>
        <v>8.437737407017161E-2</v>
      </c>
      <c r="L81">
        <f t="shared" si="90"/>
        <v>7.8201989854814178</v>
      </c>
    </row>
    <row r="82" spans="2:39">
      <c r="B82" t="s">
        <v>128</v>
      </c>
      <c r="C82" t="s">
        <v>112</v>
      </c>
      <c r="D82">
        <v>17.395</v>
      </c>
      <c r="F82" t="s">
        <v>128</v>
      </c>
      <c r="G82" t="s">
        <v>122</v>
      </c>
      <c r="H82">
        <v>19.891999999999999</v>
      </c>
      <c r="I82">
        <f t="shared" ref="I82" si="93">H82-E84</f>
        <v>2.3436666666666675</v>
      </c>
      <c r="J82">
        <f t="shared" si="89"/>
        <v>0.19700898499504171</v>
      </c>
      <c r="L82">
        <f t="shared" si="90"/>
        <v>18.259035453126131</v>
      </c>
    </row>
    <row r="83" spans="2:39">
      <c r="B83" t="s">
        <v>128</v>
      </c>
      <c r="C83" t="s">
        <v>112</v>
      </c>
      <c r="D83">
        <v>17.524000000000001</v>
      </c>
      <c r="F83" t="s">
        <v>128</v>
      </c>
      <c r="G83" t="s">
        <v>122</v>
      </c>
      <c r="H83">
        <v>19.893999999999998</v>
      </c>
      <c r="I83">
        <f t="shared" ref="I83" si="94">H83-E84</f>
        <v>2.3456666666666663</v>
      </c>
      <c r="J83">
        <f t="shared" si="89"/>
        <v>0.19673606176972636</v>
      </c>
      <c r="L83">
        <f t="shared" si="90"/>
        <v>18.233740592350415</v>
      </c>
      <c r="N83" s="90" t="s">
        <v>155</v>
      </c>
      <c r="O83" s="90"/>
      <c r="P83" s="90"/>
      <c r="Q83" s="90"/>
      <c r="R83" s="90"/>
      <c r="S83" s="90"/>
      <c r="T83" s="90"/>
      <c r="U83" s="90"/>
      <c r="V83" s="90"/>
      <c r="W83" s="90"/>
      <c r="X83" s="90"/>
      <c r="Y83" s="90"/>
      <c r="Z83" s="90"/>
      <c r="AA83" s="90"/>
      <c r="AB83" s="90"/>
      <c r="AC83" s="90"/>
      <c r="AD83" s="90"/>
      <c r="AE83" s="90"/>
      <c r="AF83" s="90"/>
      <c r="AG83" s="90"/>
      <c r="AH83" s="90"/>
      <c r="AI83" s="90"/>
      <c r="AJ83" s="90"/>
      <c r="AK83" s="90"/>
      <c r="AL83" s="90"/>
      <c r="AM83" s="90"/>
    </row>
    <row r="84" spans="2:39">
      <c r="B84" t="s">
        <v>128</v>
      </c>
      <c r="C84" t="s">
        <v>112</v>
      </c>
      <c r="D84">
        <v>17.725999999999999</v>
      </c>
      <c r="E84">
        <f t="shared" ref="E84" si="95">AVERAGE(D82:D84)</f>
        <v>17.548333333333332</v>
      </c>
      <c r="F84" t="s">
        <v>128</v>
      </c>
      <c r="G84" t="s">
        <v>122</v>
      </c>
      <c r="H84">
        <v>19.965</v>
      </c>
      <c r="I84">
        <f t="shared" ref="I84" si="96">H84-E84</f>
        <v>2.4166666666666679</v>
      </c>
      <c r="J84">
        <f t="shared" si="89"/>
        <v>0.18728838460958505</v>
      </c>
      <c r="L84">
        <f t="shared" si="90"/>
        <v>17.358118233192272</v>
      </c>
      <c r="N84" s="90"/>
      <c r="O84" s="90" t="s">
        <v>97</v>
      </c>
      <c r="P84" s="90"/>
      <c r="Q84" s="90"/>
      <c r="R84" s="90" t="s">
        <v>99</v>
      </c>
      <c r="S84" s="90"/>
      <c r="T84" s="90"/>
      <c r="U84" s="90" t="s">
        <v>150</v>
      </c>
      <c r="V84" s="90"/>
      <c r="W84" s="90"/>
      <c r="X84" s="90" t="s">
        <v>151</v>
      </c>
      <c r="Y84" s="90"/>
      <c r="Z84" s="90"/>
      <c r="AA84" s="90" t="s">
        <v>663</v>
      </c>
      <c r="AB84" s="90" t="s">
        <v>396</v>
      </c>
      <c r="AC84" s="90" t="s">
        <v>664</v>
      </c>
      <c r="AD84" s="90" t="s">
        <v>663</v>
      </c>
      <c r="AE84" s="90" t="s">
        <v>396</v>
      </c>
      <c r="AF84" s="90" t="s">
        <v>664</v>
      </c>
      <c r="AG84" s="90" t="s">
        <v>663</v>
      </c>
      <c r="AH84" s="90" t="s">
        <v>396</v>
      </c>
      <c r="AI84" s="90" t="s">
        <v>664</v>
      </c>
      <c r="AJ84" s="90" t="s">
        <v>663</v>
      </c>
      <c r="AK84" s="90" t="s">
        <v>396</v>
      </c>
      <c r="AL84" s="90" t="s">
        <v>664</v>
      </c>
      <c r="AM84" s="101" t="s">
        <v>665</v>
      </c>
    </row>
    <row r="85" spans="2:39">
      <c r="B85" t="s">
        <v>129</v>
      </c>
      <c r="C85" t="s">
        <v>112</v>
      </c>
      <c r="D85">
        <v>17.364000000000001</v>
      </c>
      <c r="F85" t="s">
        <v>129</v>
      </c>
      <c r="G85" t="s">
        <v>122</v>
      </c>
      <c r="H85">
        <v>20.428000000000001</v>
      </c>
      <c r="I85">
        <f t="shared" ref="I85" si="97">H85-E87</f>
        <v>2.8629999999999995</v>
      </c>
      <c r="J85">
        <f t="shared" si="89"/>
        <v>0.13745201866431897</v>
      </c>
      <c r="L85">
        <f t="shared" si="90"/>
        <v>12.739222436777284</v>
      </c>
      <c r="N85" s="90">
        <v>0</v>
      </c>
      <c r="O85" s="90">
        <v>1.0586350440404402</v>
      </c>
      <c r="P85" s="90">
        <v>0.94881933697063847</v>
      </c>
      <c r="Q85" s="90">
        <v>0.9925456189889158</v>
      </c>
      <c r="R85" s="90">
        <v>1.288958055789436</v>
      </c>
      <c r="S85" s="90">
        <v>1.2168955290734498</v>
      </c>
      <c r="T85" s="90">
        <v>1.2373085540040991</v>
      </c>
      <c r="U85" s="90">
        <v>1.3505421352011642</v>
      </c>
      <c r="V85" s="90">
        <v>1.3145223312296788</v>
      </c>
      <c r="W85" s="90">
        <v>1.3449370518837416</v>
      </c>
      <c r="X85" s="90">
        <v>1.4636175812354917</v>
      </c>
      <c r="Y85" s="90">
        <v>1.4585538490839016</v>
      </c>
      <c r="Z85" s="90">
        <v>1.4235948815083008</v>
      </c>
      <c r="AA85" s="90">
        <f>AVERAGE(O85:Q85)</f>
        <v>0.99999999999999822</v>
      </c>
      <c r="AB85" s="90">
        <f>STDEV(O85:Q85)</f>
        <v>5.5286058161202925E-2</v>
      </c>
      <c r="AC85" s="90">
        <f>AB85/SQRT(3)</f>
        <v>3.1919420561803816E-2</v>
      </c>
      <c r="AD85" s="90">
        <f>AVERAGE(R85:T85)</f>
        <v>1.2477207129556616</v>
      </c>
      <c r="AE85" s="90">
        <f>STDEV(R85:T85)</f>
        <v>3.7142451853606942E-2</v>
      </c>
      <c r="AF85" s="90">
        <f>AE85/SQRT(3)</f>
        <v>2.1444204576042684E-2</v>
      </c>
      <c r="AG85" s="90">
        <f>AVERAGE(U85:W85)</f>
        <v>1.3366671727715282</v>
      </c>
      <c r="AH85" s="90">
        <f>STDEV(U85:W85)</f>
        <v>1.9381685812488725E-2</v>
      </c>
      <c r="AI85" s="90">
        <f>AH85/SQRT(3)</f>
        <v>1.1190021521189116E-2</v>
      </c>
      <c r="AJ85" s="90">
        <f>AVERAGE(X85:Z85)</f>
        <v>1.4485887706092313</v>
      </c>
      <c r="AK85" s="90">
        <f>STDEV(X85:Z85)</f>
        <v>2.1792916627151424E-2</v>
      </c>
      <c r="AL85" s="90">
        <f>AK85/SQRT(3)</f>
        <v>1.2582146281112946E-2</v>
      </c>
      <c r="AM85" s="90"/>
    </row>
    <row r="86" spans="2:39">
      <c r="B86" t="s">
        <v>129</v>
      </c>
      <c r="C86" t="s">
        <v>112</v>
      </c>
      <c r="D86">
        <v>17.666</v>
      </c>
      <c r="F86" t="s">
        <v>129</v>
      </c>
      <c r="G86" t="s">
        <v>122</v>
      </c>
      <c r="H86">
        <v>20.422000000000001</v>
      </c>
      <c r="I86">
        <f t="shared" ref="I86" si="98">H86-E87</f>
        <v>2.8569999999999993</v>
      </c>
      <c r="J86">
        <f t="shared" si="89"/>
        <v>0.13802485589538668</v>
      </c>
      <c r="L86">
        <f t="shared" si="90"/>
        <v>12.792313697113453</v>
      </c>
      <c r="N86" s="90">
        <v>0.5</v>
      </c>
      <c r="O86" s="90">
        <v>8.4808291324120457</v>
      </c>
      <c r="P86" s="90">
        <v>8.4514876926121456</v>
      </c>
      <c r="Q86" s="90">
        <v>7.8201989854814178</v>
      </c>
      <c r="R86" s="90">
        <v>1.9795950192966656</v>
      </c>
      <c r="S86" s="90">
        <v>1.8190753673026638</v>
      </c>
      <c r="T86" s="90">
        <v>1.8002600457720179</v>
      </c>
      <c r="U86" s="90">
        <v>10.917258032442659</v>
      </c>
      <c r="V86" s="90">
        <v>12.830794936780466</v>
      </c>
      <c r="W86" s="90">
        <v>11.039008176695027</v>
      </c>
      <c r="X86" s="90">
        <v>1.4881692879850816</v>
      </c>
      <c r="Y86" s="90">
        <v>1.4374767788550102</v>
      </c>
      <c r="Z86" s="90">
        <v>1.4686988933916303</v>
      </c>
      <c r="AA86" s="90">
        <f t="shared" ref="AA86:AA90" si="99">AVERAGE(O86:Q86)</f>
        <v>8.2508386035018706</v>
      </c>
      <c r="AB86" s="90">
        <f t="shared" ref="AB86:AB90" si="100">STDEV(O86:Q86)</f>
        <v>0.37323329229716812</v>
      </c>
      <c r="AC86" s="90">
        <f t="shared" ref="AC86:AC90" si="101">AB86/SQRT(3)</f>
        <v>0.21548634177830031</v>
      </c>
      <c r="AD86" s="90">
        <f t="shared" ref="AD86:AD90" si="102">AVERAGE(R86:T86)</f>
        <v>1.8663101441237824</v>
      </c>
      <c r="AE86" s="90">
        <f t="shared" ref="AE86:AE90" si="103">STDEV(R86:T86)</f>
        <v>9.8557603908968797E-2</v>
      </c>
      <c r="AF86" s="90">
        <f t="shared" ref="AF86:AF90" si="104">AE86/SQRT(3)</f>
        <v>5.6902259147527653E-2</v>
      </c>
      <c r="AG86" s="90">
        <f t="shared" ref="AG86:AG90" si="105">AVERAGE(U86:W86)</f>
        <v>11.595687048639384</v>
      </c>
      <c r="AH86" s="90">
        <f t="shared" ref="AH86:AH90" si="106">STDEV(U86:W86)</f>
        <v>1.0713656686293482</v>
      </c>
      <c r="AI86" s="90">
        <f t="shared" ref="AI86:AI90" si="107">AH86/SQRT(3)</f>
        <v>0.6185532571836776</v>
      </c>
      <c r="AJ86" s="90">
        <f t="shared" ref="AJ86:AJ90" si="108">AVERAGE(X86:Z86)</f>
        <v>1.464781653410574</v>
      </c>
      <c r="AK86" s="90">
        <f t="shared" ref="AK86:AK90" si="109">STDEV(X86:Z86)</f>
        <v>2.5572273995041622E-2</v>
      </c>
      <c r="AL86" s="90">
        <f t="shared" ref="AL86:AL90" si="110">AK86/SQRT(3)</f>
        <v>1.4764159274828147E-2</v>
      </c>
      <c r="AM86" s="90"/>
    </row>
    <row r="87" spans="2:39">
      <c r="B87" t="s">
        <v>129</v>
      </c>
      <c r="C87" t="s">
        <v>112</v>
      </c>
      <c r="D87">
        <v>17.664999999999999</v>
      </c>
      <c r="E87">
        <f t="shared" ref="E87" si="111">AVERAGE(D85:D87)</f>
        <v>17.565000000000001</v>
      </c>
      <c r="F87" t="s">
        <v>129</v>
      </c>
      <c r="G87" t="s">
        <v>122</v>
      </c>
      <c r="H87">
        <v>20.454999999999998</v>
      </c>
      <c r="I87">
        <f t="shared" ref="I87" si="112">H87-E87</f>
        <v>2.889999999999997</v>
      </c>
      <c r="J87">
        <f t="shared" si="89"/>
        <v>0.13490352956305371</v>
      </c>
      <c r="L87">
        <f t="shared" si="90"/>
        <v>12.503025327020696</v>
      </c>
      <c r="N87" s="90">
        <v>1</v>
      </c>
      <c r="O87" s="90">
        <v>18.259035453126131</v>
      </c>
      <c r="P87" s="90">
        <v>18.233740592350415</v>
      </c>
      <c r="Q87" s="90">
        <v>17.358118233192272</v>
      </c>
      <c r="R87" s="90">
        <v>2.0160601051599985</v>
      </c>
      <c r="S87" s="90">
        <v>2.0188568960552784</v>
      </c>
      <c r="T87" s="90">
        <v>1.9979751655308489</v>
      </c>
      <c r="U87" s="90">
        <v>28.143021394873816</v>
      </c>
      <c r="V87" s="90">
        <v>34.937520454203934</v>
      </c>
      <c r="W87" s="90">
        <v>33.375217129413336</v>
      </c>
      <c r="X87" s="90">
        <v>2.1793108372400156</v>
      </c>
      <c r="Y87" s="90">
        <v>2.2005619457696226</v>
      </c>
      <c r="Z87" s="90">
        <v>2.2281895770615887</v>
      </c>
      <c r="AA87" s="90">
        <f t="shared" si="99"/>
        <v>17.950298092889607</v>
      </c>
      <c r="AB87" s="90">
        <f t="shared" si="100"/>
        <v>0.51299873018242603</v>
      </c>
      <c r="AC87" s="90">
        <f t="shared" si="101"/>
        <v>0.29617995496475991</v>
      </c>
      <c r="AD87" s="90">
        <f t="shared" si="102"/>
        <v>2.0109640555820421</v>
      </c>
      <c r="AE87" s="90">
        <f t="shared" si="103"/>
        <v>1.1335297014170667E-2</v>
      </c>
      <c r="AF87" s="90">
        <f t="shared" si="104"/>
        <v>6.5444367824757967E-3</v>
      </c>
      <c r="AG87" s="90">
        <f t="shared" si="105"/>
        <v>32.151919659497025</v>
      </c>
      <c r="AH87" s="90">
        <f t="shared" si="106"/>
        <v>3.5586018169692983</v>
      </c>
      <c r="AI87" s="90">
        <f t="shared" si="107"/>
        <v>2.0545597169659158</v>
      </c>
      <c r="AJ87" s="90">
        <f t="shared" si="108"/>
        <v>2.2026874533570755</v>
      </c>
      <c r="AK87" s="90">
        <f t="shared" si="109"/>
        <v>2.4508593156574679E-2</v>
      </c>
      <c r="AL87" s="90">
        <f t="shared" si="110"/>
        <v>1.4150042856407412E-2</v>
      </c>
      <c r="AM87" s="94"/>
    </row>
    <row r="88" spans="2:39">
      <c r="B88" t="s">
        <v>130</v>
      </c>
      <c r="C88" t="s">
        <v>23</v>
      </c>
      <c r="D88">
        <v>18.311</v>
      </c>
      <c r="F88" t="s">
        <v>130</v>
      </c>
      <c r="G88" t="s">
        <v>154</v>
      </c>
      <c r="H88">
        <v>20.779</v>
      </c>
      <c r="I88">
        <f t="shared" ref="I88:I145" si="113">H88-E90</f>
        <v>2.4426666666666677</v>
      </c>
      <c r="J88">
        <f t="shared" si="89"/>
        <v>0.18394333825799228</v>
      </c>
      <c r="L88">
        <f t="shared" si="90"/>
        <v>17.048095216081553</v>
      </c>
      <c r="N88" s="90">
        <v>4</v>
      </c>
      <c r="O88" s="90">
        <v>12.739222436777284</v>
      </c>
      <c r="P88" s="90">
        <v>12.792313697113453</v>
      </c>
      <c r="Q88" s="90">
        <v>12.503025327020696</v>
      </c>
      <c r="R88" s="90">
        <v>1.8572980075912877</v>
      </c>
      <c r="S88" s="90">
        <v>1.8767094583275974</v>
      </c>
      <c r="T88" s="90">
        <v>1.9214631619134548</v>
      </c>
      <c r="U88" s="90">
        <v>18.347844122681686</v>
      </c>
      <c r="V88" s="90">
        <v>17.821398523390254</v>
      </c>
      <c r="W88" s="90">
        <v>17.036282471406924</v>
      </c>
      <c r="X88" s="90">
        <v>2.695473359365451</v>
      </c>
      <c r="Y88" s="90">
        <v>2.6805678463423179</v>
      </c>
      <c r="Z88" s="90">
        <v>2.6326918196826989</v>
      </c>
      <c r="AA88" s="90">
        <f t="shared" si="99"/>
        <v>12.678187153637145</v>
      </c>
      <c r="AB88" s="90">
        <f t="shared" si="100"/>
        <v>0.15399973898915806</v>
      </c>
      <c r="AC88" s="90">
        <f t="shared" si="101"/>
        <v>8.8911790760522511E-2</v>
      </c>
      <c r="AD88" s="90">
        <f t="shared" si="102"/>
        <v>1.8851568759441133</v>
      </c>
      <c r="AE88" s="90">
        <f t="shared" si="103"/>
        <v>3.2906092226026265E-2</v>
      </c>
      <c r="AF88" s="90">
        <f t="shared" si="104"/>
        <v>1.8998341204674918E-2</v>
      </c>
      <c r="AG88" s="90">
        <f t="shared" si="105"/>
        <v>17.735175039159618</v>
      </c>
      <c r="AH88" s="90">
        <f t="shared" si="106"/>
        <v>0.66001845292256589</v>
      </c>
      <c r="AI88" s="90">
        <f t="shared" si="107"/>
        <v>0.38106183146496375</v>
      </c>
      <c r="AJ88" s="90">
        <f t="shared" si="108"/>
        <v>2.6695776751301561</v>
      </c>
      <c r="AK88" s="90">
        <f t="shared" si="109"/>
        <v>3.2801956171678498E-2</v>
      </c>
      <c r="AL88" s="90">
        <f t="shared" si="110"/>
        <v>1.8938218225664889E-2</v>
      </c>
      <c r="AM88" s="94"/>
    </row>
    <row r="89" spans="2:39">
      <c r="B89" t="s">
        <v>130</v>
      </c>
      <c r="C89" t="s">
        <v>23</v>
      </c>
      <c r="D89">
        <v>18.41</v>
      </c>
      <c r="F89" t="s">
        <v>130</v>
      </c>
      <c r="G89" t="s">
        <v>154</v>
      </c>
      <c r="H89">
        <v>21.152999999999999</v>
      </c>
      <c r="I89">
        <f t="shared" ref="I89:I146" si="114">H89-E90</f>
        <v>2.8166666666666664</v>
      </c>
      <c r="J89">
        <f t="shared" si="89"/>
        <v>0.1419380536338597</v>
      </c>
      <c r="L89">
        <f t="shared" si="90"/>
        <v>13.154993684747875</v>
      </c>
      <c r="N89" s="90">
        <v>6</v>
      </c>
      <c r="O89" s="90">
        <v>17.048095216081553</v>
      </c>
      <c r="P89" s="90">
        <v>13.154993684747875</v>
      </c>
      <c r="Q89" s="90">
        <v>14.405408337757034</v>
      </c>
      <c r="R89" s="90">
        <v>2.1702661591815509</v>
      </c>
      <c r="S89" s="90">
        <v>2.2266456488850452</v>
      </c>
      <c r="T89" s="90">
        <v>2.0804159215717433</v>
      </c>
      <c r="U89" s="90">
        <v>16.93229140261019</v>
      </c>
      <c r="V89" s="90">
        <v>16.920558899209606</v>
      </c>
      <c r="W89" s="90">
        <v>15.313215159375574</v>
      </c>
      <c r="X89" s="90">
        <v>2.8663311942920884</v>
      </c>
      <c r="Y89" s="90">
        <v>2.8347181878702936</v>
      </c>
      <c r="Z89" s="90">
        <v>2.7004602595114999</v>
      </c>
      <c r="AA89" s="90">
        <f t="shared" si="99"/>
        <v>14.869499079528822</v>
      </c>
      <c r="AB89" s="90">
        <f t="shared" si="100"/>
        <v>1.98761038580674</v>
      </c>
      <c r="AC89" s="90">
        <f t="shared" si="101"/>
        <v>1.1475473912896172</v>
      </c>
      <c r="AD89" s="90">
        <f t="shared" si="102"/>
        <v>2.1591092432127801</v>
      </c>
      <c r="AE89" s="90">
        <f t="shared" si="103"/>
        <v>7.3750531306434178E-2</v>
      </c>
      <c r="AF89" s="90">
        <f t="shared" si="104"/>
        <v>4.2579889102647699E-2</v>
      </c>
      <c r="AG89" s="90">
        <f t="shared" si="105"/>
        <v>16.388688487065124</v>
      </c>
      <c r="AH89" s="90">
        <f t="shared" si="106"/>
        <v>0.93140569669598661</v>
      </c>
      <c r="AI89" s="90">
        <f t="shared" si="107"/>
        <v>0.53774732971217887</v>
      </c>
      <c r="AJ89" s="90">
        <f t="shared" si="108"/>
        <v>2.8005032138912944</v>
      </c>
      <c r="AK89" s="90">
        <f t="shared" si="109"/>
        <v>8.8069802341859918E-2</v>
      </c>
      <c r="AL89" s="90">
        <f t="shared" si="110"/>
        <v>5.0847124089549958E-2</v>
      </c>
      <c r="AM89" s="94"/>
    </row>
    <row r="90" spans="2:39">
      <c r="B90" t="s">
        <v>130</v>
      </c>
      <c r="C90" t="s">
        <v>23</v>
      </c>
      <c r="D90">
        <v>18.288</v>
      </c>
      <c r="E90">
        <f t="shared" ref="E90:E147" si="115">AVERAGE(D88:D90)</f>
        <v>18.336333333333332</v>
      </c>
      <c r="F90" t="s">
        <v>130</v>
      </c>
      <c r="G90" t="s">
        <v>154</v>
      </c>
      <c r="H90">
        <v>21.021999999999998</v>
      </c>
      <c r="I90">
        <f t="shared" ref="I90:I147" si="116">H90-E90</f>
        <v>2.6856666666666662</v>
      </c>
      <c r="J90">
        <f t="shared" si="89"/>
        <v>0.15542961633138902</v>
      </c>
      <c r="L90">
        <f t="shared" si="90"/>
        <v>14.405408337757034</v>
      </c>
      <c r="N90" s="90">
        <v>12</v>
      </c>
      <c r="O90" s="90">
        <v>12.024224821612348</v>
      </c>
      <c r="P90" s="90">
        <v>11.671127084115525</v>
      </c>
      <c r="Q90" s="90">
        <v>10.25227362936902</v>
      </c>
      <c r="R90" s="90">
        <v>2.6078700539407311</v>
      </c>
      <c r="S90" s="90">
        <v>2.9605638821594455</v>
      </c>
      <c r="T90" s="90">
        <v>2.6979656572199695</v>
      </c>
      <c r="U90" s="90">
        <v>16.459766723282314</v>
      </c>
      <c r="V90" s="90">
        <v>16.12102962232855</v>
      </c>
      <c r="W90" s="90">
        <v>15.357505385822076</v>
      </c>
      <c r="X90" s="90">
        <v>3.1973395966200342</v>
      </c>
      <c r="Y90" s="90">
        <v>2.9482768110688466</v>
      </c>
      <c r="Z90" s="90">
        <v>2.9076870129754862</v>
      </c>
      <c r="AA90" s="90">
        <f t="shared" si="99"/>
        <v>11.315875178365632</v>
      </c>
      <c r="AB90" s="90">
        <f t="shared" si="100"/>
        <v>0.93787296278725141</v>
      </c>
      <c r="AC90" s="90">
        <f t="shared" si="101"/>
        <v>0.54148120753089146</v>
      </c>
      <c r="AD90" s="90">
        <f t="shared" si="102"/>
        <v>2.7554665311067157</v>
      </c>
      <c r="AE90" s="90">
        <f t="shared" si="103"/>
        <v>0.18324299983682216</v>
      </c>
      <c r="AF90" s="90">
        <f t="shared" si="104"/>
        <v>0.10579539528290383</v>
      </c>
      <c r="AG90" s="90">
        <f t="shared" si="105"/>
        <v>15.979433910477647</v>
      </c>
      <c r="AH90" s="90">
        <f t="shared" si="106"/>
        <v>0.56460784906502237</v>
      </c>
      <c r="AI90" s="90">
        <f t="shared" si="107"/>
        <v>0.32597649364426629</v>
      </c>
      <c r="AJ90" s="90">
        <f t="shared" si="108"/>
        <v>3.0177678068881222</v>
      </c>
      <c r="AK90" s="90">
        <f t="shared" si="109"/>
        <v>0.15683240633860215</v>
      </c>
      <c r="AL90" s="90">
        <f t="shared" si="110"/>
        <v>9.0547232017248735E-2</v>
      </c>
      <c r="AM90" s="94" t="s">
        <v>666</v>
      </c>
    </row>
    <row r="91" spans="2:39">
      <c r="B91" t="s">
        <v>131</v>
      </c>
      <c r="C91" t="s">
        <v>23</v>
      </c>
      <c r="D91">
        <v>17.757999999999999</v>
      </c>
      <c r="F91" t="s">
        <v>131</v>
      </c>
      <c r="G91" t="s">
        <v>154</v>
      </c>
      <c r="H91">
        <v>20.716000000000001</v>
      </c>
      <c r="I91">
        <f t="shared" si="113"/>
        <v>2.9463333333333352</v>
      </c>
      <c r="J91">
        <f t="shared" si="89"/>
        <v>0.12973742964349516</v>
      </c>
      <c r="L91">
        <f t="shared" si="90"/>
        <v>12.024224821612348</v>
      </c>
    </row>
    <row r="92" spans="2:39">
      <c r="B92" t="s">
        <v>131</v>
      </c>
      <c r="C92" t="s">
        <v>23</v>
      </c>
      <c r="D92">
        <v>17.756</v>
      </c>
      <c r="F92" t="s">
        <v>131</v>
      </c>
      <c r="G92" t="s">
        <v>154</v>
      </c>
      <c r="H92">
        <v>20.759</v>
      </c>
      <c r="I92">
        <f t="shared" si="114"/>
        <v>2.9893333333333345</v>
      </c>
      <c r="J92">
        <f t="shared" si="89"/>
        <v>0.12592762123127782</v>
      </c>
      <c r="L92">
        <f t="shared" si="90"/>
        <v>11.671127084115525</v>
      </c>
    </row>
    <row r="93" spans="2:39">
      <c r="B93" t="s">
        <v>131</v>
      </c>
      <c r="C93" t="s">
        <v>23</v>
      </c>
      <c r="D93">
        <v>17.795000000000002</v>
      </c>
      <c r="E93">
        <f t="shared" si="115"/>
        <v>17.769666666666666</v>
      </c>
      <c r="F93" t="s">
        <v>131</v>
      </c>
      <c r="G93" t="s">
        <v>154</v>
      </c>
      <c r="H93">
        <v>20.946000000000002</v>
      </c>
      <c r="I93">
        <f t="shared" si="116"/>
        <v>3.1763333333333357</v>
      </c>
      <c r="J93">
        <f t="shared" si="89"/>
        <v>0.11061865928233436</v>
      </c>
      <c r="L93">
        <f t="shared" si="90"/>
        <v>10.25227362936902</v>
      </c>
    </row>
    <row r="94" spans="2:39">
      <c r="B94" t="s">
        <v>132</v>
      </c>
      <c r="C94" t="s">
        <v>112</v>
      </c>
      <c r="D94">
        <v>17.739000000000001</v>
      </c>
      <c r="F94" t="s">
        <v>132</v>
      </c>
      <c r="G94" t="s">
        <v>153</v>
      </c>
      <c r="H94">
        <v>23.925999999999998</v>
      </c>
      <c r="I94">
        <f t="shared" si="113"/>
        <v>6.1679999999999993</v>
      </c>
      <c r="J94">
        <f t="shared" si="89"/>
        <v>1.3907433332070269E-2</v>
      </c>
      <c r="L94">
        <f t="shared" si="90"/>
        <v>1.288958055789436</v>
      </c>
    </row>
    <row r="95" spans="2:39">
      <c r="B95" t="s">
        <v>132</v>
      </c>
      <c r="C95" t="s">
        <v>112</v>
      </c>
      <c r="D95">
        <v>17.782</v>
      </c>
      <c r="F95" t="s">
        <v>132</v>
      </c>
      <c r="G95" t="s">
        <v>153</v>
      </c>
      <c r="H95">
        <v>24.009</v>
      </c>
      <c r="I95">
        <f t="shared" si="114"/>
        <v>6.2510000000000012</v>
      </c>
      <c r="J95">
        <f t="shared" si="89"/>
        <v>1.3129902378645024E-2</v>
      </c>
      <c r="L95">
        <f t="shared" si="90"/>
        <v>1.2168955290734498</v>
      </c>
    </row>
    <row r="96" spans="2:39">
      <c r="B96" t="s">
        <v>132</v>
      </c>
      <c r="C96" t="s">
        <v>112</v>
      </c>
      <c r="D96">
        <v>17.753</v>
      </c>
      <c r="E96">
        <f t="shared" si="115"/>
        <v>17.757999999999999</v>
      </c>
      <c r="F96" t="s">
        <v>132</v>
      </c>
      <c r="G96" t="s">
        <v>153</v>
      </c>
      <c r="H96">
        <v>23.984999999999999</v>
      </c>
      <c r="I96">
        <f t="shared" si="116"/>
        <v>6.2270000000000003</v>
      </c>
      <c r="J96">
        <f t="shared" si="89"/>
        <v>1.3350152201402073E-2</v>
      </c>
      <c r="L96">
        <f t="shared" si="90"/>
        <v>1.2373085540040991</v>
      </c>
    </row>
    <row r="97" spans="2:12">
      <c r="B97" t="s">
        <v>133</v>
      </c>
      <c r="C97" t="s">
        <v>112</v>
      </c>
      <c r="D97">
        <v>18.274999999999999</v>
      </c>
      <c r="F97" t="s">
        <v>133</v>
      </c>
      <c r="G97" t="s">
        <v>153</v>
      </c>
      <c r="H97">
        <v>23.510999999999999</v>
      </c>
      <c r="I97">
        <f t="shared" si="113"/>
        <v>5.5489999999999995</v>
      </c>
      <c r="J97">
        <f t="shared" si="89"/>
        <v>2.1359178936590787E-2</v>
      </c>
      <c r="L97">
        <f t="shared" si="90"/>
        <v>1.9795950192966656</v>
      </c>
    </row>
    <row r="98" spans="2:12">
      <c r="B98" t="s">
        <v>133</v>
      </c>
      <c r="C98" t="s">
        <v>112</v>
      </c>
      <c r="D98">
        <v>17.798999999999999</v>
      </c>
      <c r="F98" t="s">
        <v>133</v>
      </c>
      <c r="G98" t="s">
        <v>153</v>
      </c>
      <c r="H98">
        <v>23.632999999999999</v>
      </c>
      <c r="I98">
        <f t="shared" si="114"/>
        <v>5.6709999999999994</v>
      </c>
      <c r="J98">
        <f t="shared" si="89"/>
        <v>1.9627224705367621E-2</v>
      </c>
      <c r="L98">
        <f t="shared" si="90"/>
        <v>1.8190753673026638</v>
      </c>
    </row>
    <row r="99" spans="2:12">
      <c r="B99" t="s">
        <v>133</v>
      </c>
      <c r="C99" t="s">
        <v>112</v>
      </c>
      <c r="D99">
        <v>17.812000000000001</v>
      </c>
      <c r="E99">
        <f t="shared" si="115"/>
        <v>17.962</v>
      </c>
      <c r="F99" t="s">
        <v>133</v>
      </c>
      <c r="G99" t="s">
        <v>153</v>
      </c>
      <c r="H99">
        <v>23.648</v>
      </c>
      <c r="I99">
        <f t="shared" si="116"/>
        <v>5.6859999999999999</v>
      </c>
      <c r="J99">
        <f t="shared" si="89"/>
        <v>1.9424213576624057E-2</v>
      </c>
      <c r="L99">
        <f t="shared" si="90"/>
        <v>1.8002600457720179</v>
      </c>
    </row>
    <row r="100" spans="2:12">
      <c r="B100" t="s">
        <v>134</v>
      </c>
      <c r="C100" t="s">
        <v>112</v>
      </c>
      <c r="D100">
        <v>17.827000000000002</v>
      </c>
      <c r="F100" t="s">
        <v>134</v>
      </c>
      <c r="G100" t="s">
        <v>122</v>
      </c>
      <c r="H100">
        <v>23.481000000000002</v>
      </c>
      <c r="I100">
        <f t="shared" si="113"/>
        <v>5.5226666666666695</v>
      </c>
      <c r="J100">
        <f t="shared" si="89"/>
        <v>2.1752625215400782E-2</v>
      </c>
      <c r="L100">
        <f t="shared" si="90"/>
        <v>2.0160601051599985</v>
      </c>
    </row>
    <row r="101" spans="2:12">
      <c r="B101" t="s">
        <v>134</v>
      </c>
      <c r="C101" t="s">
        <v>112</v>
      </c>
      <c r="D101">
        <v>18.03</v>
      </c>
      <c r="F101" t="s">
        <v>134</v>
      </c>
      <c r="G101" t="s">
        <v>122</v>
      </c>
      <c r="H101">
        <v>23.478999999999999</v>
      </c>
      <c r="I101">
        <f t="shared" si="114"/>
        <v>5.5206666666666671</v>
      </c>
      <c r="J101">
        <f t="shared" si="89"/>
        <v>2.17828016689674E-2</v>
      </c>
      <c r="L101">
        <f t="shared" si="90"/>
        <v>2.0188568960552784</v>
      </c>
    </row>
    <row r="102" spans="2:12">
      <c r="B102" t="s">
        <v>134</v>
      </c>
      <c r="C102" t="s">
        <v>112</v>
      </c>
      <c r="D102">
        <v>18.018000000000001</v>
      </c>
      <c r="E102">
        <f t="shared" si="115"/>
        <v>17.958333333333332</v>
      </c>
      <c r="F102" t="s">
        <v>134</v>
      </c>
      <c r="G102" t="s">
        <v>122</v>
      </c>
      <c r="H102">
        <v>23.494</v>
      </c>
      <c r="I102">
        <f t="shared" si="116"/>
        <v>5.5356666666666676</v>
      </c>
      <c r="J102">
        <f t="shared" si="89"/>
        <v>2.1557494667065857E-2</v>
      </c>
      <c r="L102">
        <f t="shared" si="90"/>
        <v>1.9979751655308489</v>
      </c>
    </row>
    <row r="103" spans="2:12">
      <c r="B103" t="s">
        <v>135</v>
      </c>
      <c r="C103" t="s">
        <v>112</v>
      </c>
      <c r="D103">
        <v>17.170000000000002</v>
      </c>
      <c r="F103" t="s">
        <v>135</v>
      </c>
      <c r="G103" t="s">
        <v>122</v>
      </c>
      <c r="H103">
        <v>22.797999999999998</v>
      </c>
      <c r="I103">
        <f t="shared" si="113"/>
        <v>5.6409999999999982</v>
      </c>
      <c r="J103">
        <f t="shared" si="89"/>
        <v>2.0039634418160153E-2</v>
      </c>
      <c r="L103">
        <f t="shared" si="90"/>
        <v>1.8572980075912877</v>
      </c>
    </row>
    <row r="104" spans="2:12">
      <c r="B104" t="s">
        <v>135</v>
      </c>
      <c r="C104" t="s">
        <v>112</v>
      </c>
      <c r="D104">
        <v>17.234999999999999</v>
      </c>
      <c r="F104" t="s">
        <v>135</v>
      </c>
      <c r="G104" t="s">
        <v>122</v>
      </c>
      <c r="H104">
        <v>22.783000000000001</v>
      </c>
      <c r="I104">
        <f t="shared" si="114"/>
        <v>5.6260000000000012</v>
      </c>
      <c r="J104">
        <f t="shared" si="89"/>
        <v>2.0249077584895823E-2</v>
      </c>
      <c r="L104">
        <f t="shared" si="90"/>
        <v>1.8767094583275974</v>
      </c>
    </row>
    <row r="105" spans="2:12">
      <c r="B105" t="s">
        <v>135</v>
      </c>
      <c r="C105" t="s">
        <v>112</v>
      </c>
      <c r="D105">
        <v>17.065999999999999</v>
      </c>
      <c r="E105">
        <f t="shared" si="115"/>
        <v>17.157</v>
      </c>
      <c r="F105" t="s">
        <v>135</v>
      </c>
      <c r="G105" t="s">
        <v>122</v>
      </c>
      <c r="H105">
        <v>22.748999999999999</v>
      </c>
      <c r="I105">
        <f t="shared" si="116"/>
        <v>5.5919999999999987</v>
      </c>
      <c r="J105">
        <f t="shared" si="89"/>
        <v>2.0731955321830673E-2</v>
      </c>
      <c r="L105">
        <f t="shared" si="90"/>
        <v>1.9214631619134548</v>
      </c>
    </row>
    <row r="106" spans="2:12">
      <c r="B106" t="s">
        <v>136</v>
      </c>
      <c r="C106" t="s">
        <v>23</v>
      </c>
      <c r="D106">
        <v>18.085000000000001</v>
      </c>
      <c r="F106" t="s">
        <v>136</v>
      </c>
      <c r="G106" t="s">
        <v>154</v>
      </c>
      <c r="H106">
        <v>23.492999999999999</v>
      </c>
      <c r="I106">
        <f t="shared" si="113"/>
        <v>5.4163333333333306</v>
      </c>
      <c r="J106">
        <f t="shared" si="89"/>
        <v>2.3416457801786129E-2</v>
      </c>
      <c r="L106">
        <f t="shared" si="90"/>
        <v>2.1702661591815509</v>
      </c>
    </row>
    <row r="107" spans="2:12">
      <c r="B107" t="s">
        <v>136</v>
      </c>
      <c r="C107" t="s">
        <v>23</v>
      </c>
      <c r="D107">
        <v>18.064</v>
      </c>
      <c r="F107" t="s">
        <v>136</v>
      </c>
      <c r="G107" t="s">
        <v>154</v>
      </c>
      <c r="H107">
        <v>23.456</v>
      </c>
      <c r="I107">
        <f t="shared" si="114"/>
        <v>5.3793333333333315</v>
      </c>
      <c r="J107">
        <f t="shared" si="89"/>
        <v>2.4024773945841928E-2</v>
      </c>
      <c r="L107">
        <f t="shared" si="90"/>
        <v>2.2266456488850452</v>
      </c>
    </row>
    <row r="108" spans="2:12">
      <c r="B108" t="s">
        <v>136</v>
      </c>
      <c r="C108" t="s">
        <v>23</v>
      </c>
      <c r="D108">
        <v>18.081</v>
      </c>
      <c r="E108">
        <f t="shared" si="115"/>
        <v>18.076666666666668</v>
      </c>
      <c r="F108" t="s">
        <v>136</v>
      </c>
      <c r="G108" t="s">
        <v>154</v>
      </c>
      <c r="H108">
        <v>23.553999999999998</v>
      </c>
      <c r="I108">
        <f t="shared" si="116"/>
        <v>5.4773333333333305</v>
      </c>
      <c r="J108">
        <f t="shared" si="89"/>
        <v>2.244700330028666E-2</v>
      </c>
      <c r="L108">
        <f t="shared" si="90"/>
        <v>2.0804159215717433</v>
      </c>
    </row>
    <row r="109" spans="2:12">
      <c r="B109" t="s">
        <v>137</v>
      </c>
      <c r="C109" t="s">
        <v>23</v>
      </c>
      <c r="D109">
        <v>18.628</v>
      </c>
      <c r="F109" t="s">
        <v>137</v>
      </c>
      <c r="G109" t="s">
        <v>154</v>
      </c>
      <c r="H109">
        <v>23.725999999999999</v>
      </c>
      <c r="I109">
        <f t="shared" si="113"/>
        <v>5.15133333333333</v>
      </c>
      <c r="J109">
        <f t="shared" si="89"/>
        <v>2.8138059846850499E-2</v>
      </c>
      <c r="L109">
        <f t="shared" si="90"/>
        <v>2.6078700539407311</v>
      </c>
    </row>
    <row r="110" spans="2:12">
      <c r="B110" t="s">
        <v>137</v>
      </c>
      <c r="C110" t="s">
        <v>23</v>
      </c>
      <c r="D110">
        <v>18.462</v>
      </c>
      <c r="F110" t="s">
        <v>137</v>
      </c>
      <c r="G110" t="s">
        <v>154</v>
      </c>
      <c r="H110">
        <v>23.542999999999999</v>
      </c>
      <c r="I110">
        <f t="shared" si="114"/>
        <v>4.9683333333333302</v>
      </c>
      <c r="J110">
        <f t="shared" si="89"/>
        <v>3.1943510210850325E-2</v>
      </c>
      <c r="L110">
        <f t="shared" si="90"/>
        <v>2.9605638821594455</v>
      </c>
    </row>
    <row r="111" spans="2:12">
      <c r="B111" t="s">
        <v>137</v>
      </c>
      <c r="C111" t="s">
        <v>23</v>
      </c>
      <c r="D111">
        <v>18.634</v>
      </c>
      <c r="E111">
        <f t="shared" si="115"/>
        <v>18.574666666666669</v>
      </c>
      <c r="F111" t="s">
        <v>137</v>
      </c>
      <c r="G111" t="s">
        <v>154</v>
      </c>
      <c r="H111">
        <v>23.677</v>
      </c>
      <c r="I111">
        <f t="shared" si="116"/>
        <v>5.1023333333333305</v>
      </c>
      <c r="J111">
        <f t="shared" si="89"/>
        <v>2.91101617631935E-2</v>
      </c>
      <c r="L111">
        <f t="shared" si="90"/>
        <v>2.6979656572199695</v>
      </c>
    </row>
    <row r="112" spans="2:12">
      <c r="B112" t="s">
        <v>138</v>
      </c>
      <c r="C112" t="s">
        <v>112</v>
      </c>
      <c r="D112">
        <v>17.731999999999999</v>
      </c>
      <c r="F112" t="s">
        <v>138</v>
      </c>
      <c r="G112" t="s">
        <v>153</v>
      </c>
      <c r="H112">
        <v>23.742999999999999</v>
      </c>
      <c r="I112">
        <f t="shared" si="113"/>
        <v>6.1006666666666618</v>
      </c>
      <c r="J112">
        <f t="shared" si="89"/>
        <v>1.457190528667625E-2</v>
      </c>
      <c r="L112">
        <f t="shared" si="90"/>
        <v>1.3505421352011642</v>
      </c>
    </row>
    <row r="113" spans="2:12">
      <c r="B113" t="s">
        <v>138</v>
      </c>
      <c r="C113" t="s">
        <v>112</v>
      </c>
      <c r="D113">
        <v>17.452999999999999</v>
      </c>
      <c r="F113" t="s">
        <v>138</v>
      </c>
      <c r="G113" t="s">
        <v>153</v>
      </c>
      <c r="H113">
        <v>23.782</v>
      </c>
      <c r="I113">
        <f t="shared" si="114"/>
        <v>6.1396666666666633</v>
      </c>
      <c r="J113">
        <f t="shared" si="89"/>
        <v>1.4183263452973705E-2</v>
      </c>
      <c r="L113">
        <f t="shared" si="90"/>
        <v>1.3145223312296788</v>
      </c>
    </row>
    <row r="114" spans="2:12">
      <c r="B114" t="s">
        <v>138</v>
      </c>
      <c r="C114" t="s">
        <v>112</v>
      </c>
      <c r="D114">
        <v>17.742000000000001</v>
      </c>
      <c r="E114">
        <f t="shared" si="115"/>
        <v>17.642333333333337</v>
      </c>
      <c r="F114" t="s">
        <v>138</v>
      </c>
      <c r="G114" t="s">
        <v>153</v>
      </c>
      <c r="H114">
        <v>23.748999999999999</v>
      </c>
      <c r="I114">
        <f t="shared" si="116"/>
        <v>6.106666666666662</v>
      </c>
      <c r="J114">
        <f t="shared" si="89"/>
        <v>1.4511428281852371E-2</v>
      </c>
      <c r="L114">
        <f t="shared" si="90"/>
        <v>1.3449370518837416</v>
      </c>
    </row>
    <row r="115" spans="2:12">
      <c r="B115" t="s">
        <v>139</v>
      </c>
      <c r="C115" t="s">
        <v>112</v>
      </c>
      <c r="D115">
        <v>17.623000000000001</v>
      </c>
      <c r="F115" t="s">
        <v>139</v>
      </c>
      <c r="G115" t="s">
        <v>153</v>
      </c>
      <c r="H115">
        <v>20.669</v>
      </c>
      <c r="I115">
        <f t="shared" si="113"/>
        <v>3.0856666666666683</v>
      </c>
      <c r="J115">
        <f t="shared" si="89"/>
        <v>0.11779362219992053</v>
      </c>
      <c r="L115">
        <f t="shared" si="90"/>
        <v>10.917258032442659</v>
      </c>
    </row>
    <row r="116" spans="2:12">
      <c r="B116" t="s">
        <v>139</v>
      </c>
      <c r="C116" t="s">
        <v>112</v>
      </c>
      <c r="D116">
        <v>17.593</v>
      </c>
      <c r="F116" t="s">
        <v>139</v>
      </c>
      <c r="G116" t="s">
        <v>153</v>
      </c>
      <c r="H116">
        <v>20.436</v>
      </c>
      <c r="I116">
        <f t="shared" si="114"/>
        <v>2.8526666666666678</v>
      </c>
      <c r="J116">
        <f t="shared" si="89"/>
        <v>0.13844005581038829</v>
      </c>
      <c r="L116">
        <f t="shared" si="90"/>
        <v>12.830794936780466</v>
      </c>
    </row>
    <row r="117" spans="2:12">
      <c r="B117" t="s">
        <v>139</v>
      </c>
      <c r="C117" t="s">
        <v>112</v>
      </c>
      <c r="D117">
        <v>17.533999999999999</v>
      </c>
      <c r="E117">
        <f t="shared" si="115"/>
        <v>17.583333333333332</v>
      </c>
      <c r="F117" t="s">
        <v>139</v>
      </c>
      <c r="G117" t="s">
        <v>153</v>
      </c>
      <c r="H117">
        <v>20.652999999999999</v>
      </c>
      <c r="I117">
        <f t="shared" si="116"/>
        <v>3.0696666666666665</v>
      </c>
      <c r="J117">
        <f t="shared" si="89"/>
        <v>0.11910726619846222</v>
      </c>
      <c r="L117">
        <f t="shared" si="90"/>
        <v>11.039008176695027</v>
      </c>
    </row>
    <row r="118" spans="2:12">
      <c r="B118" t="s">
        <v>140</v>
      </c>
      <c r="C118" t="s">
        <v>112</v>
      </c>
      <c r="D118">
        <v>18.466999999999999</v>
      </c>
      <c r="F118" t="s">
        <v>140</v>
      </c>
      <c r="G118" t="s">
        <v>122</v>
      </c>
      <c r="H118">
        <v>20.141999999999999</v>
      </c>
      <c r="I118">
        <f t="shared" si="113"/>
        <v>1.7195</v>
      </c>
      <c r="J118">
        <f t="shared" si="89"/>
        <v>0.30365394130107631</v>
      </c>
      <c r="L118">
        <f t="shared" si="90"/>
        <v>28.143021394873816</v>
      </c>
    </row>
    <row r="119" spans="2:12">
      <c r="B119" t="s">
        <v>140</v>
      </c>
      <c r="C119" t="s">
        <v>112</v>
      </c>
      <c r="D119" t="s">
        <v>115</v>
      </c>
      <c r="F119" t="s">
        <v>140</v>
      </c>
      <c r="G119" t="s">
        <v>122</v>
      </c>
      <c r="H119">
        <v>19.829999999999998</v>
      </c>
      <c r="I119">
        <f t="shared" si="114"/>
        <v>1.4074999999999989</v>
      </c>
      <c r="J119">
        <f t="shared" si="89"/>
        <v>0.37696435064141276</v>
      </c>
      <c r="L119">
        <f t="shared" si="90"/>
        <v>34.937520454203934</v>
      </c>
    </row>
    <row r="120" spans="2:12">
      <c r="B120" t="s">
        <v>140</v>
      </c>
      <c r="C120" t="s">
        <v>112</v>
      </c>
      <c r="D120">
        <v>18.378</v>
      </c>
      <c r="E120">
        <f t="shared" si="115"/>
        <v>18.422499999999999</v>
      </c>
      <c r="F120" t="s">
        <v>140</v>
      </c>
      <c r="G120" t="s">
        <v>122</v>
      </c>
      <c r="H120">
        <v>19.896000000000001</v>
      </c>
      <c r="I120">
        <f t="shared" si="116"/>
        <v>1.4735000000000014</v>
      </c>
      <c r="J120">
        <f t="shared" si="89"/>
        <v>0.36010761179222683</v>
      </c>
      <c r="L120">
        <f t="shared" si="90"/>
        <v>33.375217129413336</v>
      </c>
    </row>
    <row r="121" spans="2:12">
      <c r="B121" t="s">
        <v>141</v>
      </c>
      <c r="C121" t="s">
        <v>112</v>
      </c>
      <c r="D121">
        <v>17.791</v>
      </c>
      <c r="F121" t="s">
        <v>141</v>
      </c>
      <c r="G121" t="s">
        <v>122</v>
      </c>
      <c r="H121">
        <v>20.082000000000001</v>
      </c>
      <c r="I121">
        <f t="shared" si="113"/>
        <v>2.336666666666666</v>
      </c>
      <c r="J121">
        <f t="shared" si="89"/>
        <v>0.19796720131993001</v>
      </c>
      <c r="L121">
        <f t="shared" si="90"/>
        <v>18.347844122681686</v>
      </c>
    </row>
    <row r="122" spans="2:12">
      <c r="B122" t="s">
        <v>141</v>
      </c>
      <c r="C122" t="s">
        <v>112</v>
      </c>
      <c r="D122">
        <v>17.669</v>
      </c>
      <c r="F122" t="s">
        <v>141</v>
      </c>
      <c r="G122" t="s">
        <v>122</v>
      </c>
      <c r="H122">
        <v>20.123999999999999</v>
      </c>
      <c r="I122">
        <f t="shared" si="114"/>
        <v>2.378666666666664</v>
      </c>
      <c r="J122">
        <f t="shared" si="89"/>
        <v>0.19228702651344787</v>
      </c>
      <c r="L122">
        <f t="shared" si="90"/>
        <v>17.821398523390254</v>
      </c>
    </row>
    <row r="123" spans="2:12">
      <c r="B123" t="s">
        <v>141</v>
      </c>
      <c r="C123" t="s">
        <v>112</v>
      </c>
      <c r="D123">
        <v>17.776</v>
      </c>
      <c r="E123">
        <f t="shared" si="115"/>
        <v>17.745333333333335</v>
      </c>
      <c r="F123" t="s">
        <v>141</v>
      </c>
      <c r="G123" t="s">
        <v>122</v>
      </c>
      <c r="H123">
        <v>20.189</v>
      </c>
      <c r="I123">
        <f t="shared" si="116"/>
        <v>2.4436666666666653</v>
      </c>
      <c r="J123">
        <f t="shared" si="89"/>
        <v>0.18381588262955403</v>
      </c>
      <c r="L123">
        <f t="shared" si="90"/>
        <v>17.036282471406924</v>
      </c>
    </row>
    <row r="124" spans="2:12">
      <c r="B124" t="s">
        <v>142</v>
      </c>
      <c r="C124" t="s">
        <v>23</v>
      </c>
      <c r="D124">
        <v>17.943999999999999</v>
      </c>
      <c r="F124" t="s">
        <v>142</v>
      </c>
      <c r="G124" t="s">
        <v>154</v>
      </c>
      <c r="H124">
        <v>20.448</v>
      </c>
      <c r="I124">
        <f t="shared" si="113"/>
        <v>2.4525000000000006</v>
      </c>
      <c r="J124">
        <f t="shared" si="89"/>
        <v>0.18269385321213011</v>
      </c>
      <c r="L124">
        <f t="shared" si="90"/>
        <v>16.93229140261019</v>
      </c>
    </row>
    <row r="125" spans="2:12">
      <c r="B125" t="s">
        <v>142</v>
      </c>
      <c r="C125" t="s">
        <v>23</v>
      </c>
      <c r="D125" t="s">
        <v>115</v>
      </c>
      <c r="F125" t="s">
        <v>142</v>
      </c>
      <c r="G125" t="s">
        <v>154</v>
      </c>
      <c r="H125">
        <v>20.449000000000002</v>
      </c>
      <c r="I125">
        <f t="shared" si="114"/>
        <v>2.4535000000000018</v>
      </c>
      <c r="J125">
        <f t="shared" si="89"/>
        <v>0.18256726336063803</v>
      </c>
      <c r="L125">
        <f t="shared" si="90"/>
        <v>16.920558899209606</v>
      </c>
    </row>
    <row r="126" spans="2:12">
      <c r="B126" t="s">
        <v>142</v>
      </c>
      <c r="C126" t="s">
        <v>23</v>
      </c>
      <c r="D126">
        <v>18.047000000000001</v>
      </c>
      <c r="E126">
        <f t="shared" si="115"/>
        <v>17.9955</v>
      </c>
      <c r="F126" t="s">
        <v>142</v>
      </c>
      <c r="G126" t="s">
        <v>154</v>
      </c>
      <c r="H126">
        <v>20.593</v>
      </c>
      <c r="I126">
        <f t="shared" si="116"/>
        <v>2.5975000000000001</v>
      </c>
      <c r="J126">
        <f t="shared" si="89"/>
        <v>0.16522455325222307</v>
      </c>
      <c r="L126">
        <f t="shared" si="90"/>
        <v>15.313215159375574</v>
      </c>
    </row>
    <row r="127" spans="2:12">
      <c r="B127" t="s">
        <v>143</v>
      </c>
      <c r="C127" t="s">
        <v>23</v>
      </c>
      <c r="D127">
        <v>17.945</v>
      </c>
      <c r="F127" t="s">
        <v>143</v>
      </c>
      <c r="G127" t="s">
        <v>154</v>
      </c>
      <c r="H127">
        <v>20.515999999999998</v>
      </c>
      <c r="I127">
        <f t="shared" si="113"/>
        <v>2.4933333333333287</v>
      </c>
      <c r="J127">
        <f t="shared" si="89"/>
        <v>0.17759546739112253</v>
      </c>
      <c r="L127">
        <f t="shared" si="90"/>
        <v>16.459766723282314</v>
      </c>
    </row>
    <row r="128" spans="2:12">
      <c r="B128" t="s">
        <v>143</v>
      </c>
      <c r="C128" t="s">
        <v>23</v>
      </c>
      <c r="D128">
        <v>18.068000000000001</v>
      </c>
      <c r="F128" t="s">
        <v>143</v>
      </c>
      <c r="G128" t="s">
        <v>154</v>
      </c>
      <c r="H128">
        <v>20.545999999999999</v>
      </c>
      <c r="I128">
        <f t="shared" si="114"/>
        <v>2.5233333333333299</v>
      </c>
      <c r="J128">
        <f t="shared" si="89"/>
        <v>0.17394060552230248</v>
      </c>
      <c r="L128">
        <f t="shared" si="90"/>
        <v>16.12102962232855</v>
      </c>
    </row>
    <row r="129" spans="2:12">
      <c r="B129" t="s">
        <v>143</v>
      </c>
      <c r="C129" t="s">
        <v>23</v>
      </c>
      <c r="D129">
        <v>18.055</v>
      </c>
      <c r="E129">
        <f t="shared" si="115"/>
        <v>18.022666666666669</v>
      </c>
      <c r="F129" t="s">
        <v>143</v>
      </c>
      <c r="G129" t="s">
        <v>154</v>
      </c>
      <c r="H129">
        <v>20.616</v>
      </c>
      <c r="I129">
        <f t="shared" si="116"/>
        <v>2.5933333333333302</v>
      </c>
      <c r="J129">
        <f t="shared" si="89"/>
        <v>0.16570243022331643</v>
      </c>
      <c r="L129">
        <f t="shared" si="90"/>
        <v>15.357505385822076</v>
      </c>
    </row>
    <row r="130" spans="2:12">
      <c r="B130" t="s">
        <v>144</v>
      </c>
      <c r="C130" t="s">
        <v>112</v>
      </c>
      <c r="D130">
        <v>17.87</v>
      </c>
      <c r="F130" t="s">
        <v>144</v>
      </c>
      <c r="G130" t="s">
        <v>153</v>
      </c>
      <c r="H130">
        <v>23.832999999999998</v>
      </c>
      <c r="I130">
        <f t="shared" si="113"/>
        <v>5.9846666666666657</v>
      </c>
      <c r="J130">
        <f t="shared" si="89"/>
        <v>1.5791952145573742E-2</v>
      </c>
      <c r="L130">
        <f t="shared" si="90"/>
        <v>1.4636175812354917</v>
      </c>
    </row>
    <row r="131" spans="2:12">
      <c r="B131" t="s">
        <v>144</v>
      </c>
      <c r="C131" t="s">
        <v>112</v>
      </c>
      <c r="D131">
        <v>17.837</v>
      </c>
      <c r="F131" t="s">
        <v>144</v>
      </c>
      <c r="G131" t="s">
        <v>153</v>
      </c>
      <c r="H131">
        <v>23.838000000000001</v>
      </c>
      <c r="I131">
        <f t="shared" si="114"/>
        <v>5.9896666666666682</v>
      </c>
      <c r="J131">
        <f t="shared" si="89"/>
        <v>1.573731614171513E-2</v>
      </c>
      <c r="L131">
        <f t="shared" si="90"/>
        <v>1.4585538490839016</v>
      </c>
    </row>
    <row r="132" spans="2:12">
      <c r="B132" t="s">
        <v>144</v>
      </c>
      <c r="C132" t="s">
        <v>112</v>
      </c>
      <c r="D132">
        <v>17.838000000000001</v>
      </c>
      <c r="E132">
        <f t="shared" si="115"/>
        <v>17.848333333333333</v>
      </c>
      <c r="F132" t="s">
        <v>144</v>
      </c>
      <c r="G132" t="s">
        <v>153</v>
      </c>
      <c r="H132">
        <v>23.873000000000001</v>
      </c>
      <c r="I132">
        <f t="shared" si="116"/>
        <v>6.0246666666666684</v>
      </c>
      <c r="J132">
        <f t="shared" si="89"/>
        <v>1.5360120383690326E-2</v>
      </c>
      <c r="L132">
        <f t="shared" si="90"/>
        <v>1.4235948815083008</v>
      </c>
    </row>
    <row r="133" spans="2:12">
      <c r="B133" t="s">
        <v>145</v>
      </c>
      <c r="C133" t="s">
        <v>112</v>
      </c>
      <c r="D133">
        <v>18.751999999999999</v>
      </c>
      <c r="F133" t="s">
        <v>145</v>
      </c>
      <c r="G133" t="s">
        <v>153</v>
      </c>
      <c r="H133">
        <v>24.843</v>
      </c>
      <c r="I133">
        <f t="shared" si="113"/>
        <v>5.9606666666666648</v>
      </c>
      <c r="J133">
        <f t="shared" si="89"/>
        <v>1.6056856983457962E-2</v>
      </c>
      <c r="L133">
        <f t="shared" si="90"/>
        <v>1.4881692879850816</v>
      </c>
    </row>
    <row r="134" spans="2:12">
      <c r="B134" t="s">
        <v>145</v>
      </c>
      <c r="C134" t="s">
        <v>112</v>
      </c>
      <c r="D134">
        <v>18.946000000000002</v>
      </c>
      <c r="F134" t="s">
        <v>145</v>
      </c>
      <c r="G134" t="s">
        <v>153</v>
      </c>
      <c r="H134">
        <v>24.893000000000001</v>
      </c>
      <c r="I134">
        <f t="shared" si="114"/>
        <v>6.0106666666666655</v>
      </c>
      <c r="J134">
        <f t="shared" si="89"/>
        <v>1.5509901488672645E-2</v>
      </c>
      <c r="L134">
        <f t="shared" si="90"/>
        <v>1.4374767788550102</v>
      </c>
    </row>
    <row r="135" spans="2:12">
      <c r="B135" t="s">
        <v>145</v>
      </c>
      <c r="C135" t="s">
        <v>112</v>
      </c>
      <c r="D135">
        <v>18.949000000000002</v>
      </c>
      <c r="E135">
        <f t="shared" si="115"/>
        <v>18.882333333333335</v>
      </c>
      <c r="F135" t="s">
        <v>145</v>
      </c>
      <c r="G135" t="s">
        <v>153</v>
      </c>
      <c r="H135">
        <v>24.861999999999998</v>
      </c>
      <c r="I135">
        <f t="shared" si="116"/>
        <v>5.9796666666666631</v>
      </c>
      <c r="J135">
        <f t="shared" si="89"/>
        <v>1.58467778318973E-2</v>
      </c>
      <c r="L135">
        <f t="shared" si="90"/>
        <v>1.4686988933916303</v>
      </c>
    </row>
    <row r="136" spans="2:12">
      <c r="B136" t="s">
        <v>146</v>
      </c>
      <c r="C136" t="s">
        <v>112</v>
      </c>
      <c r="D136">
        <v>17.786999999999999</v>
      </c>
      <c r="F136" t="s">
        <v>146</v>
      </c>
      <c r="G136" t="s">
        <v>122</v>
      </c>
      <c r="H136">
        <v>23.149000000000001</v>
      </c>
      <c r="I136">
        <f t="shared" si="113"/>
        <v>5.4103333333333339</v>
      </c>
      <c r="J136">
        <f t="shared" si="89"/>
        <v>2.3514046902178613E-2</v>
      </c>
      <c r="L136">
        <f t="shared" si="90"/>
        <v>2.1793108372400156</v>
      </c>
    </row>
    <row r="137" spans="2:12">
      <c r="B137" t="s">
        <v>146</v>
      </c>
      <c r="C137" t="s">
        <v>112</v>
      </c>
      <c r="D137">
        <v>17.826000000000001</v>
      </c>
      <c r="F137" t="s">
        <v>146</v>
      </c>
      <c r="G137" t="s">
        <v>122</v>
      </c>
      <c r="H137">
        <v>23.135000000000002</v>
      </c>
      <c r="I137">
        <f t="shared" si="114"/>
        <v>5.3963333333333345</v>
      </c>
      <c r="J137">
        <f t="shared" si="89"/>
        <v>2.3743339371224158E-2</v>
      </c>
      <c r="L137">
        <f t="shared" si="90"/>
        <v>2.2005619457696226</v>
      </c>
    </row>
    <row r="138" spans="2:12">
      <c r="B138" t="s">
        <v>146</v>
      </c>
      <c r="C138" t="s">
        <v>112</v>
      </c>
      <c r="D138">
        <v>17.603000000000002</v>
      </c>
      <c r="E138">
        <f t="shared" si="115"/>
        <v>17.738666666666667</v>
      </c>
      <c r="F138" t="s">
        <v>146</v>
      </c>
      <c r="G138" t="s">
        <v>122</v>
      </c>
      <c r="H138">
        <v>23.117000000000001</v>
      </c>
      <c r="I138">
        <f t="shared" si="116"/>
        <v>5.3783333333333339</v>
      </c>
      <c r="J138">
        <f t="shared" si="89"/>
        <v>2.4041432422887275E-2</v>
      </c>
      <c r="L138">
        <f t="shared" si="90"/>
        <v>2.2281895770615887</v>
      </c>
    </row>
    <row r="139" spans="2:12">
      <c r="B139" t="s">
        <v>147</v>
      </c>
      <c r="C139" t="s">
        <v>112</v>
      </c>
      <c r="D139">
        <v>18.11</v>
      </c>
      <c r="F139" t="s">
        <v>147</v>
      </c>
      <c r="G139" t="s">
        <v>122</v>
      </c>
      <c r="H139">
        <v>23.074999999999999</v>
      </c>
      <c r="I139">
        <f t="shared" si="113"/>
        <v>5.1036666666666655</v>
      </c>
      <c r="J139">
        <f t="shared" si="89"/>
        <v>2.9083270689353128E-2</v>
      </c>
      <c r="L139">
        <f t="shared" si="90"/>
        <v>2.695473359365451</v>
      </c>
    </row>
    <row r="140" spans="2:12">
      <c r="B140" t="s">
        <v>147</v>
      </c>
      <c r="C140" t="s">
        <v>112</v>
      </c>
      <c r="D140">
        <v>17.687999999999999</v>
      </c>
      <c r="F140" t="s">
        <v>147</v>
      </c>
      <c r="G140" t="s">
        <v>122</v>
      </c>
      <c r="H140">
        <v>23.082999999999998</v>
      </c>
      <c r="I140">
        <f t="shared" si="114"/>
        <v>5.1116666666666646</v>
      </c>
      <c r="J140">
        <f t="shared" ref="J140:J147" si="117">POWER(2,-I140)</f>
        <v>2.892244510800978E-2</v>
      </c>
      <c r="L140">
        <f t="shared" si="90"/>
        <v>2.6805678463423179</v>
      </c>
    </row>
    <row r="141" spans="2:12">
      <c r="B141" t="s">
        <v>147</v>
      </c>
      <c r="C141" t="s">
        <v>112</v>
      </c>
      <c r="D141">
        <v>18.116</v>
      </c>
      <c r="E141">
        <f t="shared" si="115"/>
        <v>17.971333333333334</v>
      </c>
      <c r="F141" t="s">
        <v>147</v>
      </c>
      <c r="G141" t="s">
        <v>122</v>
      </c>
      <c r="H141">
        <v>23.109000000000002</v>
      </c>
      <c r="I141">
        <f t="shared" si="116"/>
        <v>5.1376666666666679</v>
      </c>
      <c r="J141">
        <f t="shared" si="117"/>
        <v>2.8405878532408314E-2</v>
      </c>
      <c r="L141">
        <f t="shared" ref="L141:L147" si="118">J141/0.0107896709823909</f>
        <v>2.6326918196826989</v>
      </c>
    </row>
    <row r="142" spans="2:12">
      <c r="B142" t="s">
        <v>148</v>
      </c>
      <c r="C142" t="s">
        <v>23</v>
      </c>
      <c r="D142">
        <v>18.187999999999999</v>
      </c>
      <c r="F142" t="s">
        <v>148</v>
      </c>
      <c r="G142" t="s">
        <v>154</v>
      </c>
      <c r="H142">
        <v>23.247</v>
      </c>
      <c r="I142">
        <f t="shared" si="113"/>
        <v>5.0150000000000006</v>
      </c>
      <c r="J142">
        <f t="shared" si="117"/>
        <v>3.0926770512975203E-2</v>
      </c>
      <c r="L142">
        <f t="shared" si="118"/>
        <v>2.8663311942920884</v>
      </c>
    </row>
    <row r="143" spans="2:12">
      <c r="B143" t="s">
        <v>148</v>
      </c>
      <c r="C143" t="s">
        <v>23</v>
      </c>
      <c r="D143">
        <v>18.242999999999999</v>
      </c>
      <c r="F143" t="s">
        <v>148</v>
      </c>
      <c r="G143" t="s">
        <v>154</v>
      </c>
      <c r="H143">
        <v>23.263000000000002</v>
      </c>
      <c r="I143">
        <f t="shared" si="114"/>
        <v>5.0310000000000024</v>
      </c>
      <c r="J143">
        <f t="shared" si="117"/>
        <v>3.0585676574919823E-2</v>
      </c>
      <c r="L143">
        <f t="shared" si="118"/>
        <v>2.8347181878702936</v>
      </c>
    </row>
    <row r="144" spans="2:12">
      <c r="B144" t="s">
        <v>148</v>
      </c>
      <c r="C144" t="s">
        <v>23</v>
      </c>
      <c r="D144">
        <v>18.265000000000001</v>
      </c>
      <c r="E144">
        <f t="shared" si="115"/>
        <v>18.231999999999999</v>
      </c>
      <c r="F144" t="s">
        <v>148</v>
      </c>
      <c r="G144" t="s">
        <v>154</v>
      </c>
      <c r="H144">
        <v>23.332999999999998</v>
      </c>
      <c r="I144">
        <f t="shared" si="116"/>
        <v>5.1009999999999991</v>
      </c>
      <c r="J144">
        <f t="shared" si="117"/>
        <v>2.9137077701151034E-2</v>
      </c>
      <c r="L144">
        <f t="shared" si="118"/>
        <v>2.7004602595114999</v>
      </c>
    </row>
    <row r="145" spans="2:12">
      <c r="B145" t="s">
        <v>149</v>
      </c>
      <c r="C145" t="s">
        <v>23</v>
      </c>
      <c r="D145">
        <v>18.898</v>
      </c>
      <c r="F145" t="s">
        <v>149</v>
      </c>
      <c r="G145" t="s">
        <v>154</v>
      </c>
      <c r="H145">
        <v>23.853999999999999</v>
      </c>
      <c r="I145">
        <f t="shared" si="113"/>
        <v>4.8573333333333331</v>
      </c>
      <c r="J145">
        <f t="shared" si="117"/>
        <v>3.4498242266500612E-2</v>
      </c>
      <c r="L145">
        <f t="shared" si="118"/>
        <v>3.1973395966200342</v>
      </c>
    </row>
    <row r="146" spans="2:12">
      <c r="B146" t="s">
        <v>149</v>
      </c>
      <c r="C146" t="s">
        <v>23</v>
      </c>
      <c r="D146">
        <v>18.945</v>
      </c>
      <c r="F146" t="s">
        <v>149</v>
      </c>
      <c r="G146" t="s">
        <v>154</v>
      </c>
      <c r="H146">
        <v>23.971</v>
      </c>
      <c r="I146">
        <f t="shared" si="114"/>
        <v>4.9743333333333339</v>
      </c>
      <c r="J146">
        <f t="shared" si="117"/>
        <v>3.1810936756445515E-2</v>
      </c>
      <c r="L146">
        <f t="shared" si="118"/>
        <v>2.9482768110688466</v>
      </c>
    </row>
    <row r="147" spans="2:12">
      <c r="B147" t="s">
        <v>149</v>
      </c>
      <c r="C147" t="s">
        <v>23</v>
      </c>
      <c r="D147">
        <v>19.146999999999998</v>
      </c>
      <c r="E147">
        <f t="shared" si="115"/>
        <v>18.996666666666666</v>
      </c>
      <c r="F147" t="s">
        <v>149</v>
      </c>
      <c r="G147" t="s">
        <v>154</v>
      </c>
      <c r="H147">
        <v>23.991</v>
      </c>
      <c r="I147">
        <f t="shared" si="116"/>
        <v>4.9943333333333335</v>
      </c>
      <c r="J147">
        <f t="shared" si="117"/>
        <v>3.1372986189776478E-2</v>
      </c>
      <c r="L147">
        <f t="shared" si="118"/>
        <v>2.9076870129754862</v>
      </c>
    </row>
  </sheetData>
  <phoneticPr fontId="2" type="noConversion"/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451DE8-913D-6944-8565-86323A6FAC73}">
  <dimension ref="A1:K18"/>
  <sheetViews>
    <sheetView zoomScale="83" workbookViewId="0">
      <selection activeCell="C9" sqref="C9"/>
    </sheetView>
  </sheetViews>
  <sheetFormatPr baseColWidth="10" defaultRowHeight="16"/>
  <cols>
    <col min="8" max="8" width="14" bestFit="1" customWidth="1"/>
    <col min="11" max="11" width="14" bestFit="1" customWidth="1"/>
    <col min="12" max="13" width="13" bestFit="1" customWidth="1"/>
  </cols>
  <sheetData>
    <row r="1" spans="1:11">
      <c r="A1" t="s">
        <v>170</v>
      </c>
    </row>
    <row r="2" spans="1:11" ht="28">
      <c r="H2" s="9"/>
    </row>
    <row r="7" spans="1:11">
      <c r="H7" t="s">
        <v>171</v>
      </c>
    </row>
    <row r="8" spans="1:11">
      <c r="I8" t="s">
        <v>95</v>
      </c>
      <c r="J8" t="s">
        <v>172</v>
      </c>
      <c r="K8" t="s">
        <v>173</v>
      </c>
    </row>
    <row r="9" spans="1:11">
      <c r="I9">
        <v>1</v>
      </c>
      <c r="J9">
        <v>1</v>
      </c>
      <c r="K9">
        <v>1</v>
      </c>
    </row>
    <row r="10" spans="1:11">
      <c r="I10">
        <v>0.86904658495712706</v>
      </c>
      <c r="J10">
        <v>1.3331568017809692</v>
      </c>
      <c r="K10">
        <v>1.5340452685246306</v>
      </c>
    </row>
    <row r="11" spans="1:11">
      <c r="I11">
        <v>1.0497308169445645</v>
      </c>
      <c r="J11">
        <v>4.7692676582516373</v>
      </c>
      <c r="K11">
        <v>4.5433244230492082</v>
      </c>
    </row>
    <row r="12" spans="1:11">
      <c r="I12">
        <v>0.78274577932236333</v>
      </c>
      <c r="J12">
        <v>5.2232374654085865</v>
      </c>
      <c r="K12">
        <v>6.6729679078313708</v>
      </c>
    </row>
    <row r="15" spans="1:11">
      <c r="H15" t="s">
        <v>173</v>
      </c>
    </row>
    <row r="16" spans="1:11">
      <c r="I16" t="s">
        <v>97</v>
      </c>
      <c r="J16" t="s">
        <v>110</v>
      </c>
    </row>
    <row r="17" spans="8:10">
      <c r="H17" t="s">
        <v>2</v>
      </c>
      <c r="I17">
        <v>1</v>
      </c>
      <c r="J17">
        <v>4.5433244230492082</v>
      </c>
    </row>
    <row r="18" spans="8:10">
      <c r="H18" t="s">
        <v>175</v>
      </c>
      <c r="I18">
        <v>1.5340452685246306</v>
      </c>
      <c r="J18">
        <v>6.6729679078313708</v>
      </c>
    </row>
  </sheetData>
  <phoneticPr fontId="2" type="noConversion"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1FC22-1874-1B41-A45E-CA119A3AF8D8}">
  <dimension ref="A1:O21"/>
  <sheetViews>
    <sheetView topLeftCell="A4" zoomScale="75" workbookViewId="0">
      <selection activeCell="J30" sqref="J30"/>
    </sheetView>
  </sheetViews>
  <sheetFormatPr baseColWidth="10" defaultRowHeight="16"/>
  <sheetData>
    <row r="1" spans="1:13">
      <c r="A1" t="s">
        <v>176</v>
      </c>
    </row>
    <row r="7" spans="1:13">
      <c r="H7" t="s">
        <v>177</v>
      </c>
    </row>
    <row r="8" spans="1:13">
      <c r="I8" t="s">
        <v>95</v>
      </c>
      <c r="J8" t="s">
        <v>155</v>
      </c>
      <c r="K8" t="s">
        <v>174</v>
      </c>
      <c r="L8" t="s">
        <v>172</v>
      </c>
      <c r="M8" t="s">
        <v>173</v>
      </c>
    </row>
    <row r="9" spans="1:13">
      <c r="I9">
        <v>1</v>
      </c>
      <c r="J9">
        <v>1</v>
      </c>
      <c r="K9">
        <v>1</v>
      </c>
      <c r="L9">
        <v>1</v>
      </c>
      <c r="M9">
        <v>1</v>
      </c>
    </row>
    <row r="10" spans="1:13">
      <c r="I10">
        <v>1.1626090704801324</v>
      </c>
      <c r="J10">
        <v>0.74663425680086837</v>
      </c>
      <c r="K10">
        <v>0.64220577299687209</v>
      </c>
      <c r="L10">
        <v>1.9382745314857128</v>
      </c>
      <c r="M10">
        <v>1.6671765090265873</v>
      </c>
    </row>
    <row r="11" spans="1:13">
      <c r="I11">
        <v>0.81271109443768808</v>
      </c>
      <c r="J11">
        <v>0.98424294249302302</v>
      </c>
      <c r="K11">
        <v>1.2110612851594171</v>
      </c>
      <c r="L11">
        <v>1.7480156247397809</v>
      </c>
      <c r="M11">
        <v>2.1508450379273176</v>
      </c>
    </row>
    <row r="12" spans="1:13">
      <c r="I12">
        <v>1.1882922260303328</v>
      </c>
      <c r="J12">
        <v>0.85887927504024941</v>
      </c>
      <c r="K12">
        <v>0.7227845610918987</v>
      </c>
      <c r="L12">
        <v>1.1099096187331381</v>
      </c>
      <c r="M12">
        <v>0.93403759985955348</v>
      </c>
    </row>
    <row r="13" spans="1:13">
      <c r="I13">
        <v>1.2101263218829155</v>
      </c>
      <c r="J13">
        <v>0.56143207465736966</v>
      </c>
      <c r="K13">
        <v>0.46394501508222746</v>
      </c>
      <c r="L13">
        <v>0.98411933068359392</v>
      </c>
      <c r="M13">
        <v>0.81323686039019272</v>
      </c>
    </row>
    <row r="14" spans="1:13">
      <c r="I14">
        <v>1.3585328326337536</v>
      </c>
      <c r="J14">
        <v>0.64467323810916599</v>
      </c>
      <c r="K14">
        <v>0.47453636940032884</v>
      </c>
      <c r="L14">
        <v>0.33476003937580728</v>
      </c>
      <c r="M14">
        <v>0.24641291791735087</v>
      </c>
    </row>
    <row r="17" spans="9:15">
      <c r="I17" t="s">
        <v>174</v>
      </c>
      <c r="M17" t="s">
        <v>173</v>
      </c>
    </row>
    <row r="18" spans="9:15">
      <c r="J18" t="s">
        <v>97</v>
      </c>
      <c r="K18" t="s">
        <v>109</v>
      </c>
      <c r="N18" t="s">
        <v>97</v>
      </c>
      <c r="O18" t="s">
        <v>109</v>
      </c>
    </row>
    <row r="19" spans="9:15">
      <c r="I19">
        <v>0</v>
      </c>
      <c r="J19">
        <v>1</v>
      </c>
      <c r="K19">
        <v>0.7227845610918987</v>
      </c>
      <c r="M19">
        <v>0</v>
      </c>
      <c r="N19">
        <v>1</v>
      </c>
      <c r="O19">
        <v>0.93403759985955348</v>
      </c>
    </row>
    <row r="20" spans="9:15">
      <c r="I20">
        <v>1</v>
      </c>
      <c r="J20">
        <v>0.64220577299687209</v>
      </c>
      <c r="K20">
        <v>0.46394501508222746</v>
      </c>
      <c r="M20">
        <v>1</v>
      </c>
      <c r="N20">
        <v>1.6671765090265873</v>
      </c>
      <c r="O20">
        <v>0.81323686039019272</v>
      </c>
    </row>
    <row r="21" spans="9:15">
      <c r="I21">
        <v>4</v>
      </c>
      <c r="J21">
        <v>1.2110612851594171</v>
      </c>
      <c r="K21">
        <v>0.47453636940032884</v>
      </c>
      <c r="M21">
        <v>4</v>
      </c>
      <c r="N21">
        <v>2.1508450379273176</v>
      </c>
      <c r="O21">
        <v>0.24641291791735087</v>
      </c>
    </row>
  </sheetData>
  <phoneticPr fontId="2" type="noConversion"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5C72E-FE6E-A141-AA68-1D9F18BB1F81}">
  <dimension ref="A1:AF32"/>
  <sheetViews>
    <sheetView topLeftCell="L2" zoomScale="67" workbookViewId="0">
      <selection activeCell="W32" sqref="W32"/>
    </sheetView>
  </sheetViews>
  <sheetFormatPr baseColWidth="10" defaultRowHeight="16"/>
  <sheetData>
    <row r="1" spans="1:32">
      <c r="A1" t="s">
        <v>178</v>
      </c>
    </row>
    <row r="3" spans="1:32">
      <c r="E3" s="93" t="s">
        <v>610</v>
      </c>
    </row>
    <row r="4" spans="1:32">
      <c r="B4" t="s">
        <v>156</v>
      </c>
      <c r="C4" t="s">
        <v>157</v>
      </c>
      <c r="D4">
        <v>21.542000000000002</v>
      </c>
      <c r="E4">
        <f>LOG(50,2)</f>
        <v>5.6438561897747244</v>
      </c>
      <c r="F4">
        <f>D4-E4</f>
        <v>15.898143810225278</v>
      </c>
    </row>
    <row r="5" spans="1:32">
      <c r="B5" t="s">
        <v>156</v>
      </c>
      <c r="C5" t="s">
        <v>157</v>
      </c>
      <c r="D5">
        <v>22.140999999999998</v>
      </c>
      <c r="E5">
        <f t="shared" ref="E5:E6" si="0">LOG(50,2)</f>
        <v>5.6438561897747244</v>
      </c>
      <c r="F5">
        <f t="shared" ref="F5:F6" si="1">D5-E5</f>
        <v>16.497143810225275</v>
      </c>
    </row>
    <row r="6" spans="1:32">
      <c r="B6" t="s">
        <v>156</v>
      </c>
      <c r="C6" t="s">
        <v>157</v>
      </c>
      <c r="D6">
        <v>22.146999999999998</v>
      </c>
      <c r="E6">
        <f t="shared" si="0"/>
        <v>5.6438561897747244</v>
      </c>
      <c r="F6">
        <f t="shared" si="1"/>
        <v>16.503143810225275</v>
      </c>
      <c r="G6">
        <v>16.299477143558601</v>
      </c>
    </row>
    <row r="7" spans="1:32">
      <c r="B7" t="s">
        <v>159</v>
      </c>
      <c r="C7" t="s">
        <v>157</v>
      </c>
      <c r="D7">
        <v>30.373000000000001</v>
      </c>
      <c r="E7">
        <f>16.2994771435586-D7</f>
        <v>-14.0735228564414</v>
      </c>
      <c r="F7">
        <f>100*2^(E7)</f>
        <v>5.8002601876272148E-3</v>
      </c>
      <c r="H7">
        <f>F7/0.00620688147277966</f>
        <v>0.93448863379529845</v>
      </c>
    </row>
    <row r="8" spans="1:32">
      <c r="B8" t="s">
        <v>159</v>
      </c>
      <c r="C8" t="s">
        <v>157</v>
      </c>
      <c r="D8">
        <v>30.442</v>
      </c>
      <c r="E8">
        <f t="shared" ref="E8:E12" si="2">16.2994771435586-D8</f>
        <v>-14.142522856441399</v>
      </c>
      <c r="F8">
        <f t="shared" ref="F8:F12" si="3">100*2^(E8)</f>
        <v>5.5293795991578597E-3</v>
      </c>
      <c r="H8">
        <f t="shared" ref="H8:H12" si="4">F8/0.00620688147277966</f>
        <v>0.89084665518537909</v>
      </c>
    </row>
    <row r="9" spans="1:32">
      <c r="B9" t="s">
        <v>159</v>
      </c>
      <c r="C9" t="s">
        <v>157</v>
      </c>
      <c r="D9">
        <v>30.042999999999999</v>
      </c>
      <c r="E9">
        <f t="shared" si="2"/>
        <v>-13.743522856441398</v>
      </c>
      <c r="F9">
        <f t="shared" si="3"/>
        <v>7.2910046315539179E-3</v>
      </c>
      <c r="G9">
        <v>6.2068814727796601E-3</v>
      </c>
      <c r="H9">
        <f t="shared" si="4"/>
        <v>1.1746647110193245</v>
      </c>
    </row>
    <row r="10" spans="1:32">
      <c r="B10" t="s">
        <v>161</v>
      </c>
      <c r="C10" t="s">
        <v>157</v>
      </c>
      <c r="D10">
        <v>28.923999999999999</v>
      </c>
      <c r="E10">
        <f t="shared" si="2"/>
        <v>-12.624522856441398</v>
      </c>
      <c r="F10">
        <f t="shared" si="3"/>
        <v>1.5835797488458713E-2</v>
      </c>
      <c r="H10">
        <f t="shared" si="4"/>
        <v>2.5513291268581106</v>
      </c>
    </row>
    <row r="11" spans="1:32">
      <c r="B11" t="s">
        <v>161</v>
      </c>
      <c r="C11" t="s">
        <v>157</v>
      </c>
      <c r="D11">
        <v>29.603999999999999</v>
      </c>
      <c r="E11">
        <f t="shared" si="2"/>
        <v>-13.304522856441398</v>
      </c>
      <c r="F11">
        <f t="shared" si="3"/>
        <v>9.8841548855312291E-3</v>
      </c>
      <c r="H11">
        <f t="shared" si="4"/>
        <v>1.5924510446797298</v>
      </c>
      <c r="K11" s="90"/>
      <c r="L11" s="90"/>
      <c r="M11" s="90"/>
      <c r="N11" s="90"/>
      <c r="O11" s="90"/>
      <c r="P11" s="90"/>
      <c r="Q11" s="90"/>
      <c r="R11" s="90"/>
      <c r="S11" s="90"/>
      <c r="T11" s="90"/>
      <c r="U11" s="90"/>
      <c r="V11" s="90"/>
      <c r="W11" s="90"/>
      <c r="X11" s="90"/>
      <c r="Y11" s="90"/>
      <c r="Z11" s="90"/>
      <c r="AA11" s="90"/>
      <c r="AB11" s="90"/>
      <c r="AC11" s="90"/>
      <c r="AD11" s="90"/>
      <c r="AE11" s="90"/>
      <c r="AF11" s="90"/>
    </row>
    <row r="12" spans="1:32">
      <c r="B12" t="s">
        <v>161</v>
      </c>
      <c r="C12" t="s">
        <v>157</v>
      </c>
      <c r="D12">
        <v>29.15</v>
      </c>
      <c r="E12">
        <f t="shared" si="2"/>
        <v>-12.850522856441398</v>
      </c>
      <c r="F12">
        <f t="shared" si="3"/>
        <v>1.3539641341288449E-2</v>
      </c>
      <c r="H12">
        <f t="shared" si="4"/>
        <v>2.1813919599829124</v>
      </c>
      <c r="K12" s="90"/>
      <c r="L12" s="90" t="s">
        <v>97</v>
      </c>
      <c r="M12" s="90"/>
      <c r="N12" s="90"/>
      <c r="O12" s="90" t="s">
        <v>109</v>
      </c>
      <c r="P12" s="90"/>
      <c r="Q12" s="90"/>
      <c r="R12" s="90" t="s">
        <v>110</v>
      </c>
      <c r="S12" s="90"/>
      <c r="T12" s="90"/>
      <c r="U12" s="90" t="s">
        <v>663</v>
      </c>
      <c r="V12" s="90" t="s">
        <v>396</v>
      </c>
      <c r="W12" s="90" t="s">
        <v>664</v>
      </c>
      <c r="X12" s="101" t="s">
        <v>665</v>
      </c>
      <c r="Y12" s="90" t="s">
        <v>663</v>
      </c>
      <c r="Z12" s="90" t="s">
        <v>396</v>
      </c>
      <c r="AA12" s="90" t="s">
        <v>664</v>
      </c>
      <c r="AB12" s="101" t="s">
        <v>665</v>
      </c>
      <c r="AC12" s="90" t="s">
        <v>663</v>
      </c>
      <c r="AD12" s="90" t="s">
        <v>396</v>
      </c>
      <c r="AE12" s="90" t="s">
        <v>664</v>
      </c>
      <c r="AF12" s="101" t="s">
        <v>665</v>
      </c>
    </row>
    <row r="13" spans="1:32">
      <c r="K13" s="90" t="s">
        <v>158</v>
      </c>
      <c r="L13" s="90">
        <v>0.93448863379529845</v>
      </c>
      <c r="M13" s="90">
        <v>0.89084665518537909</v>
      </c>
      <c r="N13" s="90">
        <v>1.1746647110193245</v>
      </c>
      <c r="O13" s="90">
        <v>1.0550797210242335</v>
      </c>
      <c r="P13" s="90">
        <v>0.80071015699653814</v>
      </c>
      <c r="Q13" s="90">
        <v>1.1442101219792247</v>
      </c>
      <c r="R13" s="90">
        <v>0.86668616312371793</v>
      </c>
      <c r="S13" s="90">
        <v>1.0714626624523536</v>
      </c>
      <c r="T13" s="90">
        <v>1.0618511744239221</v>
      </c>
      <c r="U13" s="90">
        <f>AVERAGE(L13:N13)</f>
        <v>1.0000000000000007</v>
      </c>
      <c r="V13" s="90">
        <f>STDEV(L13:N13)</f>
        <v>0.15282989410074599</v>
      </c>
      <c r="W13" s="90">
        <f>V13/SQRT(3)</f>
        <v>8.8236380499287698E-2</v>
      </c>
      <c r="X13" s="90"/>
      <c r="Y13" s="90">
        <f>AVERAGE(O13:Q13)</f>
        <v>0.99999999999999878</v>
      </c>
      <c r="Z13" s="90">
        <f>STDEV(O13:Q13)</f>
        <v>0.17825091370553239</v>
      </c>
      <c r="AA13" s="90">
        <f>Z13/SQRT(3)</f>
        <v>0.10291321301118589</v>
      </c>
      <c r="AB13" s="94"/>
      <c r="AC13" s="90">
        <f>AVERAGE(R13:T13)</f>
        <v>0.99999999999999789</v>
      </c>
      <c r="AD13" s="90">
        <f>STDEV(R13:T13)</f>
        <v>0.11555314579247378</v>
      </c>
      <c r="AE13" s="90">
        <f>AD13/SQRT(3)</f>
        <v>6.6714639828992811E-2</v>
      </c>
      <c r="AF13" s="94"/>
    </row>
    <row r="14" spans="1:32">
      <c r="B14" t="s">
        <v>162</v>
      </c>
      <c r="C14" t="s">
        <v>157</v>
      </c>
      <c r="D14">
        <v>21.393000000000001</v>
      </c>
      <c r="E14">
        <f>LOG(50,2)</f>
        <v>5.6438561897747244</v>
      </c>
      <c r="F14">
        <f>D14-E14</f>
        <v>15.749143810225277</v>
      </c>
      <c r="K14" s="90" t="s">
        <v>160</v>
      </c>
      <c r="L14" s="90">
        <v>2.5513291268581106</v>
      </c>
      <c r="M14" s="90">
        <v>1.5924510446797298</v>
      </c>
      <c r="N14" s="90">
        <v>2.1813919599829124</v>
      </c>
      <c r="O14" s="90">
        <v>3.1087875147017039</v>
      </c>
      <c r="P14" s="90">
        <v>3.3597456366809184</v>
      </c>
      <c r="Q14" s="90">
        <v>2.957446379967843</v>
      </c>
      <c r="R14" s="90">
        <v>1.3703852961536851</v>
      </c>
      <c r="S14" s="90">
        <v>0.97102582925514958</v>
      </c>
      <c r="T14" s="90">
        <v>1.3009644835699428</v>
      </c>
      <c r="U14" s="90">
        <f>AVERAGE(L14:N14)</f>
        <v>2.1083907105069177</v>
      </c>
      <c r="V14" s="90">
        <f>STDEV(L14:N14)</f>
        <v>0.48358937223569581</v>
      </c>
      <c r="W14" s="90">
        <f>V14/SQRT(3)</f>
        <v>0.27920045423752116</v>
      </c>
      <c r="X14" s="94"/>
      <c r="Y14" s="90">
        <f>AVERAGE(O14:Q14)</f>
        <v>3.1419931771168219</v>
      </c>
      <c r="Z14" s="90">
        <f>STDEV(O14:Q14)</f>
        <v>0.20319482030872077</v>
      </c>
      <c r="AA14" s="90">
        <f t="shared" ref="AA14" si="5">Z14/SQRT(3)</f>
        <v>0.11731458420317759</v>
      </c>
      <c r="AB14" s="94">
        <v>3.3999999999999998E-3</v>
      </c>
      <c r="AC14" s="90">
        <f>AVERAGE(R14:T14)</f>
        <v>1.2141252029929259</v>
      </c>
      <c r="AD14" s="90">
        <f>STDEV(R14:T14)</f>
        <v>0.21337242426968078</v>
      </c>
      <c r="AE14" s="90">
        <f t="shared" ref="AE14" si="6">AD14/SQRT(3)</f>
        <v>0.12319062658974324</v>
      </c>
      <c r="AF14" s="94">
        <v>1.0200000000000001E-2</v>
      </c>
    </row>
    <row r="15" spans="1:32">
      <c r="B15" t="s">
        <v>162</v>
      </c>
      <c r="C15" t="s">
        <v>157</v>
      </c>
      <c r="D15">
        <v>21.44</v>
      </c>
      <c r="E15">
        <f t="shared" ref="E15:E16" si="7">LOG(50,2)</f>
        <v>5.6438561897747244</v>
      </c>
      <c r="F15">
        <f t="shared" ref="F15:F16" si="8">D15-E15</f>
        <v>15.796143810225278</v>
      </c>
      <c r="K15" s="90"/>
      <c r="L15" s="90"/>
      <c r="M15" s="90"/>
      <c r="N15" s="90"/>
      <c r="O15" s="90"/>
      <c r="P15" s="90"/>
      <c r="Q15" s="90"/>
      <c r="R15" s="90"/>
      <c r="S15" s="90"/>
      <c r="T15" s="90"/>
      <c r="U15" s="90"/>
      <c r="V15" s="90"/>
      <c r="W15" s="90"/>
      <c r="X15" s="94"/>
      <c r="Y15" s="90"/>
      <c r="Z15" s="90"/>
      <c r="AA15" s="90"/>
      <c r="AB15" s="90"/>
      <c r="AC15" s="90"/>
      <c r="AD15" s="90"/>
      <c r="AE15" s="90"/>
      <c r="AF15" s="90"/>
    </row>
    <row r="16" spans="1:32">
      <c r="B16" t="s">
        <v>162</v>
      </c>
      <c r="C16" t="s">
        <v>157</v>
      </c>
      <c r="D16">
        <v>21.414000000000001</v>
      </c>
      <c r="E16">
        <f t="shared" si="7"/>
        <v>5.6438561897747244</v>
      </c>
      <c r="F16">
        <f t="shared" si="8"/>
        <v>15.770143810225278</v>
      </c>
      <c r="G16">
        <v>15.771810476891901</v>
      </c>
      <c r="U16" s="52"/>
      <c r="V16" s="52"/>
      <c r="W16" s="52"/>
      <c r="X16" s="96"/>
      <c r="Y16" s="52"/>
      <c r="Z16" s="52"/>
      <c r="AA16" s="52"/>
      <c r="AB16" s="96"/>
    </row>
    <row r="17" spans="2:28">
      <c r="B17" t="s">
        <v>163</v>
      </c>
      <c r="C17" t="s">
        <v>157</v>
      </c>
      <c r="D17">
        <v>30.571000000000002</v>
      </c>
      <c r="E17">
        <f>15.7718104768919-D17</f>
        <v>-14.799189523108101</v>
      </c>
      <c r="F17">
        <f>100*2^(E17)</f>
        <v>3.5075190789616555E-3</v>
      </c>
      <c r="H17">
        <f>F17/0.00332441142509751</f>
        <v>1.0550797210242335</v>
      </c>
      <c r="U17" s="52"/>
      <c r="V17" s="52"/>
      <c r="W17" s="52"/>
      <c r="X17" s="96"/>
      <c r="Y17" s="52"/>
      <c r="Z17" s="52"/>
      <c r="AA17" s="52"/>
      <c r="AB17" s="96"/>
    </row>
    <row r="18" spans="2:28">
      <c r="B18" t="s">
        <v>163</v>
      </c>
      <c r="C18" t="s">
        <v>157</v>
      </c>
      <c r="D18">
        <v>30.969000000000001</v>
      </c>
      <c r="E18">
        <f t="shared" ref="E18:E22" si="9">15.7718104768919-D18</f>
        <v>-15.197189523108101</v>
      </c>
      <c r="F18">
        <f t="shared" ref="F18:F22" si="10">100*2^(E18)</f>
        <v>2.6618899941109123E-3</v>
      </c>
      <c r="H18">
        <f t="shared" ref="H18:H22" si="11">F18/0.00332441142509751</f>
        <v>0.80071015699653814</v>
      </c>
      <c r="U18" s="52"/>
      <c r="V18" s="52"/>
      <c r="W18" s="52"/>
      <c r="X18" s="52"/>
      <c r="Y18" s="52"/>
      <c r="Z18" s="52"/>
      <c r="AA18" s="52"/>
      <c r="AB18" s="52"/>
    </row>
    <row r="19" spans="2:28">
      <c r="B19" t="s">
        <v>163</v>
      </c>
      <c r="C19" t="s">
        <v>157</v>
      </c>
      <c r="D19">
        <v>30.454000000000001</v>
      </c>
      <c r="E19">
        <f t="shared" si="9"/>
        <v>-14.6821895231081</v>
      </c>
      <c r="F19">
        <f t="shared" si="10"/>
        <v>3.8038252022199502E-3</v>
      </c>
      <c r="G19">
        <v>3.3244114250975099E-3</v>
      </c>
      <c r="H19">
        <f t="shared" si="11"/>
        <v>1.1442101219792247</v>
      </c>
    </row>
    <row r="20" spans="2:28">
      <c r="B20" t="s">
        <v>164</v>
      </c>
      <c r="C20" t="s">
        <v>157</v>
      </c>
      <c r="D20">
        <v>29.012</v>
      </c>
      <c r="E20">
        <f t="shared" si="9"/>
        <v>-13.2401895231081</v>
      </c>
      <c r="F20">
        <f t="shared" si="10"/>
        <v>1.0334888732074837E-2</v>
      </c>
      <c r="H20">
        <f t="shared" si="11"/>
        <v>3.1087875147017039</v>
      </c>
    </row>
    <row r="21" spans="2:28">
      <c r="B21" t="s">
        <v>164</v>
      </c>
      <c r="C21" t="s">
        <v>157</v>
      </c>
      <c r="D21">
        <v>28.9</v>
      </c>
      <c r="E21">
        <f t="shared" si="9"/>
        <v>-13.128189523108098</v>
      </c>
      <c r="F21">
        <f t="shared" si="10"/>
        <v>1.1169176780003552E-2</v>
      </c>
      <c r="H21">
        <f t="shared" si="11"/>
        <v>3.3597456366809184</v>
      </c>
    </row>
    <row r="22" spans="2:28">
      <c r="B22" t="s">
        <v>164</v>
      </c>
      <c r="C22" t="s">
        <v>157</v>
      </c>
      <c r="D22">
        <v>29.084</v>
      </c>
      <c r="E22">
        <f t="shared" si="9"/>
        <v>-13.312189523108099</v>
      </c>
      <c r="F22">
        <f t="shared" si="10"/>
        <v>9.8317685346783687E-3</v>
      </c>
      <c r="H22">
        <f t="shared" si="11"/>
        <v>2.957446379967843</v>
      </c>
    </row>
    <row r="24" spans="2:28">
      <c r="B24" t="s">
        <v>165</v>
      </c>
      <c r="C24" t="s">
        <v>166</v>
      </c>
      <c r="D24">
        <v>22.1</v>
      </c>
      <c r="E24">
        <f>LOG(50,2)</f>
        <v>5.6438561897747244</v>
      </c>
      <c r="F24">
        <f t="shared" ref="F24:F26" si="12">D24-E24</f>
        <v>16.456143810225278</v>
      </c>
    </row>
    <row r="25" spans="2:28">
      <c r="B25" t="s">
        <v>165</v>
      </c>
      <c r="C25" t="s">
        <v>166</v>
      </c>
      <c r="D25">
        <v>22.071999999999999</v>
      </c>
      <c r="E25">
        <f t="shared" ref="E25:E26" si="13">LOG(50,2)</f>
        <v>5.6438561897747244</v>
      </c>
      <c r="F25">
        <f t="shared" si="12"/>
        <v>16.428143810225276</v>
      </c>
    </row>
    <row r="26" spans="2:28">
      <c r="B26" t="s">
        <v>165</v>
      </c>
      <c r="C26" t="s">
        <v>166</v>
      </c>
      <c r="D26">
        <v>22.184000000000001</v>
      </c>
      <c r="E26">
        <f t="shared" si="13"/>
        <v>5.6438561897747244</v>
      </c>
      <c r="F26">
        <f t="shared" si="12"/>
        <v>16.540143810225278</v>
      </c>
      <c r="G26">
        <v>16.4748104768919</v>
      </c>
    </row>
    <row r="27" spans="2:28">
      <c r="B27" t="s">
        <v>167</v>
      </c>
      <c r="C27" t="s">
        <v>166</v>
      </c>
      <c r="D27">
        <v>29.218</v>
      </c>
      <c r="E27">
        <f>16.4748104768919-D27</f>
        <v>-12.7431895231081</v>
      </c>
      <c r="F27">
        <f>100*2^(E27)</f>
        <v>1.4585378811893894E-2</v>
      </c>
      <c r="H27">
        <f>F27/0.0168289046629349</f>
        <v>0.86668616312371793</v>
      </c>
    </row>
    <row r="28" spans="2:28">
      <c r="B28" t="s">
        <v>167</v>
      </c>
      <c r="C28" t="s">
        <v>166</v>
      </c>
      <c r="D28">
        <v>28.911999999999999</v>
      </c>
      <c r="E28">
        <f t="shared" ref="E28:E32" si="14">16.4748104768919-D28</f>
        <v>-12.437189523108099</v>
      </c>
      <c r="F28">
        <f t="shared" ref="F28:F32" si="15">100*2^(E28)</f>
        <v>1.8031542996305057E-2</v>
      </c>
      <c r="H28">
        <f t="shared" ref="H28:H32" si="16">F28/0.0168289046629349</f>
        <v>1.0714626624523536</v>
      </c>
    </row>
    <row r="29" spans="2:28">
      <c r="B29" t="s">
        <v>167</v>
      </c>
      <c r="C29" t="s">
        <v>166</v>
      </c>
      <c r="D29">
        <v>28.925000000000001</v>
      </c>
      <c r="E29">
        <f t="shared" si="14"/>
        <v>-12.450189523108101</v>
      </c>
      <c r="F29">
        <f t="shared" si="15"/>
        <v>1.7869792180605644E-2</v>
      </c>
      <c r="G29">
        <v>1.68289046629349E-2</v>
      </c>
      <c r="H29">
        <f t="shared" si="16"/>
        <v>1.0618511744239221</v>
      </c>
    </row>
    <row r="30" spans="2:28">
      <c r="B30" t="s">
        <v>168</v>
      </c>
      <c r="C30" t="s">
        <v>169</v>
      </c>
      <c r="D30">
        <v>28.556999999999999</v>
      </c>
      <c r="E30">
        <f t="shared" si="14"/>
        <v>-12.082189523108099</v>
      </c>
      <c r="F30">
        <f t="shared" si="15"/>
        <v>2.3062083500458175E-2</v>
      </c>
      <c r="H30">
        <f t="shared" si="16"/>
        <v>1.3703852961536851</v>
      </c>
    </row>
    <row r="31" spans="2:28">
      <c r="B31" t="s">
        <v>168</v>
      </c>
      <c r="C31" t="s">
        <v>169</v>
      </c>
      <c r="D31">
        <v>29.053999999999998</v>
      </c>
      <c r="E31">
        <f t="shared" si="14"/>
        <v>-12.579189523108099</v>
      </c>
      <c r="F31">
        <f t="shared" si="15"/>
        <v>1.6341301105782215E-2</v>
      </c>
      <c r="H31">
        <f t="shared" si="16"/>
        <v>0.97102582925514958</v>
      </c>
    </row>
    <row r="32" spans="2:28">
      <c r="B32" t="s">
        <v>168</v>
      </c>
      <c r="C32" t="s">
        <v>169</v>
      </c>
      <c r="D32">
        <v>28.632000000000001</v>
      </c>
      <c r="E32">
        <f t="shared" si="14"/>
        <v>-12.157189523108102</v>
      </c>
      <c r="F32">
        <f t="shared" si="15"/>
        <v>2.1893807263862905E-2</v>
      </c>
      <c r="H32">
        <f t="shared" si="16"/>
        <v>1.3009644835699428</v>
      </c>
    </row>
  </sheetData>
  <phoneticPr fontId="2" type="noConversion"/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9608CF-3507-4C40-94A9-0EF7F868F92D}">
  <dimension ref="A1"/>
  <sheetViews>
    <sheetView topLeftCell="A7" workbookViewId="0">
      <selection activeCell="C4" sqref="C4"/>
    </sheetView>
  </sheetViews>
  <sheetFormatPr baseColWidth="10" defaultRowHeight="16"/>
  <sheetData>
    <row r="1" spans="1:1">
      <c r="A1" t="s">
        <v>179</v>
      </c>
    </row>
  </sheetData>
  <phoneticPr fontId="2" type="noConversion"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CC376-7701-1645-A9BC-4DDEE3E8BFF4}">
  <dimension ref="A1"/>
  <sheetViews>
    <sheetView topLeftCell="A5" workbookViewId="0">
      <selection activeCell="A2" sqref="A2"/>
    </sheetView>
  </sheetViews>
  <sheetFormatPr baseColWidth="10" defaultRowHeight="16"/>
  <sheetData>
    <row r="1" spans="1:1">
      <c r="A1" t="s">
        <v>686</v>
      </c>
    </row>
  </sheetData>
  <phoneticPr fontId="2" type="noConversion"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815923-A490-2B45-B5C1-E039910F50A7}">
  <dimension ref="A1:Q24"/>
  <sheetViews>
    <sheetView topLeftCell="A6" zoomScale="109" workbookViewId="0">
      <selection activeCell="L21" sqref="L21"/>
    </sheetView>
  </sheetViews>
  <sheetFormatPr baseColWidth="10" defaultRowHeight="16"/>
  <sheetData>
    <row r="1" spans="1:17">
      <c r="A1" t="s">
        <v>184</v>
      </c>
    </row>
    <row r="6" spans="1:17">
      <c r="J6">
        <v>2.3856062735983121</v>
      </c>
      <c r="K6">
        <v>2.4313637641589874</v>
      </c>
      <c r="L6">
        <v>2.7226339225338121</v>
      </c>
      <c r="M6">
        <v>2.8061799739838871</v>
      </c>
      <c r="N6">
        <v>1.505149978319906</v>
      </c>
      <c r="O6">
        <v>1.954242509439325</v>
      </c>
      <c r="P6">
        <v>2.2068258760318495</v>
      </c>
      <c r="Q6">
        <v>2.3222192947339191</v>
      </c>
    </row>
    <row r="9" spans="1:17">
      <c r="C9">
        <v>1</v>
      </c>
      <c r="D9">
        <v>0.1</v>
      </c>
      <c r="E9">
        <v>0.01</v>
      </c>
      <c r="F9">
        <v>1E-3</v>
      </c>
    </row>
    <row r="10" spans="1:17">
      <c r="B10" t="s">
        <v>536</v>
      </c>
      <c r="C10">
        <v>243</v>
      </c>
      <c r="D10">
        <v>27</v>
      </c>
      <c r="G10">
        <v>243</v>
      </c>
      <c r="H10">
        <f>D10*10</f>
        <v>270</v>
      </c>
      <c r="J10">
        <f>LOG(G10)</f>
        <v>2.3856062735983121</v>
      </c>
      <c r="K10">
        <f>LOG(H10)</f>
        <v>2.4313637641589874</v>
      </c>
    </row>
    <row r="11" spans="1:17">
      <c r="B11" t="s">
        <v>537</v>
      </c>
      <c r="C11">
        <v>32</v>
      </c>
      <c r="D11">
        <v>9</v>
      </c>
      <c r="G11">
        <v>32</v>
      </c>
      <c r="H11">
        <f t="shared" ref="H11:H13" si="0">D11*10</f>
        <v>90</v>
      </c>
      <c r="J11">
        <f t="shared" ref="J11:K13" si="1">LOG(G11)</f>
        <v>1.505149978319906</v>
      </c>
      <c r="K11">
        <f t="shared" si="1"/>
        <v>1.954242509439325</v>
      </c>
    </row>
    <row r="12" spans="1:17">
      <c r="B12" t="s">
        <v>538</v>
      </c>
      <c r="C12">
        <v>528</v>
      </c>
      <c r="D12">
        <v>64</v>
      </c>
      <c r="G12">
        <v>528</v>
      </c>
      <c r="H12">
        <f t="shared" si="0"/>
        <v>640</v>
      </c>
      <c r="J12">
        <f t="shared" si="1"/>
        <v>2.7226339225338121</v>
      </c>
      <c r="K12">
        <f t="shared" si="1"/>
        <v>2.8061799739838871</v>
      </c>
    </row>
    <row r="13" spans="1:17">
      <c r="B13" t="s">
        <v>539</v>
      </c>
      <c r="C13">
        <v>161</v>
      </c>
      <c r="D13">
        <v>21</v>
      </c>
      <c r="G13">
        <v>161</v>
      </c>
      <c r="H13">
        <f t="shared" si="0"/>
        <v>210</v>
      </c>
      <c r="J13">
        <f t="shared" si="1"/>
        <v>2.2068258760318495</v>
      </c>
      <c r="K13">
        <f t="shared" si="1"/>
        <v>2.3222192947339191</v>
      </c>
    </row>
    <row r="19" spans="4:12">
      <c r="D19" s="90"/>
      <c r="E19" s="90"/>
      <c r="F19" s="90"/>
      <c r="G19" s="90"/>
      <c r="H19" s="90"/>
      <c r="I19" s="90" t="s">
        <v>663</v>
      </c>
      <c r="J19" s="90" t="s">
        <v>396</v>
      </c>
      <c r="K19" s="90" t="s">
        <v>664</v>
      </c>
      <c r="L19" s="101" t="s">
        <v>665</v>
      </c>
    </row>
    <row r="20" spans="4:12">
      <c r="D20" s="90" t="s">
        <v>186</v>
      </c>
      <c r="E20" s="90">
        <v>2.3856062735983121</v>
      </c>
      <c r="F20" s="90">
        <v>2.4313637641589874</v>
      </c>
      <c r="G20" s="90">
        <v>2.7226339225338121</v>
      </c>
      <c r="H20" s="90">
        <v>2.8061799739838871</v>
      </c>
      <c r="I20" s="90">
        <f>AVERAGE(E20:H20)</f>
        <v>2.5864459835687494</v>
      </c>
      <c r="J20" s="90">
        <f>STDEV(E20:H20)</f>
        <v>0.20913892124724048</v>
      </c>
      <c r="K20" s="90">
        <f>J20/SQRT(4)</f>
        <v>0.10456946062362024</v>
      </c>
      <c r="L20" s="94"/>
    </row>
    <row r="21" spans="4:12">
      <c r="D21" s="90" t="s">
        <v>195</v>
      </c>
      <c r="E21" s="90">
        <v>1.505149978319906</v>
      </c>
      <c r="F21" s="90">
        <v>1.954242509439325</v>
      </c>
      <c r="G21" s="90">
        <v>2.2068258760318495</v>
      </c>
      <c r="H21" s="90">
        <v>2.3222192947339191</v>
      </c>
      <c r="I21" s="90">
        <f>AVERAGE(E21:H21)</f>
        <v>1.9971094146312498</v>
      </c>
      <c r="J21" s="90">
        <f>STDEV(E21:H21)</f>
        <v>0.36218737639481147</v>
      </c>
      <c r="K21" s="90">
        <f>J21/SQRT(4)</f>
        <v>0.18109368819740573</v>
      </c>
      <c r="L21" s="94">
        <v>3.04E-2</v>
      </c>
    </row>
    <row r="22" spans="4:12">
      <c r="I22" s="52"/>
      <c r="J22" s="52"/>
      <c r="K22" s="52"/>
      <c r="L22" s="96"/>
    </row>
    <row r="23" spans="4:12">
      <c r="I23" s="52"/>
      <c r="J23" s="52"/>
      <c r="K23" s="52"/>
      <c r="L23" s="96"/>
    </row>
    <row r="24" spans="4:12">
      <c r="I24" s="52"/>
      <c r="J24" s="52"/>
      <c r="K24" s="52"/>
      <c r="L24" s="52"/>
    </row>
  </sheetData>
  <phoneticPr fontId="2" type="noConversion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4E2151-CA18-E24E-A6CF-8AF58DCA902F}">
  <dimension ref="A1:S28"/>
  <sheetViews>
    <sheetView topLeftCell="E10" zoomScale="83" zoomScaleNormal="100" workbookViewId="0">
      <selection activeCell="M19" sqref="M19:S20"/>
    </sheetView>
  </sheetViews>
  <sheetFormatPr baseColWidth="10" defaultRowHeight="16"/>
  <sheetData>
    <row r="1" spans="1:17">
      <c r="A1" t="s">
        <v>185</v>
      </c>
    </row>
    <row r="2" spans="1:17">
      <c r="P2" s="27" t="s">
        <v>442</v>
      </c>
      <c r="Q2" s="27" t="s">
        <v>445</v>
      </c>
    </row>
    <row r="3" spans="1:17">
      <c r="B3" s="27" t="s">
        <v>500</v>
      </c>
      <c r="C3" s="27" t="s">
        <v>23</v>
      </c>
      <c r="D3" s="27">
        <v>20.588999999999999</v>
      </c>
      <c r="E3" s="27" t="s">
        <v>442</v>
      </c>
      <c r="F3" s="27">
        <v>28.35</v>
      </c>
      <c r="G3" s="27" t="s">
        <v>445</v>
      </c>
      <c r="H3" s="27">
        <v>26.145</v>
      </c>
      <c r="J3">
        <f t="shared" ref="J3:J14" si="0">D3-F3</f>
        <v>-7.7610000000000028</v>
      </c>
      <c r="K3">
        <f t="shared" ref="K3:K14" si="1">D3-H3</f>
        <v>-5.5560000000000009</v>
      </c>
      <c r="L3">
        <f>POWER(2,J3)</f>
        <v>4.6100560286570303E-3</v>
      </c>
      <c r="M3">
        <f>POWER(2,K3)</f>
        <v>2.1255794568843037E-2</v>
      </c>
      <c r="N3">
        <f>AVERAGE(L3:L5)</f>
        <v>4.9671413710744971E-3</v>
      </c>
      <c r="O3">
        <f>AVERAGE(M3:M5)</f>
        <v>1.7405353986113512E-2</v>
      </c>
      <c r="P3" s="27">
        <f>L3/0.0049671413710745</f>
        <v>0.92811049339225382</v>
      </c>
      <c r="Q3" s="27">
        <f>M3/0.0174053539861135</f>
        <v>1.2212216186928191</v>
      </c>
    </row>
    <row r="4" spans="1:17">
      <c r="B4" s="27" t="s">
        <v>500</v>
      </c>
      <c r="C4" s="27" t="s">
        <v>23</v>
      </c>
      <c r="D4" s="27">
        <v>20.498000000000001</v>
      </c>
      <c r="E4" s="27" t="s">
        <v>442</v>
      </c>
      <c r="F4" s="27">
        <v>28.22</v>
      </c>
      <c r="G4" s="27" t="s">
        <v>445</v>
      </c>
      <c r="H4" s="27">
        <v>26.428000000000001</v>
      </c>
      <c r="J4">
        <f t="shared" si="0"/>
        <v>-7.7219999999999978</v>
      </c>
      <c r="K4">
        <f t="shared" si="1"/>
        <v>-5.93</v>
      </c>
      <c r="L4">
        <f t="shared" ref="L4:M5" si="2">POWER(2,J4)</f>
        <v>4.7363781994599185E-3</v>
      </c>
      <c r="M4">
        <f t="shared" si="2"/>
        <v>1.6401823181610431E-2</v>
      </c>
      <c r="N4">
        <v>4.9671413710744971E-3</v>
      </c>
      <c r="O4">
        <v>1.7405353986113512E-2</v>
      </c>
      <c r="P4" s="27">
        <f t="shared" ref="P4:P5" si="3">L4/0.0049671413710745</f>
        <v>0.95354205681392512</v>
      </c>
      <c r="Q4" s="27">
        <f t="shared" ref="Q4:Q5" si="4">M4/0.0174053539861135</f>
        <v>0.94234355674100545</v>
      </c>
    </row>
    <row r="5" spans="1:17">
      <c r="B5" s="27" t="s">
        <v>500</v>
      </c>
      <c r="C5" s="27" t="s">
        <v>23</v>
      </c>
      <c r="D5" s="27">
        <v>20.245000000000001</v>
      </c>
      <c r="E5" s="27" t="s">
        <v>442</v>
      </c>
      <c r="F5" s="27">
        <v>27.737000000000002</v>
      </c>
      <c r="G5" s="27" t="s">
        <v>445</v>
      </c>
      <c r="H5" s="27">
        <v>26.347000000000001</v>
      </c>
      <c r="J5">
        <f t="shared" si="0"/>
        <v>-7.4920000000000009</v>
      </c>
      <c r="K5">
        <f t="shared" si="1"/>
        <v>-6.1020000000000003</v>
      </c>
      <c r="L5">
        <f t="shared" si="2"/>
        <v>5.5549898851065416E-3</v>
      </c>
      <c r="M5">
        <f t="shared" si="2"/>
        <v>1.4558444207887076E-2</v>
      </c>
      <c r="P5" s="27">
        <f t="shared" si="3"/>
        <v>1.1183474497938193</v>
      </c>
      <c r="Q5" s="27">
        <f t="shared" si="4"/>
        <v>0.83643482456617824</v>
      </c>
    </row>
    <row r="6" spans="1:17">
      <c r="B6" s="27" t="s">
        <v>501</v>
      </c>
      <c r="C6" s="27" t="s">
        <v>23</v>
      </c>
      <c r="D6" s="27">
        <v>19.945</v>
      </c>
      <c r="E6" s="27" t="s">
        <v>442</v>
      </c>
      <c r="F6" s="27">
        <v>22.875</v>
      </c>
      <c r="G6" s="27" t="s">
        <v>445</v>
      </c>
      <c r="H6" s="27">
        <v>20.596</v>
      </c>
      <c r="J6">
        <f t="shared" si="0"/>
        <v>-2.9299999999999997</v>
      </c>
      <c r="K6">
        <f t="shared" si="1"/>
        <v>-0.6509999999999998</v>
      </c>
      <c r="L6">
        <f t="shared" ref="L6:L14" si="5">POWER(2,J6)</f>
        <v>0.13121458545288345</v>
      </c>
      <c r="M6">
        <f t="shared" ref="M6:M14" si="6">POWER(2,K6)</f>
        <v>0.63683873766324983</v>
      </c>
      <c r="P6" s="27">
        <f t="shared" ref="P6:P14" si="7">L6/0.0049671413710745</f>
        <v>26.416519211028398</v>
      </c>
      <c r="Q6" s="27">
        <f t="shared" ref="Q6:Q14" si="8">M6/0.0174053539861135</f>
        <v>36.588669105571682</v>
      </c>
    </row>
    <row r="7" spans="1:17">
      <c r="B7" s="27" t="s">
        <v>501</v>
      </c>
      <c r="C7" s="27" t="s">
        <v>23</v>
      </c>
      <c r="D7" s="27">
        <v>20.771999999999998</v>
      </c>
      <c r="E7" s="27" t="s">
        <v>442</v>
      </c>
      <c r="F7" s="27">
        <v>22.809000000000001</v>
      </c>
      <c r="G7" s="27" t="s">
        <v>445</v>
      </c>
      <c r="H7" s="27">
        <v>20.600999999999999</v>
      </c>
      <c r="J7">
        <f t="shared" si="0"/>
        <v>-2.0370000000000026</v>
      </c>
      <c r="K7">
        <f t="shared" si="1"/>
        <v>0.17099999999999937</v>
      </c>
      <c r="L7">
        <f t="shared" si="5"/>
        <v>0.24366990772288682</v>
      </c>
      <c r="M7">
        <f t="shared" si="6"/>
        <v>1.1258385861367621</v>
      </c>
      <c r="P7" s="27">
        <f t="shared" si="7"/>
        <v>49.056366533448546</v>
      </c>
      <c r="Q7" s="27">
        <f t="shared" si="8"/>
        <v>64.683463894787153</v>
      </c>
    </row>
    <row r="8" spans="1:17">
      <c r="B8" s="27" t="s">
        <v>501</v>
      </c>
      <c r="C8" s="27" t="s">
        <v>23</v>
      </c>
      <c r="D8" s="27">
        <v>19.943000000000001</v>
      </c>
      <c r="E8" s="27" t="s">
        <v>442</v>
      </c>
      <c r="F8" s="27">
        <v>22.670999999999999</v>
      </c>
      <c r="G8" s="27" t="s">
        <v>445</v>
      </c>
      <c r="H8" s="27">
        <v>20.103999999999999</v>
      </c>
      <c r="J8">
        <f t="shared" si="0"/>
        <v>-2.727999999999998</v>
      </c>
      <c r="K8">
        <f t="shared" si="1"/>
        <v>-0.16099999999999781</v>
      </c>
      <c r="L8">
        <f t="shared" si="5"/>
        <v>0.15093507393581226</v>
      </c>
      <c r="M8">
        <f t="shared" si="6"/>
        <v>0.89440490178260701</v>
      </c>
      <c r="P8" s="27">
        <f t="shared" si="7"/>
        <v>30.386707898986526</v>
      </c>
      <c r="Q8" s="27">
        <f t="shared" si="8"/>
        <v>51.386768835393376</v>
      </c>
    </row>
    <row r="9" spans="1:17">
      <c r="B9" s="27" t="s">
        <v>502</v>
      </c>
      <c r="C9" s="27" t="s">
        <v>23</v>
      </c>
      <c r="D9" s="27">
        <v>19.602</v>
      </c>
      <c r="E9" s="27" t="s">
        <v>442</v>
      </c>
      <c r="F9" s="27">
        <v>28.100999999999999</v>
      </c>
      <c r="G9" s="27" t="s">
        <v>445</v>
      </c>
      <c r="H9" s="27">
        <v>25.98</v>
      </c>
      <c r="J9">
        <f t="shared" si="0"/>
        <v>-8.4989999999999988</v>
      </c>
      <c r="K9">
        <f t="shared" si="1"/>
        <v>-6.3780000000000001</v>
      </c>
      <c r="L9">
        <f t="shared" si="5"/>
        <v>2.7640510943880039E-3</v>
      </c>
      <c r="M9">
        <f t="shared" si="6"/>
        <v>1.2023493907506734E-2</v>
      </c>
      <c r="P9" s="27">
        <f t="shared" si="7"/>
        <v>0.55646716851750888</v>
      </c>
      <c r="Q9" s="27">
        <f t="shared" si="8"/>
        <v>0.69079283978363382</v>
      </c>
    </row>
    <row r="10" spans="1:17">
      <c r="B10" s="27" t="s">
        <v>502</v>
      </c>
      <c r="C10" s="27" t="s">
        <v>23</v>
      </c>
      <c r="D10" s="27">
        <v>19.454999999999998</v>
      </c>
      <c r="E10" s="27" t="s">
        <v>442</v>
      </c>
      <c r="F10" s="27">
        <v>27.956</v>
      </c>
      <c r="G10" s="27" t="s">
        <v>445</v>
      </c>
      <c r="H10" s="27">
        <v>25.306999999999999</v>
      </c>
      <c r="J10">
        <f t="shared" si="0"/>
        <v>-8.5010000000000012</v>
      </c>
      <c r="K10">
        <f t="shared" si="1"/>
        <v>-5.8520000000000003</v>
      </c>
      <c r="L10">
        <f t="shared" si="5"/>
        <v>2.7602219607084535E-3</v>
      </c>
      <c r="M10">
        <f t="shared" si="6"/>
        <v>1.731300543538947E-2</v>
      </c>
      <c r="P10" s="27">
        <f t="shared" si="7"/>
        <v>0.55569627568529578</v>
      </c>
      <c r="Q10" s="27">
        <f t="shared" si="8"/>
        <v>0.99469424461015232</v>
      </c>
    </row>
    <row r="11" spans="1:17">
      <c r="B11" s="27" t="s">
        <v>502</v>
      </c>
      <c r="C11" s="27" t="s">
        <v>23</v>
      </c>
      <c r="D11" s="27">
        <v>19.713999999999999</v>
      </c>
      <c r="E11" s="27" t="s">
        <v>442</v>
      </c>
      <c r="F11" s="27">
        <v>28.003999999999998</v>
      </c>
      <c r="G11" s="27" t="s">
        <v>445</v>
      </c>
      <c r="H11" s="27">
        <v>25.82</v>
      </c>
      <c r="J11">
        <f t="shared" si="0"/>
        <v>-8.2899999999999991</v>
      </c>
      <c r="K11">
        <f t="shared" si="1"/>
        <v>-6.1060000000000016</v>
      </c>
      <c r="L11">
        <f t="shared" si="5"/>
        <v>3.1949299162413341E-3</v>
      </c>
      <c r="M11">
        <f t="shared" si="6"/>
        <v>1.45181355351705E-2</v>
      </c>
      <c r="P11" s="27">
        <f t="shared" si="7"/>
        <v>0.64321300272357695</v>
      </c>
      <c r="Q11" s="27">
        <f t="shared" si="8"/>
        <v>0.83411894677657772</v>
      </c>
    </row>
    <row r="12" spans="1:17">
      <c r="B12" s="27" t="s">
        <v>503</v>
      </c>
      <c r="C12" s="27" t="s">
        <v>23</v>
      </c>
      <c r="D12" s="27">
        <v>19.905000000000001</v>
      </c>
      <c r="E12" s="27" t="s">
        <v>442</v>
      </c>
      <c r="F12" s="27">
        <v>20.39</v>
      </c>
      <c r="G12" s="27" t="s">
        <v>445</v>
      </c>
      <c r="H12" s="27">
        <v>18.780999999999999</v>
      </c>
      <c r="J12">
        <f t="shared" si="0"/>
        <v>-0.48499999999999943</v>
      </c>
      <c r="K12">
        <f t="shared" si="1"/>
        <v>1.1240000000000023</v>
      </c>
      <c r="L12">
        <f t="shared" si="5"/>
        <v>0.71449706987054673</v>
      </c>
      <c r="M12">
        <f t="shared" si="6"/>
        <v>2.1795042244266596</v>
      </c>
      <c r="P12" s="27">
        <f t="shared" si="7"/>
        <v>143.84472204300994</v>
      </c>
      <c r="Q12" s="27">
        <f t="shared" si="8"/>
        <v>125.22033313229549</v>
      </c>
    </row>
    <row r="13" spans="1:17">
      <c r="B13" s="27" t="s">
        <v>503</v>
      </c>
      <c r="C13" s="27" t="s">
        <v>23</v>
      </c>
      <c r="D13" s="27">
        <v>20.315000000000001</v>
      </c>
      <c r="E13" s="27" t="s">
        <v>442</v>
      </c>
      <c r="F13" s="27">
        <v>21.341999999999999</v>
      </c>
      <c r="G13" s="27" t="s">
        <v>445</v>
      </c>
      <c r="H13" s="27">
        <v>18.398</v>
      </c>
      <c r="J13">
        <f t="shared" si="0"/>
        <v>-1.0269999999999975</v>
      </c>
      <c r="K13">
        <f t="shared" si="1"/>
        <v>1.9170000000000016</v>
      </c>
      <c r="L13">
        <f t="shared" si="5"/>
        <v>0.49072953192674051</v>
      </c>
      <c r="M13">
        <f t="shared" si="6"/>
        <v>3.776369676601004</v>
      </c>
      <c r="P13" s="27">
        <f t="shared" si="7"/>
        <v>98.795161092945733</v>
      </c>
      <c r="Q13" s="27">
        <f t="shared" si="8"/>
        <v>216.96597952640909</v>
      </c>
    </row>
    <row r="14" spans="1:17">
      <c r="B14" s="27" t="s">
        <v>503</v>
      </c>
      <c r="C14" s="27" t="s">
        <v>23</v>
      </c>
      <c r="D14" s="27">
        <v>20.042999999999999</v>
      </c>
      <c r="E14" s="27" t="s">
        <v>442</v>
      </c>
      <c r="F14" s="27">
        <v>21.34</v>
      </c>
      <c r="G14" s="27" t="s">
        <v>445</v>
      </c>
      <c r="H14" s="27">
        <v>18.420000000000002</v>
      </c>
      <c r="J14">
        <f t="shared" si="0"/>
        <v>-1.2970000000000006</v>
      </c>
      <c r="K14">
        <f t="shared" si="1"/>
        <v>1.6229999999999976</v>
      </c>
      <c r="L14">
        <f t="shared" si="5"/>
        <v>0.40697159253521714</v>
      </c>
      <c r="M14">
        <f t="shared" si="6"/>
        <v>3.0801486969442804</v>
      </c>
      <c r="P14" s="27">
        <f t="shared" si="7"/>
        <v>81.932758126266179</v>
      </c>
      <c r="Q14" s="27">
        <f t="shared" si="8"/>
        <v>176.96558768076267</v>
      </c>
    </row>
    <row r="19" spans="6:19">
      <c r="F19" s="90" t="s">
        <v>152</v>
      </c>
      <c r="G19" s="90" t="s">
        <v>266</v>
      </c>
      <c r="H19" s="90"/>
      <c r="I19" s="90"/>
      <c r="J19" s="90" t="s">
        <v>267</v>
      </c>
      <c r="K19" s="90"/>
      <c r="L19" s="90"/>
      <c r="M19" s="90" t="s">
        <v>663</v>
      </c>
      <c r="N19" s="90" t="s">
        <v>396</v>
      </c>
      <c r="O19" s="90" t="s">
        <v>664</v>
      </c>
      <c r="P19" s="90" t="s">
        <v>663</v>
      </c>
      <c r="Q19" s="90" t="s">
        <v>396</v>
      </c>
      <c r="R19" s="90" t="s">
        <v>664</v>
      </c>
      <c r="S19" s="101" t="s">
        <v>665</v>
      </c>
    </row>
    <row r="20" spans="6:19">
      <c r="F20" s="90" t="s">
        <v>2</v>
      </c>
      <c r="G20" s="90">
        <v>0.92811049339225382</v>
      </c>
      <c r="H20" s="90">
        <v>0.95354205681392512</v>
      </c>
      <c r="I20" s="90">
        <v>1.1183474497938193</v>
      </c>
      <c r="J20" s="90">
        <v>0.55646716851750888</v>
      </c>
      <c r="K20" s="90">
        <v>0.55569627568529578</v>
      </c>
      <c r="L20" s="90">
        <v>0.64321300272357695</v>
      </c>
      <c r="M20" s="90">
        <f>AVERAGE(G20:I20)</f>
        <v>0.99999999999999944</v>
      </c>
      <c r="N20" s="90">
        <f>STDEV(G20:I20)</f>
        <v>0.10327768519405903</v>
      </c>
      <c r="O20" s="90">
        <f>N20/SQRT(3)</f>
        <v>5.962739934807141E-2</v>
      </c>
      <c r="P20" s="90">
        <f>AVERAGE(J20:L20)</f>
        <v>0.5851254823087938</v>
      </c>
      <c r="Q20" s="90">
        <f>STDEV(J20:L20)</f>
        <v>5.0306744974139103E-2</v>
      </c>
      <c r="R20" s="90">
        <f>Q20/SQRT(3)</f>
        <v>2.9044612752873067E-2</v>
      </c>
      <c r="S20" s="94">
        <v>0.99950000000000006</v>
      </c>
    </row>
    <row r="21" spans="6:19">
      <c r="F21" s="90" t="s">
        <v>627</v>
      </c>
      <c r="G21" s="90">
        <v>26.416519211028398</v>
      </c>
      <c r="H21" s="90">
        <v>49.056366533448546</v>
      </c>
      <c r="I21" s="90">
        <v>30.386707898986526</v>
      </c>
      <c r="J21" s="90">
        <v>143.84472204300994</v>
      </c>
      <c r="K21" s="90">
        <v>98.795161092945733</v>
      </c>
      <c r="L21" s="90">
        <v>81.932758126266179</v>
      </c>
      <c r="M21" s="90">
        <f>AVERAGE(G21:I21)</f>
        <v>35.286531214487823</v>
      </c>
      <c r="N21" s="90">
        <f t="shared" ref="N21" si="9">STDEV(G21:I21)</f>
        <v>12.089122097487941</v>
      </c>
      <c r="O21" s="90">
        <f t="shared" ref="O21" si="10">N21/SQRT(3)</f>
        <v>6.9796578972509167</v>
      </c>
      <c r="P21" s="90">
        <f t="shared" ref="P21" si="11">AVERAGE(J21:L21)</f>
        <v>108.19088042074061</v>
      </c>
      <c r="Q21" s="90">
        <f t="shared" ref="Q21" si="12">STDEV(J21:L21)</f>
        <v>32.007537788340898</v>
      </c>
      <c r="R21" s="90">
        <f t="shared" ref="R21" si="13">Q21/SQRT(3)</f>
        <v>18.479560558195736</v>
      </c>
      <c r="S21" s="94">
        <v>1.6000000000000001E-3</v>
      </c>
    </row>
    <row r="22" spans="6:19">
      <c r="F22" s="90"/>
      <c r="G22" s="90"/>
      <c r="H22" s="90"/>
      <c r="I22" s="90"/>
      <c r="J22" s="90"/>
      <c r="K22" s="90"/>
      <c r="L22" s="90"/>
      <c r="M22" s="90"/>
      <c r="N22" s="90"/>
      <c r="O22" s="90"/>
      <c r="P22" s="90"/>
      <c r="Q22" s="90"/>
      <c r="R22" s="90"/>
      <c r="S22" s="94"/>
    </row>
    <row r="23" spans="6:19">
      <c r="F23" s="90"/>
      <c r="G23" s="90"/>
      <c r="H23" s="90"/>
      <c r="I23" s="90"/>
      <c r="J23" s="90"/>
      <c r="K23" s="90"/>
      <c r="L23" s="90"/>
      <c r="M23" s="90"/>
      <c r="N23" s="90"/>
      <c r="O23" s="90"/>
      <c r="P23" s="90"/>
      <c r="Q23" s="90"/>
      <c r="R23" s="90"/>
      <c r="S23" s="94"/>
    </row>
    <row r="24" spans="6:19">
      <c r="F24" s="90"/>
      <c r="G24" s="90"/>
      <c r="H24" s="90"/>
      <c r="I24" s="90"/>
      <c r="J24" s="90"/>
      <c r="K24" s="90"/>
      <c r="L24" s="90"/>
      <c r="M24" s="90"/>
      <c r="N24" s="90"/>
      <c r="O24" s="90"/>
      <c r="P24" s="90"/>
      <c r="Q24" s="90"/>
      <c r="R24" s="90"/>
      <c r="S24" s="90"/>
    </row>
    <row r="25" spans="6:19">
      <c r="F25" s="90"/>
      <c r="G25" s="90"/>
      <c r="H25" s="90"/>
      <c r="I25" s="90"/>
      <c r="J25" s="90"/>
      <c r="K25" s="90"/>
      <c r="L25" s="90"/>
      <c r="M25" s="90"/>
      <c r="N25" s="90"/>
      <c r="O25" s="90"/>
      <c r="P25" s="90"/>
      <c r="Q25" s="90"/>
      <c r="R25" s="90"/>
      <c r="S25" s="90"/>
    </row>
    <row r="26" spans="6:19">
      <c r="F26" s="90" t="s">
        <v>445</v>
      </c>
      <c r="G26" s="90" t="s">
        <v>266</v>
      </c>
      <c r="H26" s="90"/>
      <c r="I26" s="90"/>
      <c r="J26" s="90" t="s">
        <v>267</v>
      </c>
      <c r="K26" s="90"/>
      <c r="L26" s="90"/>
      <c r="M26" s="90" t="s">
        <v>663</v>
      </c>
      <c r="N26" s="90" t="s">
        <v>396</v>
      </c>
      <c r="O26" s="90" t="s">
        <v>664</v>
      </c>
      <c r="P26" s="90" t="s">
        <v>663</v>
      </c>
      <c r="Q26" s="90" t="s">
        <v>396</v>
      </c>
      <c r="R26" s="90" t="s">
        <v>664</v>
      </c>
      <c r="S26" s="101" t="s">
        <v>665</v>
      </c>
    </row>
    <row r="27" spans="6:19">
      <c r="F27" s="90" t="s">
        <v>2</v>
      </c>
      <c r="G27" s="90">
        <v>1.2212216186928191</v>
      </c>
      <c r="H27" s="90">
        <v>0.94234355674100545</v>
      </c>
      <c r="I27" s="90">
        <v>0.83643482456617824</v>
      </c>
      <c r="J27" s="90">
        <v>0.69079283978363382</v>
      </c>
      <c r="K27" s="90">
        <v>0.99469424461015232</v>
      </c>
      <c r="L27" s="90">
        <v>0.83411894677657772</v>
      </c>
      <c r="M27" s="90">
        <f>AVERAGE(G27:I27)</f>
        <v>1.0000000000000009</v>
      </c>
      <c r="N27" s="90">
        <f>STDEV(G27:I27)</f>
        <v>0.19876724659893788</v>
      </c>
      <c r="O27" s="90">
        <f>N27/SQRT(3)</f>
        <v>0.11475832332997751</v>
      </c>
      <c r="P27" s="90">
        <f>AVERAGE(J27:L27)</f>
        <v>0.83986867705678792</v>
      </c>
      <c r="Q27" s="90">
        <f>STDEV(J27:L27)</f>
        <v>0.15203226799796254</v>
      </c>
      <c r="R27" s="90">
        <f>Q27/SQRT(3)</f>
        <v>8.7775870854133006E-2</v>
      </c>
      <c r="S27" s="94" t="s">
        <v>681</v>
      </c>
    </row>
    <row r="28" spans="6:19">
      <c r="F28" s="90" t="s">
        <v>627</v>
      </c>
      <c r="G28" s="90">
        <v>36.588669105571682</v>
      </c>
      <c r="H28" s="90">
        <v>64.683463894787153</v>
      </c>
      <c r="I28" s="90">
        <v>51.386768835393376</v>
      </c>
      <c r="J28" s="90">
        <v>125.22033313229549</v>
      </c>
      <c r="K28" s="90">
        <v>216.96597952640909</v>
      </c>
      <c r="L28" s="90">
        <v>176.96558768076267</v>
      </c>
      <c r="M28" s="90">
        <f>AVERAGE(G28:I28)</f>
        <v>50.886300611917399</v>
      </c>
      <c r="N28" s="90">
        <f t="shared" ref="N28" si="14">STDEV(G28:I28)</f>
        <v>14.0540821434224</v>
      </c>
      <c r="O28" s="90">
        <f t="shared" ref="O28" si="15">N28/SQRT(3)</f>
        <v>8.1141281087180364</v>
      </c>
      <c r="P28" s="90">
        <f t="shared" ref="P28" si="16">AVERAGE(J28:L28)</f>
        <v>173.05063344648909</v>
      </c>
      <c r="Q28" s="90">
        <f t="shared" ref="Q28" si="17">STDEV(J28:L28)</f>
        <v>45.997946237422113</v>
      </c>
      <c r="R28" s="90">
        <f t="shared" ref="R28" si="18">Q28/SQRT(3)</f>
        <v>26.556926642345591</v>
      </c>
      <c r="S28" s="94">
        <v>5.0000000000000001E-4</v>
      </c>
    </row>
  </sheetData>
  <phoneticPr fontId="2" type="noConversion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3009-8578-FB4E-9230-EEB5EC201186}">
  <dimension ref="A1:U42"/>
  <sheetViews>
    <sheetView topLeftCell="A18" workbookViewId="0">
      <selection activeCell="D34" sqref="D34:I34"/>
    </sheetView>
  </sheetViews>
  <sheetFormatPr baseColWidth="10" defaultRowHeight="16"/>
  <sheetData>
    <row r="1" spans="1:17">
      <c r="A1" t="s">
        <v>193</v>
      </c>
    </row>
    <row r="2" spans="1:17">
      <c r="I2" t="s">
        <v>195</v>
      </c>
      <c r="N2" t="s">
        <v>195</v>
      </c>
    </row>
    <row r="3" spans="1:17">
      <c r="D3" t="s">
        <v>186</v>
      </c>
      <c r="I3" t="s">
        <v>187</v>
      </c>
      <c r="N3" t="s">
        <v>188</v>
      </c>
    </row>
    <row r="4" spans="1:17">
      <c r="D4" t="s">
        <v>189</v>
      </c>
      <c r="E4" t="s">
        <v>190</v>
      </c>
      <c r="F4" t="s">
        <v>191</v>
      </c>
      <c r="G4" t="s">
        <v>192</v>
      </c>
      <c r="I4" t="s">
        <v>189</v>
      </c>
      <c r="J4" t="s">
        <v>190</v>
      </c>
      <c r="K4" t="s">
        <v>191</v>
      </c>
      <c r="L4" t="s">
        <v>192</v>
      </c>
      <c r="N4" t="s">
        <v>189</v>
      </c>
      <c r="O4" t="s">
        <v>190</v>
      </c>
      <c r="P4" t="s">
        <v>191</v>
      </c>
      <c r="Q4" t="s">
        <v>192</v>
      </c>
    </row>
    <row r="5" spans="1:17">
      <c r="C5">
        <v>1</v>
      </c>
      <c r="E5">
        <v>121</v>
      </c>
      <c r="F5">
        <v>13</v>
      </c>
      <c r="G5">
        <v>2</v>
      </c>
      <c r="H5">
        <v>1</v>
      </c>
      <c r="I5">
        <v>33</v>
      </c>
      <c r="J5">
        <v>1</v>
      </c>
      <c r="M5">
        <v>1</v>
      </c>
      <c r="N5">
        <v>97</v>
      </c>
      <c r="O5">
        <v>7</v>
      </c>
    </row>
    <row r="6" spans="1:17">
      <c r="C6">
        <v>2</v>
      </c>
      <c r="E6">
        <v>25</v>
      </c>
      <c r="F6">
        <v>2</v>
      </c>
      <c r="H6">
        <v>2</v>
      </c>
      <c r="J6">
        <v>18</v>
      </c>
      <c r="K6">
        <v>2</v>
      </c>
      <c r="M6">
        <v>2</v>
      </c>
      <c r="N6">
        <v>29</v>
      </c>
      <c r="O6">
        <v>1</v>
      </c>
    </row>
    <row r="7" spans="1:17">
      <c r="C7">
        <v>3</v>
      </c>
      <c r="D7">
        <v>36</v>
      </c>
      <c r="E7">
        <v>3</v>
      </c>
      <c r="H7">
        <v>3</v>
      </c>
      <c r="J7">
        <v>17</v>
      </c>
      <c r="K7">
        <v>1</v>
      </c>
      <c r="M7">
        <v>3</v>
      </c>
      <c r="O7">
        <v>95</v>
      </c>
      <c r="P7">
        <v>4</v>
      </c>
    </row>
    <row r="8" spans="1:17">
      <c r="C8">
        <v>4</v>
      </c>
      <c r="D8">
        <v>38</v>
      </c>
      <c r="E8">
        <v>5</v>
      </c>
      <c r="H8">
        <v>4</v>
      </c>
      <c r="I8">
        <v>177</v>
      </c>
      <c r="J8">
        <v>1</v>
      </c>
      <c r="M8">
        <v>4</v>
      </c>
      <c r="N8">
        <v>0</v>
      </c>
    </row>
    <row r="9" spans="1:17">
      <c r="C9">
        <v>5</v>
      </c>
      <c r="E9">
        <v>107</v>
      </c>
      <c r="F9">
        <v>3</v>
      </c>
      <c r="H9">
        <v>5</v>
      </c>
      <c r="J9">
        <v>32</v>
      </c>
      <c r="M9">
        <v>5</v>
      </c>
      <c r="N9">
        <v>82</v>
      </c>
      <c r="O9">
        <v>8</v>
      </c>
    </row>
    <row r="10" spans="1:17">
      <c r="C10">
        <v>6</v>
      </c>
      <c r="D10">
        <v>77</v>
      </c>
      <c r="E10">
        <v>5</v>
      </c>
      <c r="H10">
        <v>6</v>
      </c>
      <c r="I10">
        <v>63</v>
      </c>
      <c r="J10">
        <v>4</v>
      </c>
      <c r="M10">
        <v>6</v>
      </c>
      <c r="N10">
        <v>0</v>
      </c>
    </row>
    <row r="12" spans="1:17">
      <c r="I12" t="s">
        <v>195</v>
      </c>
      <c r="N12" t="s">
        <v>195</v>
      </c>
    </row>
    <row r="13" spans="1:17">
      <c r="D13" t="s">
        <v>186</v>
      </c>
      <c r="I13" t="s">
        <v>187</v>
      </c>
      <c r="N13" t="s">
        <v>188</v>
      </c>
    </row>
    <row r="14" spans="1:17">
      <c r="C14">
        <v>1</v>
      </c>
      <c r="D14">
        <f>1000*(200+130+121)/3/0.1</f>
        <v>1503333.3333333333</v>
      </c>
      <c r="H14">
        <v>1</v>
      </c>
      <c r="I14">
        <f>1000*(10+33)/2/1</f>
        <v>21500</v>
      </c>
      <c r="M14">
        <v>1</v>
      </c>
      <c r="N14">
        <f>1000*(70+97)/2/1</f>
        <v>83500</v>
      </c>
    </row>
    <row r="15" spans="1:17">
      <c r="C15">
        <v>2</v>
      </c>
      <c r="D15">
        <f>1000*(20+25)/2/0.1</f>
        <v>225000</v>
      </c>
      <c r="H15">
        <v>2</v>
      </c>
      <c r="I15">
        <f>1000*(20+18)/2/0.1</f>
        <v>190000</v>
      </c>
      <c r="M15">
        <v>2</v>
      </c>
      <c r="N15">
        <f>1000*(10+29)/2/1</f>
        <v>19500</v>
      </c>
    </row>
    <row r="16" spans="1:17">
      <c r="C16">
        <v>3</v>
      </c>
      <c r="D16">
        <f>1000*(30+36)/2/1</f>
        <v>33000</v>
      </c>
      <c r="H16">
        <v>3</v>
      </c>
      <c r="I16">
        <f>1000*(10+17)/2/0.1</f>
        <v>135000</v>
      </c>
      <c r="M16">
        <v>3</v>
      </c>
      <c r="N16">
        <f>1000*(40+95)/2/0.1</f>
        <v>675000</v>
      </c>
    </row>
    <row r="17" spans="2:14">
      <c r="C17">
        <v>4</v>
      </c>
      <c r="D17">
        <f>1000*(50+38)/2/1</f>
        <v>44000</v>
      </c>
      <c r="H17">
        <v>4</v>
      </c>
      <c r="I17">
        <f>1000*(10+177)/2/1</f>
        <v>93500</v>
      </c>
      <c r="M17">
        <v>4</v>
      </c>
      <c r="N17">
        <v>0</v>
      </c>
    </row>
    <row r="18" spans="2:14">
      <c r="C18">
        <v>5</v>
      </c>
      <c r="D18">
        <f>1000*(30+107)/2/0.1</f>
        <v>685000</v>
      </c>
      <c r="H18">
        <v>5</v>
      </c>
      <c r="I18">
        <f>1000*32/0.1</f>
        <v>320000</v>
      </c>
      <c r="M18">
        <v>5</v>
      </c>
      <c r="N18">
        <f>1000*(80+82)/2/1</f>
        <v>81000</v>
      </c>
    </row>
    <row r="19" spans="2:14">
      <c r="C19">
        <v>6</v>
      </c>
      <c r="D19">
        <f>1000*(50+77)/2/1</f>
        <v>63500</v>
      </c>
      <c r="H19">
        <v>6</v>
      </c>
      <c r="I19">
        <f>1000*(40+63)/2/1</f>
        <v>51500</v>
      </c>
      <c r="M19">
        <v>6</v>
      </c>
      <c r="N19">
        <v>0</v>
      </c>
    </row>
    <row r="21" spans="2:14">
      <c r="B21" t="s">
        <v>194</v>
      </c>
      <c r="C21" t="s">
        <v>186</v>
      </c>
      <c r="D21">
        <v>1503333.3333333333</v>
      </c>
      <c r="E21">
        <v>225000</v>
      </c>
      <c r="F21">
        <v>33000</v>
      </c>
      <c r="G21">
        <v>44000</v>
      </c>
      <c r="H21">
        <v>685000</v>
      </c>
      <c r="I21">
        <v>63500</v>
      </c>
    </row>
    <row r="22" spans="2:14">
      <c r="C22" t="s">
        <v>187</v>
      </c>
      <c r="D22">
        <v>21500</v>
      </c>
      <c r="E22">
        <v>190000</v>
      </c>
      <c r="F22">
        <v>135000</v>
      </c>
      <c r="G22">
        <v>93500</v>
      </c>
      <c r="H22">
        <v>320000</v>
      </c>
      <c r="I22">
        <v>51500</v>
      </c>
    </row>
    <row r="23" spans="2:14">
      <c r="C23" t="s">
        <v>188</v>
      </c>
      <c r="D23">
        <v>83500</v>
      </c>
      <c r="E23">
        <v>19500</v>
      </c>
      <c r="F23">
        <v>675000</v>
      </c>
      <c r="G23">
        <v>0</v>
      </c>
      <c r="H23">
        <v>81000</v>
      </c>
      <c r="I23">
        <v>0</v>
      </c>
    </row>
    <row r="27" spans="2:14">
      <c r="B27" t="s">
        <v>420</v>
      </c>
      <c r="C27" t="s">
        <v>186</v>
      </c>
      <c r="D27">
        <f>LOG10(D21)</f>
        <v>6.1770552871582982</v>
      </c>
      <c r="E27">
        <f t="shared" ref="E27:I27" si="0">LOG10(E21)</f>
        <v>5.3521825181113627</v>
      </c>
      <c r="F27">
        <f t="shared" si="0"/>
        <v>4.5185139398778871</v>
      </c>
      <c r="G27">
        <f t="shared" si="0"/>
        <v>4.6434526764861879</v>
      </c>
      <c r="H27">
        <f t="shared" si="0"/>
        <v>5.8356905714924254</v>
      </c>
      <c r="I27">
        <f t="shared" si="0"/>
        <v>4.802773725291976</v>
      </c>
    </row>
    <row r="28" spans="2:14">
      <c r="C28" t="s">
        <v>187</v>
      </c>
      <c r="D28">
        <f t="shared" ref="D28:I28" si="1">LOG10(D22)</f>
        <v>4.3324384599156049</v>
      </c>
      <c r="E28">
        <f t="shared" si="1"/>
        <v>5.2787536009528289</v>
      </c>
      <c r="F28">
        <f t="shared" si="1"/>
        <v>5.1303337684950066</v>
      </c>
      <c r="G28">
        <f t="shared" si="1"/>
        <v>4.9708116108725182</v>
      </c>
      <c r="H28">
        <f t="shared" si="1"/>
        <v>5.5051499783199063</v>
      </c>
      <c r="I28">
        <f t="shared" si="1"/>
        <v>4.7118072290411908</v>
      </c>
    </row>
    <row r="29" spans="2:14">
      <c r="C29" t="s">
        <v>188</v>
      </c>
      <c r="D29">
        <f t="shared" ref="D29:H29" si="2">LOG10(D23)</f>
        <v>4.9216864754836021</v>
      </c>
      <c r="E29">
        <f t="shared" si="2"/>
        <v>4.2900346113625183</v>
      </c>
      <c r="F29">
        <f t="shared" si="2"/>
        <v>5.8293037728310253</v>
      </c>
      <c r="G29">
        <v>1</v>
      </c>
      <c r="H29">
        <f t="shared" si="2"/>
        <v>4.9084850188786495</v>
      </c>
      <c r="I29">
        <v>1</v>
      </c>
    </row>
    <row r="31" spans="2:14">
      <c r="C31" s="90"/>
      <c r="D31" s="90"/>
      <c r="E31" s="90"/>
      <c r="F31" s="90"/>
      <c r="G31" s="90"/>
      <c r="H31" s="90"/>
      <c r="I31" s="90"/>
      <c r="J31" s="90" t="s">
        <v>663</v>
      </c>
      <c r="K31" s="90" t="s">
        <v>396</v>
      </c>
      <c r="L31" s="90" t="s">
        <v>664</v>
      </c>
      <c r="M31" s="101" t="s">
        <v>665</v>
      </c>
    </row>
    <row r="32" spans="2:14">
      <c r="C32" s="90" t="s">
        <v>687</v>
      </c>
      <c r="D32" s="90">
        <v>6.1770552871582982</v>
      </c>
      <c r="E32" s="90">
        <v>5.3521825181113627</v>
      </c>
      <c r="F32" s="90">
        <v>4.5185139398778871</v>
      </c>
      <c r="G32" s="90">
        <v>4.6434526764861879</v>
      </c>
      <c r="H32" s="90">
        <v>5.8356905714924254</v>
      </c>
      <c r="I32" s="90">
        <v>4.802773725291976</v>
      </c>
      <c r="J32" s="90">
        <f>AVERAGE(D32:I32)</f>
        <v>5.2216114530696887</v>
      </c>
      <c r="K32" s="90">
        <f>STDEV(D32:I32)</f>
        <v>0.67986081119798913</v>
      </c>
      <c r="L32" s="90">
        <f>K32/SQRT(6)</f>
        <v>0.27755201392495421</v>
      </c>
      <c r="M32" s="94"/>
    </row>
    <row r="33" spans="3:21">
      <c r="C33" s="90" t="s">
        <v>688</v>
      </c>
      <c r="D33" s="90">
        <v>4.3324384599156049</v>
      </c>
      <c r="E33" s="90">
        <v>5.2787536009528289</v>
      </c>
      <c r="F33" s="90">
        <v>5.1303337684950066</v>
      </c>
      <c r="G33" s="90">
        <v>4.9708116108725182</v>
      </c>
      <c r="H33" s="90">
        <v>5.5051499783199063</v>
      </c>
      <c r="I33" s="90">
        <v>4.7118072290411908</v>
      </c>
      <c r="J33" s="90">
        <f t="shared" ref="J33:J34" si="3">AVERAGE(D33:I33)</f>
        <v>4.9882157745995093</v>
      </c>
      <c r="K33" s="90">
        <f t="shared" ref="K33:K34" si="4">STDEV(D33:I33)</f>
        <v>0.41918473233975656</v>
      </c>
      <c r="L33" s="90">
        <f t="shared" ref="L33:L34" si="5">K33/SQRT(6)</f>
        <v>0.17113145036625763</v>
      </c>
      <c r="M33" s="94"/>
    </row>
    <row r="34" spans="3:21">
      <c r="C34" s="90" t="s">
        <v>689</v>
      </c>
      <c r="D34" s="90">
        <v>4.9216864754836021</v>
      </c>
      <c r="E34" s="90">
        <v>4.2900346113625183</v>
      </c>
      <c r="F34" s="90">
        <v>5.8293037728310253</v>
      </c>
      <c r="G34" s="90">
        <v>1</v>
      </c>
      <c r="H34" s="90">
        <v>4.9084850188786495</v>
      </c>
      <c r="I34" s="90">
        <v>1</v>
      </c>
      <c r="J34" s="90">
        <f t="shared" si="3"/>
        <v>3.6582516464259656</v>
      </c>
      <c r="K34" s="90">
        <f t="shared" si="4"/>
        <v>2.116817031992845</v>
      </c>
      <c r="L34" s="90">
        <f t="shared" si="5"/>
        <v>0.86418693453586748</v>
      </c>
      <c r="M34" s="94">
        <v>0.05</v>
      </c>
    </row>
    <row r="35" spans="3:21">
      <c r="C35" s="90"/>
      <c r="D35" s="90"/>
      <c r="E35" s="90"/>
      <c r="F35" s="90"/>
      <c r="G35" s="90"/>
      <c r="H35" s="90"/>
      <c r="I35" s="90"/>
      <c r="J35" s="90"/>
      <c r="K35" s="90"/>
      <c r="L35" s="90"/>
      <c r="M35" s="94"/>
    </row>
    <row r="36" spans="3:21">
      <c r="J36" s="52"/>
      <c r="K36" s="52"/>
      <c r="L36" s="52"/>
      <c r="M36" s="52"/>
    </row>
    <row r="37" spans="3:21">
      <c r="J37" s="52"/>
      <c r="K37" s="52"/>
      <c r="L37" s="52"/>
      <c r="M37" s="52"/>
    </row>
    <row r="38" spans="3:21">
      <c r="J38" s="52"/>
      <c r="K38" s="52"/>
      <c r="L38" s="52"/>
      <c r="M38" s="104"/>
    </row>
    <row r="39" spans="3:21">
      <c r="C39" s="52"/>
      <c r="D39" s="52"/>
      <c r="E39" s="52"/>
      <c r="F39" s="52"/>
      <c r="G39" s="52"/>
      <c r="H39" s="52"/>
      <c r="I39" s="52"/>
      <c r="J39" s="52"/>
      <c r="K39" s="52"/>
      <c r="L39" s="52"/>
      <c r="M39" s="52"/>
      <c r="N39" s="52"/>
      <c r="O39" s="52"/>
      <c r="P39" s="52"/>
      <c r="Q39" s="52"/>
      <c r="R39" s="52"/>
      <c r="S39" s="52"/>
      <c r="T39" s="52"/>
      <c r="U39" s="52"/>
    </row>
    <row r="40" spans="3:21">
      <c r="C40" s="52"/>
      <c r="J40" s="52"/>
      <c r="K40" s="52"/>
      <c r="L40" s="52"/>
      <c r="M40" s="52"/>
      <c r="N40" s="52"/>
      <c r="O40" s="52"/>
      <c r="P40" s="52"/>
      <c r="Q40" s="52"/>
      <c r="R40" s="52"/>
      <c r="S40" s="52"/>
      <c r="T40" s="52"/>
      <c r="U40" s="52"/>
    </row>
    <row r="41" spans="3:21">
      <c r="C41" s="52"/>
      <c r="J41" s="52"/>
      <c r="K41" s="52"/>
      <c r="L41" s="52"/>
      <c r="M41" s="52"/>
      <c r="N41" s="52"/>
      <c r="O41" s="52"/>
      <c r="P41" s="52"/>
      <c r="Q41" s="52"/>
      <c r="R41" s="52"/>
      <c r="S41" s="52"/>
      <c r="T41" s="52"/>
      <c r="U41" s="52"/>
    </row>
    <row r="42" spans="3:21">
      <c r="C42" s="52"/>
      <c r="D42" s="52"/>
      <c r="E42" s="52"/>
      <c r="F42" s="52"/>
      <c r="G42" s="52"/>
      <c r="H42" s="52"/>
      <c r="I42" s="52"/>
      <c r="J42" s="52"/>
      <c r="K42" s="52"/>
      <c r="L42" s="52"/>
      <c r="M42" s="52"/>
      <c r="N42" s="52"/>
      <c r="O42" s="52"/>
      <c r="P42" s="52"/>
      <c r="Q42" s="52"/>
      <c r="R42" s="52"/>
      <c r="S42" s="52"/>
      <c r="T42" s="52"/>
      <c r="U42" s="52"/>
    </row>
  </sheetData>
  <phoneticPr fontId="2" type="noConversion"/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5FC54-1447-BC4F-82D0-EDA052CA8912}">
  <dimension ref="A1:AD58"/>
  <sheetViews>
    <sheetView topLeftCell="G1" zoomScale="59" workbookViewId="0">
      <selection activeCell="M11" sqref="M11:AD38"/>
    </sheetView>
  </sheetViews>
  <sheetFormatPr baseColWidth="10" defaultRowHeight="16"/>
  <sheetData>
    <row r="1" spans="1:30">
      <c r="A1" t="s">
        <v>196</v>
      </c>
    </row>
    <row r="11" spans="1:30">
      <c r="G11" t="s">
        <v>92</v>
      </c>
      <c r="J11" t="s">
        <v>504</v>
      </c>
      <c r="K11" t="s">
        <v>505</v>
      </c>
      <c r="M11" s="90"/>
      <c r="N11" s="90"/>
      <c r="O11" s="90"/>
      <c r="P11" s="90"/>
      <c r="Q11" s="90"/>
      <c r="R11" s="90"/>
      <c r="S11" s="90"/>
      <c r="T11" s="90"/>
      <c r="U11" s="90"/>
      <c r="V11" s="90"/>
      <c r="W11" s="90"/>
      <c r="X11" s="90"/>
      <c r="Y11" s="90"/>
      <c r="Z11" s="90"/>
      <c r="AA11" s="90"/>
      <c r="AB11" s="90"/>
      <c r="AC11" s="90"/>
      <c r="AD11" s="90"/>
    </row>
    <row r="12" spans="1:30">
      <c r="A12" t="s">
        <v>152</v>
      </c>
      <c r="B12" s="36" t="s">
        <v>506</v>
      </c>
      <c r="C12" s="37">
        <v>0.24399999999999999</v>
      </c>
      <c r="D12" s="38">
        <v>0.24399999999999999</v>
      </c>
      <c r="E12" s="38">
        <v>0.24399999999999999</v>
      </c>
      <c r="F12">
        <f t="shared" ref="F12:F29" si="0">AVERAGE(C12:E12)</f>
        <v>0.24399999999999999</v>
      </c>
      <c r="G12">
        <v>0.158</v>
      </c>
      <c r="H12">
        <f>F12-0.158</f>
        <v>8.5999999999999993E-2</v>
      </c>
      <c r="J12">
        <f>H12*199.16-6.6134</f>
        <v>10.514359999999998</v>
      </c>
      <c r="K12" s="39">
        <f>J12*40</f>
        <v>420.57439999999991</v>
      </c>
      <c r="M12" s="90"/>
      <c r="N12" s="90" t="s">
        <v>266</v>
      </c>
      <c r="O12" s="90"/>
      <c r="P12" s="90"/>
      <c r="Q12" s="90"/>
      <c r="R12" s="90"/>
      <c r="S12" s="90" t="s">
        <v>267</v>
      </c>
      <c r="T12" s="90"/>
      <c r="U12" s="90"/>
      <c r="V12" s="90"/>
      <c r="W12" s="90"/>
      <c r="X12" s="90" t="s">
        <v>663</v>
      </c>
      <c r="Y12" s="90" t="s">
        <v>396</v>
      </c>
      <c r="Z12" s="90" t="s">
        <v>664</v>
      </c>
      <c r="AA12" s="90" t="s">
        <v>663</v>
      </c>
      <c r="AB12" s="90" t="s">
        <v>396</v>
      </c>
      <c r="AC12" s="90" t="s">
        <v>664</v>
      </c>
      <c r="AD12" s="101" t="s">
        <v>665</v>
      </c>
    </row>
    <row r="13" spans="1:30">
      <c r="B13" s="40" t="s">
        <v>507</v>
      </c>
      <c r="C13" s="37">
        <v>0.24</v>
      </c>
      <c r="D13" s="38">
        <v>0.24</v>
      </c>
      <c r="E13" s="38">
        <v>0.24399999999999999</v>
      </c>
      <c r="F13">
        <f t="shared" si="0"/>
        <v>0.24133333333333332</v>
      </c>
      <c r="H13">
        <f t="shared" ref="H13:H31" si="1">F13-0.158</f>
        <v>8.3333333333333315E-2</v>
      </c>
      <c r="J13">
        <f t="shared" ref="J13:J31" si="2">H13*199.16-6.6134</f>
        <v>9.9832666666666636</v>
      </c>
      <c r="K13" s="39">
        <f t="shared" ref="K13:K31" si="3">J13*40</f>
        <v>399.33066666666656</v>
      </c>
      <c r="M13" s="90">
        <v>24</v>
      </c>
      <c r="N13" s="90">
        <v>420.57439999999991</v>
      </c>
      <c r="O13" s="90">
        <v>399.33066666666656</v>
      </c>
      <c r="P13" s="90">
        <v>155.02773333333329</v>
      </c>
      <c r="Q13" s="90">
        <v>99.262933333333265</v>
      </c>
      <c r="R13" s="90">
        <v>330.28853333333325</v>
      </c>
      <c r="S13" s="90">
        <v>340.91039999999987</v>
      </c>
      <c r="T13" s="90">
        <v>6360.8533333333326</v>
      </c>
      <c r="U13" s="90">
        <v>7330.0986666666649</v>
      </c>
      <c r="V13" s="90">
        <v>335.59946666666639</v>
      </c>
      <c r="W13" s="90">
        <v>2146.6277333333342</v>
      </c>
      <c r="X13" s="90">
        <f>AVERAGE(N13:R13)</f>
        <v>280.8968533333333</v>
      </c>
      <c r="Y13" s="90">
        <f>STDEV(N13:R13)</f>
        <v>145.6106447867538</v>
      </c>
      <c r="Z13" s="90">
        <f>Y13/SQRT(5)</f>
        <v>65.119059998151371</v>
      </c>
      <c r="AA13" s="90">
        <f>AVERAGE(S13:W13)</f>
        <v>3302.81792</v>
      </c>
      <c r="AB13" s="90">
        <f>STDEV(S13:W13)</f>
        <v>3334.8398783244252</v>
      </c>
      <c r="AC13" s="90">
        <f>AB13/SQRT(5)</f>
        <v>1491.3857324021083</v>
      </c>
      <c r="AD13" s="94"/>
    </row>
    <row r="14" spans="1:30">
      <c r="B14" s="40" t="s">
        <v>508</v>
      </c>
      <c r="C14" s="37">
        <v>0.20399999999999999</v>
      </c>
      <c r="D14" s="38">
        <v>0.20699999999999999</v>
      </c>
      <c r="E14" s="38">
        <v>0.221</v>
      </c>
      <c r="F14">
        <f t="shared" si="0"/>
        <v>0.21066666666666667</v>
      </c>
      <c r="H14">
        <f t="shared" si="1"/>
        <v>5.2666666666666667E-2</v>
      </c>
      <c r="J14">
        <f t="shared" si="2"/>
        <v>3.8756933333333325</v>
      </c>
      <c r="K14" s="39">
        <f t="shared" si="3"/>
        <v>155.02773333333329</v>
      </c>
      <c r="M14" s="90">
        <v>48</v>
      </c>
      <c r="N14" s="90">
        <v>170.9605333333333</v>
      </c>
      <c r="O14" s="90">
        <v>136.4394666666667</v>
      </c>
      <c r="P14" s="90">
        <v>72.708266666666646</v>
      </c>
      <c r="Q14" s="90">
        <v>563.96960000000001</v>
      </c>
      <c r="R14" s="90">
        <v>218.75893333333337</v>
      </c>
      <c r="S14" s="90">
        <v>1164.1050666666665</v>
      </c>
      <c r="T14" s="90">
        <v>192.20426666666674</v>
      </c>
      <c r="U14" s="90">
        <v>247.96906666666678</v>
      </c>
      <c r="V14" s="90">
        <v>444.47359999999998</v>
      </c>
      <c r="W14" s="90">
        <v>630.35626666666656</v>
      </c>
      <c r="X14" s="90">
        <f>AVERAGE(N14:R14)</f>
        <v>232.56736000000001</v>
      </c>
      <c r="Y14" s="90">
        <f>STDEV(N14:R14)</f>
        <v>192.74920234207397</v>
      </c>
      <c r="Z14" s="90">
        <f>Y14/SQRT(5)</f>
        <v>86.200063809147807</v>
      </c>
      <c r="AA14" s="90">
        <f>AVERAGE(S14:W14)</f>
        <v>535.8216533333333</v>
      </c>
      <c r="AB14" s="90">
        <f>STDEV(S14:W14)</f>
        <v>391.45667943783275</v>
      </c>
      <c r="AC14" s="90">
        <f>AB14/SQRT(5)</f>
        <v>175.06474909386762</v>
      </c>
      <c r="AD14" s="94">
        <v>0.05</v>
      </c>
    </row>
    <row r="15" spans="1:30">
      <c r="B15" s="40" t="s">
        <v>509</v>
      </c>
      <c r="C15" s="37">
        <v>0.2</v>
      </c>
      <c r="D15" s="38">
        <v>0.2</v>
      </c>
      <c r="E15" s="38">
        <v>0.21099999999999999</v>
      </c>
      <c r="F15">
        <f t="shared" si="0"/>
        <v>0.20366666666666666</v>
      </c>
      <c r="H15">
        <f t="shared" si="1"/>
        <v>4.5666666666666661E-2</v>
      </c>
      <c r="J15">
        <f t="shared" si="2"/>
        <v>2.4815733333333316</v>
      </c>
      <c r="K15" s="39">
        <f t="shared" si="3"/>
        <v>99.262933333333265</v>
      </c>
      <c r="M15" s="90"/>
      <c r="N15" s="90"/>
      <c r="O15" s="90"/>
      <c r="P15" s="90"/>
      <c r="Q15" s="90"/>
      <c r="R15" s="90"/>
      <c r="S15" s="90"/>
      <c r="T15" s="90"/>
      <c r="U15" s="90"/>
      <c r="V15" s="90"/>
      <c r="W15" s="90"/>
      <c r="X15" s="90"/>
      <c r="Y15" s="90"/>
      <c r="Z15" s="90"/>
      <c r="AA15" s="90"/>
      <c r="AB15" s="90"/>
      <c r="AC15" s="90"/>
      <c r="AD15" s="90"/>
    </row>
    <row r="16" spans="1:30">
      <c r="B16" s="40" t="s">
        <v>510</v>
      </c>
      <c r="C16" s="37">
        <v>0.22700000000000001</v>
      </c>
      <c r="D16" s="38">
        <v>0.23599999999999999</v>
      </c>
      <c r="E16" s="38">
        <v>0.23499999999999999</v>
      </c>
      <c r="F16">
        <f t="shared" si="0"/>
        <v>0.23266666666666666</v>
      </c>
      <c r="H16">
        <f t="shared" si="1"/>
        <v>7.4666666666666659E-2</v>
      </c>
      <c r="J16">
        <f t="shared" si="2"/>
        <v>8.2572133333333309</v>
      </c>
      <c r="K16" s="39">
        <f t="shared" si="3"/>
        <v>330.28853333333325</v>
      </c>
      <c r="M16" s="90"/>
      <c r="N16" s="90"/>
      <c r="O16" s="90"/>
      <c r="P16" s="90"/>
      <c r="Q16" s="90"/>
      <c r="R16" s="90"/>
      <c r="S16" s="90"/>
      <c r="T16" s="90"/>
      <c r="U16" s="90"/>
      <c r="V16" s="90"/>
      <c r="W16" s="90"/>
      <c r="X16" s="90"/>
      <c r="Y16" s="90"/>
      <c r="Z16" s="90"/>
      <c r="AA16" s="90"/>
      <c r="AB16" s="90"/>
      <c r="AC16" s="90"/>
      <c r="AD16" s="90"/>
    </row>
    <row r="17" spans="2:30">
      <c r="B17" s="40" t="s">
        <v>511</v>
      </c>
      <c r="C17" s="37">
        <v>0.25</v>
      </c>
      <c r="D17" s="38">
        <v>0.223</v>
      </c>
      <c r="E17" s="38">
        <v>0.22900000000000001</v>
      </c>
      <c r="F17">
        <f t="shared" si="0"/>
        <v>0.23399999999999999</v>
      </c>
      <c r="H17">
        <f t="shared" si="1"/>
        <v>7.5999999999999984E-2</v>
      </c>
      <c r="J17">
        <f t="shared" si="2"/>
        <v>8.5227599999999963</v>
      </c>
      <c r="K17" s="39">
        <f t="shared" si="3"/>
        <v>340.91039999999987</v>
      </c>
      <c r="M17" s="90"/>
      <c r="N17" s="90"/>
      <c r="O17" s="90"/>
      <c r="P17" s="90"/>
      <c r="Q17" s="90"/>
      <c r="R17" s="90"/>
      <c r="S17" s="90"/>
      <c r="T17" s="90"/>
      <c r="U17" s="90"/>
      <c r="V17" s="90"/>
      <c r="W17" s="90"/>
      <c r="X17" s="90"/>
      <c r="Y17" s="90"/>
      <c r="Z17" s="90"/>
      <c r="AA17" s="90"/>
      <c r="AB17" s="90"/>
      <c r="AC17" s="90"/>
      <c r="AD17" s="90"/>
    </row>
    <row r="18" spans="2:30">
      <c r="B18" s="40" t="s">
        <v>512</v>
      </c>
      <c r="C18" s="41">
        <v>0.96599999999999997</v>
      </c>
      <c r="D18" s="41">
        <v>0.97399999999999998</v>
      </c>
      <c r="E18" s="41">
        <v>1.0289999999999999</v>
      </c>
      <c r="F18">
        <f t="shared" si="0"/>
        <v>0.98966666666666658</v>
      </c>
      <c r="H18">
        <f t="shared" si="1"/>
        <v>0.83166666666666655</v>
      </c>
      <c r="J18">
        <f t="shared" si="2"/>
        <v>159.0213333333333</v>
      </c>
      <c r="K18" s="39">
        <f t="shared" si="3"/>
        <v>6360.8533333333326</v>
      </c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  <c r="AB18" s="90"/>
      <c r="AC18" s="90"/>
      <c r="AD18" s="90"/>
    </row>
    <row r="19" spans="2:30">
      <c r="B19" s="40" t="s">
        <v>513</v>
      </c>
      <c r="C19" s="41">
        <v>1.109</v>
      </c>
      <c r="D19" s="41">
        <v>1.1399999999999999</v>
      </c>
      <c r="E19" s="41">
        <v>1.085</v>
      </c>
      <c r="F19">
        <f t="shared" si="0"/>
        <v>1.1113333333333333</v>
      </c>
      <c r="H19">
        <f t="shared" si="1"/>
        <v>0.95333333333333325</v>
      </c>
      <c r="J19">
        <f t="shared" si="2"/>
        <v>183.25246666666663</v>
      </c>
      <c r="K19" s="39">
        <f t="shared" si="3"/>
        <v>7330.0986666666649</v>
      </c>
      <c r="M19" s="90"/>
      <c r="N19" s="90"/>
      <c r="O19" s="90"/>
      <c r="P19" s="90"/>
      <c r="Q19" s="90"/>
      <c r="R19" s="90"/>
      <c r="S19" s="90"/>
      <c r="T19" s="90"/>
      <c r="U19" s="90"/>
      <c r="V19" s="90"/>
      <c r="W19" s="90"/>
      <c r="X19" s="90"/>
      <c r="Y19" s="90"/>
      <c r="Z19" s="90"/>
      <c r="AA19" s="90"/>
      <c r="AB19" s="90"/>
      <c r="AC19" s="90"/>
      <c r="AD19" s="90"/>
    </row>
    <row r="20" spans="2:30">
      <c r="B20" s="40" t="s">
        <v>514</v>
      </c>
      <c r="C20" s="41">
        <v>0.22800000000000001</v>
      </c>
      <c r="D20" s="41">
        <v>0.23599999999999999</v>
      </c>
      <c r="E20" s="41">
        <v>0.23599999999999999</v>
      </c>
      <c r="F20">
        <f t="shared" si="0"/>
        <v>0.23333333333333331</v>
      </c>
      <c r="H20">
        <f t="shared" si="1"/>
        <v>7.5333333333333308E-2</v>
      </c>
      <c r="J20">
        <f t="shared" si="2"/>
        <v>8.38998666666666</v>
      </c>
      <c r="K20" s="39">
        <f t="shared" si="3"/>
        <v>335.59946666666639</v>
      </c>
      <c r="M20" s="90"/>
      <c r="N20" s="90"/>
      <c r="O20" s="90"/>
      <c r="P20" s="90"/>
      <c r="Q20" s="90"/>
      <c r="R20" s="90"/>
      <c r="S20" s="90"/>
      <c r="T20" s="90"/>
      <c r="U20" s="90"/>
      <c r="V20" s="90"/>
      <c r="W20" s="90"/>
      <c r="X20" s="90"/>
      <c r="Y20" s="90"/>
      <c r="Z20" s="90"/>
      <c r="AA20" s="90"/>
      <c r="AB20" s="90"/>
      <c r="AC20" s="90"/>
      <c r="AD20" s="90"/>
    </row>
    <row r="21" spans="2:30">
      <c r="B21" s="40" t="s">
        <v>540</v>
      </c>
      <c r="C21" s="41">
        <v>0.45</v>
      </c>
      <c r="D21" s="41">
        <v>0.46500000000000002</v>
      </c>
      <c r="E21" s="41">
        <v>0.46700000000000003</v>
      </c>
      <c r="F21">
        <f t="shared" si="0"/>
        <v>0.46066666666666672</v>
      </c>
      <c r="H21">
        <f t="shared" si="1"/>
        <v>0.30266666666666675</v>
      </c>
      <c r="J21">
        <f t="shared" si="2"/>
        <v>53.665693333333351</v>
      </c>
      <c r="K21" s="39">
        <f t="shared" si="3"/>
        <v>2146.6277333333342</v>
      </c>
      <c r="M21" s="90"/>
      <c r="N21" s="90"/>
      <c r="O21" s="90"/>
      <c r="P21" s="90"/>
      <c r="Q21" s="90"/>
      <c r="R21" s="90"/>
      <c r="S21" s="90"/>
      <c r="T21" s="90"/>
      <c r="U21" s="90"/>
      <c r="V21" s="90"/>
      <c r="W21" s="90"/>
      <c r="X21" s="90"/>
      <c r="Y21" s="90"/>
      <c r="Z21" s="90"/>
      <c r="AA21" s="90"/>
      <c r="AB21" s="90"/>
      <c r="AC21" s="90"/>
      <c r="AD21" s="90"/>
    </row>
    <row r="22" spans="2:30">
      <c r="B22" s="40" t="s">
        <v>515</v>
      </c>
      <c r="C22" s="41">
        <v>0.20100000000000001</v>
      </c>
      <c r="D22" s="41">
        <v>0.19600000000000001</v>
      </c>
      <c r="E22" s="41">
        <v>0.24099999999999999</v>
      </c>
      <c r="F22">
        <f t="shared" si="0"/>
        <v>0.21266666666666667</v>
      </c>
      <c r="H22">
        <f t="shared" si="1"/>
        <v>5.4666666666666669E-2</v>
      </c>
      <c r="J22">
        <f t="shared" si="2"/>
        <v>4.2740133333333326</v>
      </c>
      <c r="K22" s="39">
        <f t="shared" si="3"/>
        <v>170.9605333333333</v>
      </c>
      <c r="M22" s="90"/>
      <c r="N22" s="90"/>
      <c r="O22" s="90"/>
      <c r="P22" s="90"/>
      <c r="Q22" s="90"/>
      <c r="R22" s="90"/>
      <c r="S22" s="90"/>
      <c r="T22" s="90"/>
      <c r="U22" s="90"/>
      <c r="V22" s="90"/>
      <c r="W22" s="90"/>
      <c r="X22" s="90"/>
      <c r="Y22" s="90"/>
      <c r="Z22" s="90"/>
      <c r="AA22" s="90"/>
      <c r="AB22" s="90"/>
      <c r="AC22" s="90"/>
      <c r="AD22" s="90"/>
    </row>
    <row r="23" spans="2:30">
      <c r="B23" s="40" t="s">
        <v>516</v>
      </c>
      <c r="C23" s="41">
        <v>0.193</v>
      </c>
      <c r="D23" s="42">
        <v>0.193</v>
      </c>
      <c r="E23" s="42">
        <v>0.23899999999999999</v>
      </c>
      <c r="F23">
        <f t="shared" si="0"/>
        <v>0.20833333333333334</v>
      </c>
      <c r="H23">
        <f t="shared" si="1"/>
        <v>5.0333333333333341E-2</v>
      </c>
      <c r="J23">
        <f t="shared" si="2"/>
        <v>3.4109866666666679</v>
      </c>
      <c r="K23" s="39">
        <f t="shared" si="3"/>
        <v>136.4394666666667</v>
      </c>
      <c r="M23" s="90"/>
      <c r="N23" s="90"/>
      <c r="O23" s="90"/>
      <c r="P23" s="90"/>
      <c r="Q23" s="90"/>
      <c r="R23" s="90"/>
      <c r="S23" s="90"/>
      <c r="T23" s="90"/>
      <c r="U23" s="90"/>
      <c r="V23" s="90"/>
      <c r="W23" s="90"/>
      <c r="X23" s="90"/>
      <c r="Y23" s="90"/>
      <c r="Z23" s="90"/>
      <c r="AA23" s="90"/>
      <c r="AB23" s="90"/>
      <c r="AC23" s="90"/>
      <c r="AD23" s="90"/>
    </row>
    <row r="24" spans="2:30">
      <c r="B24" s="40" t="s">
        <v>517</v>
      </c>
      <c r="C24" s="37">
        <v>0.19600000000000001</v>
      </c>
      <c r="D24" s="38">
        <v>0.188</v>
      </c>
      <c r="E24" s="38">
        <v>0.217</v>
      </c>
      <c r="F24">
        <f t="shared" si="0"/>
        <v>0.20033333333333334</v>
      </c>
      <c r="H24">
        <f t="shared" si="1"/>
        <v>4.2333333333333334E-2</v>
      </c>
      <c r="J24">
        <f t="shared" si="2"/>
        <v>1.8177066666666661</v>
      </c>
      <c r="K24" s="39">
        <f t="shared" si="3"/>
        <v>72.708266666666646</v>
      </c>
      <c r="M24" s="90"/>
      <c r="N24" s="90"/>
      <c r="O24" s="90"/>
      <c r="P24" s="90"/>
      <c r="Q24" s="90"/>
      <c r="R24" s="90"/>
      <c r="S24" s="90"/>
      <c r="T24" s="90"/>
      <c r="U24" s="90"/>
      <c r="V24" s="90"/>
      <c r="W24" s="90"/>
      <c r="X24" s="90"/>
      <c r="Y24" s="90"/>
      <c r="Z24" s="90"/>
      <c r="AA24" s="90"/>
      <c r="AB24" s="90"/>
      <c r="AC24" s="90"/>
      <c r="AD24" s="90"/>
    </row>
    <row r="25" spans="2:30">
      <c r="B25" s="40" t="s">
        <v>518</v>
      </c>
      <c r="C25" s="37">
        <v>0.246</v>
      </c>
      <c r="D25" s="38">
        <v>0.26200000000000001</v>
      </c>
      <c r="E25" s="38">
        <v>0.27800000000000002</v>
      </c>
      <c r="F25">
        <f t="shared" si="0"/>
        <v>0.26200000000000001</v>
      </c>
      <c r="H25">
        <f t="shared" si="1"/>
        <v>0.10400000000000001</v>
      </c>
      <c r="J25">
        <f t="shared" si="2"/>
        <v>14.09924</v>
      </c>
      <c r="K25" s="39">
        <f t="shared" si="3"/>
        <v>563.96960000000001</v>
      </c>
      <c r="M25" s="90"/>
      <c r="N25" s="90"/>
      <c r="O25" s="90"/>
      <c r="P25" s="90"/>
      <c r="Q25" s="90"/>
      <c r="R25" s="90"/>
      <c r="S25" s="90"/>
      <c r="T25" s="90"/>
      <c r="U25" s="90"/>
      <c r="V25" s="90"/>
      <c r="W25" s="90"/>
      <c r="X25" s="90"/>
      <c r="Y25" s="90"/>
      <c r="Z25" s="90"/>
      <c r="AA25" s="90"/>
      <c r="AB25" s="90"/>
      <c r="AC25" s="90"/>
      <c r="AD25" s="90"/>
    </row>
    <row r="26" spans="2:30">
      <c r="B26" s="40" t="s">
        <v>519</v>
      </c>
      <c r="C26" s="37">
        <v>0.21</v>
      </c>
      <c r="D26" s="38">
        <v>0.21199999999999999</v>
      </c>
      <c r="E26" s="38">
        <v>0.23400000000000001</v>
      </c>
      <c r="F26">
        <f t="shared" si="0"/>
        <v>0.21866666666666668</v>
      </c>
      <c r="H26">
        <f t="shared" si="1"/>
        <v>6.0666666666666674E-2</v>
      </c>
      <c r="J26">
        <f t="shared" si="2"/>
        <v>5.4689733333333344</v>
      </c>
      <c r="K26" s="39">
        <f t="shared" si="3"/>
        <v>218.75893333333337</v>
      </c>
      <c r="M26" s="90"/>
      <c r="N26" s="90"/>
      <c r="O26" s="90"/>
      <c r="P26" s="90"/>
      <c r="Q26" s="90"/>
      <c r="R26" s="90"/>
      <c r="S26" s="90"/>
      <c r="T26" s="90"/>
      <c r="U26" s="90"/>
      <c r="V26" s="90"/>
      <c r="W26" s="90"/>
      <c r="X26" s="90"/>
      <c r="Y26" s="90"/>
      <c r="Z26" s="90"/>
      <c r="AA26" s="90"/>
      <c r="AB26" s="90"/>
      <c r="AC26" s="90"/>
      <c r="AD26" s="90"/>
    </row>
    <row r="27" spans="2:30">
      <c r="B27" s="40" t="s">
        <v>520</v>
      </c>
      <c r="C27" s="37">
        <v>0.33400000000000002</v>
      </c>
      <c r="D27" s="38">
        <v>0.32900000000000001</v>
      </c>
      <c r="E27" s="38">
        <v>0.34899999999999998</v>
      </c>
      <c r="F27">
        <f t="shared" si="0"/>
        <v>0.33733333333333332</v>
      </c>
      <c r="H27">
        <f t="shared" si="1"/>
        <v>0.17933333333333332</v>
      </c>
      <c r="J27">
        <f t="shared" si="2"/>
        <v>29.102626666666666</v>
      </c>
      <c r="K27" s="39">
        <f t="shared" si="3"/>
        <v>1164.1050666666665</v>
      </c>
      <c r="M27" s="90"/>
      <c r="N27" s="90"/>
      <c r="O27" s="90"/>
      <c r="P27" s="90"/>
      <c r="Q27" s="90"/>
      <c r="R27" s="90"/>
      <c r="S27" s="90"/>
      <c r="T27" s="90"/>
      <c r="U27" s="90"/>
      <c r="V27" s="90"/>
      <c r="W27" s="90"/>
      <c r="X27" s="90"/>
      <c r="Y27" s="90"/>
      <c r="Z27" s="90"/>
      <c r="AA27" s="90"/>
      <c r="AB27" s="90"/>
      <c r="AC27" s="90"/>
      <c r="AD27" s="90"/>
    </row>
    <row r="28" spans="2:30">
      <c r="B28" s="40" t="s">
        <v>521</v>
      </c>
      <c r="C28" s="37">
        <v>0.21099999999999999</v>
      </c>
      <c r="D28" s="38">
        <v>0.21</v>
      </c>
      <c r="E28" s="38">
        <v>0.22500000000000001</v>
      </c>
      <c r="F28">
        <f t="shared" si="0"/>
        <v>0.21533333333333335</v>
      </c>
      <c r="H28">
        <f t="shared" si="1"/>
        <v>5.7333333333333347E-2</v>
      </c>
      <c r="J28">
        <f t="shared" si="2"/>
        <v>4.8051066666666689</v>
      </c>
      <c r="K28" s="39">
        <f t="shared" si="3"/>
        <v>192.20426666666674</v>
      </c>
      <c r="M28" s="90"/>
      <c r="N28" s="90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  <c r="AB28" s="90"/>
      <c r="AC28" s="90"/>
      <c r="AD28" s="90"/>
    </row>
    <row r="29" spans="2:30">
      <c r="B29" s="40" t="s">
        <v>522</v>
      </c>
      <c r="C29" s="37">
        <v>0.221</v>
      </c>
      <c r="D29" s="38">
        <v>0.223</v>
      </c>
      <c r="E29" s="38">
        <v>0.223</v>
      </c>
      <c r="F29">
        <f t="shared" si="0"/>
        <v>0.22233333333333336</v>
      </c>
      <c r="H29">
        <f t="shared" si="1"/>
        <v>6.4333333333333353E-2</v>
      </c>
      <c r="J29">
        <f t="shared" si="2"/>
        <v>6.1992266666666698</v>
      </c>
      <c r="K29" s="39">
        <f t="shared" si="3"/>
        <v>247.96906666666678</v>
      </c>
      <c r="M29" s="90"/>
      <c r="N29" s="90"/>
      <c r="O29" s="90"/>
      <c r="P29" s="90"/>
      <c r="Q29" s="90"/>
      <c r="R29" s="90"/>
      <c r="S29" s="90"/>
      <c r="T29" s="90"/>
      <c r="U29" s="90"/>
      <c r="V29" s="90"/>
      <c r="W29" s="90"/>
      <c r="X29" s="90"/>
      <c r="Y29" s="90"/>
      <c r="Z29" s="90"/>
      <c r="AA29" s="90"/>
      <c r="AB29" s="90"/>
      <c r="AC29" s="90"/>
      <c r="AD29" s="90"/>
    </row>
    <row r="30" spans="2:30">
      <c r="B30" s="40" t="s">
        <v>541</v>
      </c>
      <c r="C30" s="41">
        <v>0.23599999999999999</v>
      </c>
      <c r="D30" s="41">
        <v>0.249</v>
      </c>
      <c r="E30" s="41">
        <v>0.25600000000000001</v>
      </c>
      <c r="F30">
        <f>AVERAGE(C30:E30)</f>
        <v>0.247</v>
      </c>
      <c r="H30">
        <f t="shared" si="1"/>
        <v>8.8999999999999996E-2</v>
      </c>
      <c r="J30">
        <f t="shared" si="2"/>
        <v>11.111839999999999</v>
      </c>
      <c r="K30" s="39">
        <f t="shared" si="3"/>
        <v>444.47359999999998</v>
      </c>
      <c r="M30" s="90"/>
      <c r="N30" s="90"/>
      <c r="O30" s="90"/>
      <c r="P30" s="90"/>
      <c r="Q30" s="90"/>
      <c r="R30" s="90"/>
      <c r="S30" s="90"/>
      <c r="T30" s="90"/>
      <c r="U30" s="90"/>
      <c r="V30" s="90"/>
      <c r="W30" s="90"/>
      <c r="X30" s="90"/>
      <c r="Y30" s="90"/>
      <c r="Z30" s="90"/>
      <c r="AA30" s="90"/>
      <c r="AB30" s="90"/>
      <c r="AC30" s="90"/>
      <c r="AD30" s="90"/>
    </row>
    <row r="31" spans="2:30">
      <c r="B31" s="40" t="s">
        <v>542</v>
      </c>
      <c r="C31" s="41">
        <v>0.253</v>
      </c>
      <c r="D31" s="41">
        <v>0.25900000000000001</v>
      </c>
      <c r="E31" s="41">
        <v>0.29899999999999999</v>
      </c>
      <c r="F31">
        <f>AVERAGE(C31:E31)</f>
        <v>0.27033333333333331</v>
      </c>
      <c r="H31">
        <f t="shared" si="1"/>
        <v>0.11233333333333331</v>
      </c>
      <c r="J31">
        <f t="shared" si="2"/>
        <v>15.758906666666663</v>
      </c>
      <c r="K31" s="39">
        <f t="shared" si="3"/>
        <v>630.35626666666656</v>
      </c>
      <c r="M31" s="90"/>
      <c r="N31" s="90"/>
      <c r="O31" s="90"/>
      <c r="P31" s="90"/>
      <c r="Q31" s="90"/>
      <c r="R31" s="90"/>
      <c r="S31" s="90"/>
      <c r="T31" s="90"/>
      <c r="U31" s="90"/>
      <c r="V31" s="90"/>
      <c r="W31" s="90"/>
      <c r="X31" s="90"/>
      <c r="Y31" s="90"/>
      <c r="Z31" s="90"/>
      <c r="AA31" s="90"/>
      <c r="AB31" s="90"/>
      <c r="AC31" s="90"/>
      <c r="AD31" s="90"/>
    </row>
    <row r="32" spans="2:30">
      <c r="M32" s="90"/>
      <c r="N32" s="90"/>
      <c r="O32" s="90"/>
      <c r="P32" s="90"/>
      <c r="Q32" s="90"/>
      <c r="R32" s="90"/>
      <c r="S32" s="90"/>
      <c r="T32" s="90"/>
      <c r="U32" s="90"/>
      <c r="V32" s="90"/>
      <c r="W32" s="90"/>
      <c r="X32" s="90"/>
      <c r="Y32" s="90"/>
      <c r="Z32" s="90"/>
      <c r="AA32" s="90"/>
      <c r="AB32" s="90"/>
      <c r="AC32" s="90"/>
      <c r="AD32" s="90"/>
    </row>
    <row r="33" spans="1:30">
      <c r="B33" s="52"/>
      <c r="C33" s="52"/>
      <c r="D33" s="52"/>
      <c r="E33" s="52"/>
      <c r="F33" s="52"/>
      <c r="G33" s="52">
        <v>0.11033333333333301</v>
      </c>
      <c r="H33" s="52" t="s">
        <v>557</v>
      </c>
      <c r="I33" s="52" t="s">
        <v>505</v>
      </c>
      <c r="J33" s="52"/>
      <c r="K33" s="52"/>
      <c r="L33" s="52"/>
      <c r="M33" s="90"/>
      <c r="N33" s="90"/>
      <c r="O33" s="90"/>
      <c r="P33" s="90"/>
      <c r="Q33" s="90"/>
      <c r="R33" s="90"/>
      <c r="S33" s="90"/>
      <c r="T33" s="90"/>
      <c r="U33" s="90"/>
      <c r="V33" s="90"/>
      <c r="W33" s="90"/>
      <c r="X33" s="90"/>
      <c r="Y33" s="90"/>
      <c r="Z33" s="90"/>
      <c r="AA33" s="90"/>
      <c r="AB33" s="90"/>
      <c r="AC33" s="90"/>
      <c r="AD33" s="90"/>
    </row>
    <row r="34" spans="1:30">
      <c r="A34" t="s">
        <v>534</v>
      </c>
      <c r="B34" s="74" t="s">
        <v>558</v>
      </c>
      <c r="C34" s="66">
        <v>0.69899999999999995</v>
      </c>
      <c r="D34" s="64">
        <v>0.70599999999999996</v>
      </c>
      <c r="E34" s="64">
        <v>0.68300000000000005</v>
      </c>
      <c r="F34" s="52">
        <f>AVERAGE(C34:E34)</f>
        <v>0.69600000000000006</v>
      </c>
      <c r="G34" s="52">
        <f>F34-0.110333333333333</f>
        <v>0.585666666666667</v>
      </c>
      <c r="H34" s="52">
        <f>76.4*G34*G34-1.429*G34+13.366</f>
        <v>38.734698288888922</v>
      </c>
      <c r="I34" s="52">
        <f>H34*40</f>
        <v>1549.3879315555569</v>
      </c>
      <c r="J34" s="52"/>
      <c r="K34" s="52"/>
      <c r="L34" s="52"/>
      <c r="M34" s="90"/>
      <c r="N34" s="90"/>
      <c r="O34" s="90"/>
      <c r="P34" s="90"/>
      <c r="Q34" s="90"/>
      <c r="R34" s="90"/>
      <c r="S34" s="90"/>
      <c r="T34" s="90"/>
      <c r="U34" s="90"/>
      <c r="V34" s="90"/>
      <c r="W34" s="90"/>
      <c r="X34" s="90"/>
      <c r="Y34" s="90"/>
      <c r="Z34" s="90"/>
      <c r="AA34" s="90"/>
      <c r="AB34" s="90"/>
      <c r="AC34" s="90"/>
      <c r="AD34" s="90"/>
    </row>
    <row r="35" spans="1:30">
      <c r="B35" s="75" t="s">
        <v>559</v>
      </c>
      <c r="C35" s="66">
        <v>0.56100000000000005</v>
      </c>
      <c r="D35" s="66">
        <v>0.57699999999999996</v>
      </c>
      <c r="E35" s="66">
        <v>0.57199999999999995</v>
      </c>
      <c r="F35" s="52">
        <f t="shared" ref="F35:F53" si="4">AVERAGE(C35:E35)</f>
        <v>0.56999999999999995</v>
      </c>
      <c r="G35" s="52">
        <f t="shared" ref="G35:G53" si="5">F35-0.110333333333333</f>
        <v>0.45966666666666695</v>
      </c>
      <c r="H35" s="52">
        <f t="shared" ref="H35:H53" si="6">76.4*G35*G35-1.429*G35+13.366</f>
        <v>28.851955488888912</v>
      </c>
      <c r="I35" s="52">
        <f t="shared" ref="I35:I53" si="7">H35*40</f>
        <v>1154.0782195555564</v>
      </c>
      <c r="J35" s="52"/>
      <c r="K35" s="52"/>
      <c r="L35" s="52"/>
      <c r="M35" s="90"/>
      <c r="N35" s="90"/>
      <c r="O35" s="90"/>
      <c r="P35" s="90"/>
      <c r="Q35" s="90"/>
      <c r="R35" s="90"/>
      <c r="S35" s="90"/>
      <c r="T35" s="90"/>
      <c r="U35" s="90"/>
      <c r="V35" s="90"/>
      <c r="W35" s="90"/>
      <c r="X35" s="90"/>
      <c r="Y35" s="90"/>
      <c r="Z35" s="90"/>
      <c r="AA35" s="90"/>
      <c r="AB35" s="90"/>
      <c r="AC35" s="90"/>
      <c r="AD35" s="90"/>
    </row>
    <row r="36" spans="1:30">
      <c r="B36" s="75" t="s">
        <v>560</v>
      </c>
      <c r="C36" s="66">
        <v>0.81299999999999994</v>
      </c>
      <c r="D36" s="66">
        <v>0.82</v>
      </c>
      <c r="E36" s="66">
        <v>0.81799999999999995</v>
      </c>
      <c r="F36" s="52">
        <f t="shared" si="4"/>
        <v>0.81700000000000006</v>
      </c>
      <c r="G36" s="52">
        <f t="shared" si="5"/>
        <v>0.706666666666667</v>
      </c>
      <c r="H36" s="52">
        <f t="shared" si="6"/>
        <v>50.508635555555593</v>
      </c>
      <c r="I36" s="52">
        <f t="shared" si="7"/>
        <v>2020.3454222222238</v>
      </c>
      <c r="J36" s="52"/>
      <c r="K36" s="52"/>
      <c r="L36" s="52"/>
      <c r="M36" s="90"/>
      <c r="N36" s="90" t="s">
        <v>266</v>
      </c>
      <c r="O36" s="90"/>
      <c r="P36" s="90"/>
      <c r="Q36" s="90"/>
      <c r="R36" s="90"/>
      <c r="S36" s="90" t="s">
        <v>267</v>
      </c>
      <c r="T36" s="90"/>
      <c r="U36" s="90"/>
      <c r="V36" s="90"/>
      <c r="W36" s="90"/>
      <c r="X36" s="90" t="s">
        <v>663</v>
      </c>
      <c r="Y36" s="90" t="s">
        <v>396</v>
      </c>
      <c r="Z36" s="90" t="s">
        <v>664</v>
      </c>
      <c r="AA36" s="90" t="s">
        <v>663</v>
      </c>
      <c r="AB36" s="90" t="s">
        <v>396</v>
      </c>
      <c r="AC36" s="90" t="s">
        <v>664</v>
      </c>
      <c r="AD36" s="101" t="s">
        <v>665</v>
      </c>
    </row>
    <row r="37" spans="1:30">
      <c r="B37" s="75" t="s">
        <v>561</v>
      </c>
      <c r="C37" s="66">
        <v>0.84899999999999998</v>
      </c>
      <c r="D37" s="66">
        <v>0.85199999999999998</v>
      </c>
      <c r="E37" s="66">
        <v>0.83699999999999997</v>
      </c>
      <c r="F37" s="52">
        <f t="shared" si="4"/>
        <v>0.84600000000000009</v>
      </c>
      <c r="G37" s="52">
        <f t="shared" si="5"/>
        <v>0.73566666666666714</v>
      </c>
      <c r="H37" s="52">
        <f t="shared" si="6"/>
        <v>53.662828288888939</v>
      </c>
      <c r="I37" s="52">
        <f t="shared" si="7"/>
        <v>2146.5131315555577</v>
      </c>
      <c r="J37" s="52"/>
      <c r="K37" s="52"/>
      <c r="L37" s="52"/>
      <c r="M37" s="90">
        <v>24</v>
      </c>
      <c r="N37" s="90">
        <v>1549.3879315555569</v>
      </c>
      <c r="O37" s="90">
        <v>1154.0782195555564</v>
      </c>
      <c r="P37" s="90">
        <v>2020.3454222222238</v>
      </c>
      <c r="Q37" s="90">
        <v>2146.5131315555577</v>
      </c>
      <c r="R37" s="90">
        <v>2131.7496382222243</v>
      </c>
      <c r="S37" s="90">
        <v>2574.1254195555571</v>
      </c>
      <c r="T37" s="90">
        <v>7653.7408648888913</v>
      </c>
      <c r="U37" s="90">
        <v>9772.344544000005</v>
      </c>
      <c r="V37" s="90">
        <v>2976.7354222222234</v>
      </c>
      <c r="W37" s="90">
        <v>11072.619926222225</v>
      </c>
      <c r="X37" s="90">
        <f>AVERAGE(N37:R37)</f>
        <v>1800.4148686222238</v>
      </c>
      <c r="Y37" s="90">
        <f>STDEV(N37:R37)</f>
        <v>435.51744299682201</v>
      </c>
      <c r="Z37" s="90">
        <f>Y37/SQRT(5)</f>
        <v>194.76932158555675</v>
      </c>
      <c r="AA37" s="90">
        <f>AVERAGE(S37:W37)</f>
        <v>6809.9132353777804</v>
      </c>
      <c r="AB37" s="90">
        <f>STDEV(S37:W37)</f>
        <v>3882.4561564407104</v>
      </c>
      <c r="AC37" s="90">
        <f>AB37/SQRT(5)</f>
        <v>1736.2871770927973</v>
      </c>
      <c r="AD37" s="94"/>
    </row>
    <row r="38" spans="1:30">
      <c r="B38" s="75" t="s">
        <v>562</v>
      </c>
      <c r="C38" s="66">
        <v>0.86299999999999999</v>
      </c>
      <c r="D38" s="66">
        <v>0.83499999999999996</v>
      </c>
      <c r="E38" s="66">
        <v>0.83</v>
      </c>
      <c r="F38" s="52">
        <f t="shared" si="4"/>
        <v>0.84266666666666667</v>
      </c>
      <c r="G38" s="52">
        <f t="shared" si="5"/>
        <v>0.73233333333333372</v>
      </c>
      <c r="H38" s="52">
        <f t="shared" si="6"/>
        <v>53.293740955555606</v>
      </c>
      <c r="I38" s="52">
        <f t="shared" si="7"/>
        <v>2131.7496382222243</v>
      </c>
      <c r="J38" s="52"/>
      <c r="K38" s="52"/>
      <c r="L38" s="52"/>
      <c r="M38" s="90">
        <v>48</v>
      </c>
      <c r="N38" s="90">
        <v>682.70640622222254</v>
      </c>
      <c r="O38" s="90">
        <v>768.26081600000066</v>
      </c>
      <c r="P38" s="90">
        <v>717.28225600000064</v>
      </c>
      <c r="Q38" s="90">
        <v>758.77733955555618</v>
      </c>
      <c r="R38" s="90">
        <v>689.05691822222263</v>
      </c>
      <c r="S38" s="90">
        <v>2953.1154160000028</v>
      </c>
      <c r="T38" s="90">
        <v>2109.731731555557</v>
      </c>
      <c r="U38" s="90">
        <v>775.64531288888941</v>
      </c>
      <c r="V38" s="90">
        <v>5001.131222222225</v>
      </c>
      <c r="W38" s="90">
        <v>2699.1550960000018</v>
      </c>
      <c r="X38" s="90">
        <f>AVERAGE(N38:R38)</f>
        <v>723.21674720000044</v>
      </c>
      <c r="Y38" s="90">
        <f>STDEV(N38:R38)</f>
        <v>39.168621658372459</v>
      </c>
      <c r="Z38" s="90">
        <f>Y38/SQRT(5)</f>
        <v>17.516740122618273</v>
      </c>
      <c r="AA38" s="90">
        <f>AVERAGE(S38:W38)</f>
        <v>2707.7557557333357</v>
      </c>
      <c r="AB38" s="90">
        <f>STDEV(S38:W38)</f>
        <v>1533.8293468774064</v>
      </c>
      <c r="AC38" s="90">
        <f>AB38/SQRT(5)</f>
        <v>685.94933710039709</v>
      </c>
      <c r="AD38" s="94">
        <v>8.0999999999999996E-3</v>
      </c>
    </row>
    <row r="39" spans="1:30">
      <c r="B39" s="40" t="s">
        <v>511</v>
      </c>
      <c r="C39" s="66">
        <v>0.96</v>
      </c>
      <c r="D39" s="66">
        <v>0.93400000000000005</v>
      </c>
      <c r="E39" s="66">
        <v>0.91600000000000004</v>
      </c>
      <c r="F39" s="52">
        <f t="shared" si="4"/>
        <v>0.93666666666666665</v>
      </c>
      <c r="G39" s="52">
        <f t="shared" si="5"/>
        <v>0.82633333333333359</v>
      </c>
      <c r="H39" s="52">
        <f t="shared" si="6"/>
        <v>64.353135488888924</v>
      </c>
      <c r="I39" s="52">
        <f t="shared" si="7"/>
        <v>2574.1254195555571</v>
      </c>
      <c r="J39" s="52"/>
      <c r="K39" s="52"/>
      <c r="L39" s="52"/>
      <c r="M39" s="52"/>
    </row>
    <row r="40" spans="1:30">
      <c r="B40" s="40" t="s">
        <v>512</v>
      </c>
      <c r="C40" s="66">
        <v>1.629</v>
      </c>
      <c r="D40" s="66">
        <v>1.6619999999999999</v>
      </c>
      <c r="E40" s="66">
        <v>1.647</v>
      </c>
      <c r="F40" s="52">
        <f t="shared" si="4"/>
        <v>1.6459999999999999</v>
      </c>
      <c r="G40" s="52">
        <f t="shared" si="5"/>
        <v>1.535666666666667</v>
      </c>
      <c r="H40" s="52">
        <f t="shared" si="6"/>
        <v>191.34352162222228</v>
      </c>
      <c r="I40" s="52">
        <f t="shared" si="7"/>
        <v>7653.7408648888913</v>
      </c>
      <c r="J40" s="52"/>
      <c r="K40" s="52"/>
      <c r="L40" s="52"/>
      <c r="M40" s="52"/>
    </row>
    <row r="41" spans="1:30">
      <c r="B41" s="40" t="s">
        <v>513</v>
      </c>
      <c r="C41" s="66">
        <v>1.7949999999999999</v>
      </c>
      <c r="D41" s="66">
        <v>1.929</v>
      </c>
      <c r="E41" s="66">
        <v>1.851</v>
      </c>
      <c r="F41" s="52">
        <f t="shared" si="4"/>
        <v>1.8583333333333334</v>
      </c>
      <c r="G41" s="52">
        <f t="shared" si="5"/>
        <v>1.7480000000000004</v>
      </c>
      <c r="H41" s="52">
        <f t="shared" si="6"/>
        <v>244.30861360000011</v>
      </c>
      <c r="I41" s="52">
        <f t="shared" si="7"/>
        <v>9772.344544000005</v>
      </c>
      <c r="J41" s="52"/>
      <c r="K41" s="52"/>
      <c r="L41" s="52"/>
      <c r="M41" s="52"/>
    </row>
    <row r="42" spans="1:30">
      <c r="B42" s="40" t="s">
        <v>514</v>
      </c>
      <c r="C42" s="66">
        <v>0.98099999999999998</v>
      </c>
      <c r="D42" s="66">
        <v>1.0169999999999999</v>
      </c>
      <c r="E42" s="66">
        <v>1.0429999999999999</v>
      </c>
      <c r="F42" s="52">
        <f t="shared" si="4"/>
        <v>1.0136666666666665</v>
      </c>
      <c r="G42" s="52">
        <f t="shared" si="5"/>
        <v>0.90333333333333354</v>
      </c>
      <c r="H42" s="52">
        <f t="shared" si="6"/>
        <v>74.418385555555588</v>
      </c>
      <c r="I42" s="52">
        <f t="shared" si="7"/>
        <v>2976.7354222222234</v>
      </c>
      <c r="J42" s="52"/>
      <c r="K42" s="52"/>
      <c r="L42" s="52"/>
      <c r="M42" s="52"/>
    </row>
    <row r="43" spans="1:30">
      <c r="B43" s="40" t="s">
        <v>540</v>
      </c>
      <c r="C43" s="66">
        <v>1.893</v>
      </c>
      <c r="D43" s="66">
        <v>1.9279999999999999</v>
      </c>
      <c r="E43" s="66">
        <v>2.109</v>
      </c>
      <c r="F43" s="52">
        <f t="shared" si="4"/>
        <v>1.9766666666666666</v>
      </c>
      <c r="G43" s="52">
        <f t="shared" si="5"/>
        <v>1.8663333333333336</v>
      </c>
      <c r="H43" s="52">
        <f t="shared" si="6"/>
        <v>276.81549815555564</v>
      </c>
      <c r="I43" s="52">
        <f t="shared" si="7"/>
        <v>11072.619926222225</v>
      </c>
      <c r="J43" s="52"/>
      <c r="K43" s="52"/>
      <c r="L43" s="52"/>
      <c r="M43" s="52"/>
    </row>
    <row r="44" spans="1:30">
      <c r="B44" s="75" t="s">
        <v>563</v>
      </c>
      <c r="C44" s="66">
        <v>0.32900000000000001</v>
      </c>
      <c r="D44" s="66">
        <v>0.33200000000000002</v>
      </c>
      <c r="E44" s="66">
        <v>0.35899999999999999</v>
      </c>
      <c r="F44" s="52">
        <f t="shared" si="4"/>
        <v>0.34</v>
      </c>
      <c r="G44" s="52">
        <f t="shared" si="5"/>
        <v>0.22966666666666702</v>
      </c>
      <c r="H44" s="52">
        <f t="shared" si="6"/>
        <v>17.067660155555565</v>
      </c>
      <c r="I44" s="52">
        <f t="shared" si="7"/>
        <v>682.70640622222254</v>
      </c>
      <c r="J44" s="52"/>
      <c r="K44" s="52"/>
      <c r="L44" s="52"/>
      <c r="M44" s="52"/>
    </row>
    <row r="45" spans="1:30">
      <c r="B45" s="75" t="s">
        <v>564</v>
      </c>
      <c r="C45" s="66">
        <v>0.40200000000000002</v>
      </c>
      <c r="D45" s="69">
        <v>0.39200000000000002</v>
      </c>
      <c r="E45" s="69">
        <v>0.39500000000000002</v>
      </c>
      <c r="F45" s="52">
        <f t="shared" si="4"/>
        <v>0.39633333333333337</v>
      </c>
      <c r="G45" s="52">
        <f t="shared" si="5"/>
        <v>0.28600000000000037</v>
      </c>
      <c r="H45" s="52">
        <f t="shared" si="6"/>
        <v>19.206520400000016</v>
      </c>
      <c r="I45" s="52">
        <f t="shared" si="7"/>
        <v>768.26081600000066</v>
      </c>
      <c r="J45" s="52"/>
      <c r="K45" s="52"/>
      <c r="L45" s="52"/>
      <c r="M45" s="52"/>
    </row>
    <row r="46" spans="1:30">
      <c r="B46" s="75" t="s">
        <v>565</v>
      </c>
      <c r="C46" s="64">
        <v>0.35899999999999999</v>
      </c>
      <c r="D46" s="65">
        <v>0.36899999999999999</v>
      </c>
      <c r="E46" s="65">
        <v>0.36499999999999999</v>
      </c>
      <c r="F46" s="52">
        <f t="shared" si="4"/>
        <v>0.36433333333333334</v>
      </c>
      <c r="G46" s="52">
        <f t="shared" si="5"/>
        <v>0.25400000000000034</v>
      </c>
      <c r="H46" s="52">
        <f t="shared" si="6"/>
        <v>17.932056400000015</v>
      </c>
      <c r="I46" s="52">
        <f t="shared" si="7"/>
        <v>717.28225600000064</v>
      </c>
      <c r="J46" s="52"/>
      <c r="K46" s="52"/>
      <c r="L46" s="52"/>
      <c r="M46" s="52"/>
    </row>
    <row r="47" spans="1:30">
      <c r="B47" s="75" t="s">
        <v>566</v>
      </c>
      <c r="C47" s="64">
        <v>0.39100000000000001</v>
      </c>
      <c r="D47" s="65">
        <v>0.38600000000000001</v>
      </c>
      <c r="E47" s="65">
        <v>0.39500000000000002</v>
      </c>
      <c r="F47" s="52">
        <f t="shared" si="4"/>
        <v>0.39066666666666672</v>
      </c>
      <c r="G47" s="52">
        <f t="shared" si="5"/>
        <v>0.28033333333333371</v>
      </c>
      <c r="H47" s="52">
        <f t="shared" si="6"/>
        <v>18.969433488888903</v>
      </c>
      <c r="I47" s="52">
        <f t="shared" si="7"/>
        <v>758.77733955555618</v>
      </c>
      <c r="J47" s="52"/>
      <c r="K47" s="52"/>
      <c r="L47" s="52"/>
      <c r="M47" s="52"/>
    </row>
    <row r="48" spans="1:30">
      <c r="B48" s="75" t="s">
        <v>567</v>
      </c>
      <c r="C48" s="64">
        <v>0.33300000000000002</v>
      </c>
      <c r="D48" s="65">
        <v>0.33100000000000002</v>
      </c>
      <c r="E48" s="65">
        <v>0.37</v>
      </c>
      <c r="F48" s="52">
        <f t="shared" si="4"/>
        <v>0.34466666666666668</v>
      </c>
      <c r="G48" s="52">
        <f t="shared" si="5"/>
        <v>0.23433333333333367</v>
      </c>
      <c r="H48" s="52">
        <f t="shared" si="6"/>
        <v>17.226422955555567</v>
      </c>
      <c r="I48" s="52">
        <f t="shared" si="7"/>
        <v>689.05691822222263</v>
      </c>
      <c r="J48" s="52"/>
      <c r="K48" s="52"/>
      <c r="L48" s="52"/>
      <c r="M48" s="52"/>
    </row>
    <row r="49" spans="2:13">
      <c r="B49" s="40" t="s">
        <v>520</v>
      </c>
      <c r="C49" s="64">
        <v>1.0009999999999999</v>
      </c>
      <c r="D49" s="65">
        <v>0.98699999999999999</v>
      </c>
      <c r="E49" s="65">
        <v>1.04</v>
      </c>
      <c r="F49" s="52">
        <f t="shared" si="4"/>
        <v>1.0093333333333334</v>
      </c>
      <c r="G49" s="52">
        <f t="shared" si="5"/>
        <v>0.89900000000000047</v>
      </c>
      <c r="H49" s="52">
        <f t="shared" si="6"/>
        <v>73.827885400000071</v>
      </c>
      <c r="I49" s="52">
        <f t="shared" si="7"/>
        <v>2953.1154160000028</v>
      </c>
      <c r="J49" s="52"/>
      <c r="K49" s="52"/>
      <c r="L49" s="52"/>
      <c r="M49" s="52"/>
    </row>
    <row r="50" spans="2:13">
      <c r="B50" s="40" t="s">
        <v>521</v>
      </c>
      <c r="C50" s="64">
        <v>0.82599999999999996</v>
      </c>
      <c r="D50" s="65">
        <v>0.80700000000000005</v>
      </c>
      <c r="E50" s="65">
        <v>0.88</v>
      </c>
      <c r="F50" s="52">
        <f t="shared" si="4"/>
        <v>0.83766666666666667</v>
      </c>
      <c r="G50" s="52">
        <f t="shared" si="5"/>
        <v>0.72733333333333361</v>
      </c>
      <c r="H50" s="52">
        <f t="shared" si="6"/>
        <v>52.743293288888921</v>
      </c>
      <c r="I50" s="52">
        <f t="shared" si="7"/>
        <v>2109.731731555557</v>
      </c>
      <c r="J50" s="52"/>
      <c r="K50" s="52"/>
      <c r="L50" s="52"/>
      <c r="M50" s="52"/>
    </row>
    <row r="51" spans="2:13">
      <c r="B51" s="40" t="s">
        <v>522</v>
      </c>
      <c r="C51" s="64">
        <v>0.4</v>
      </c>
      <c r="D51" s="65">
        <v>0.4</v>
      </c>
      <c r="E51" s="65">
        <v>0.40200000000000002</v>
      </c>
      <c r="F51" s="52">
        <f t="shared" si="4"/>
        <v>0.40066666666666667</v>
      </c>
      <c r="G51" s="52">
        <f t="shared" si="5"/>
        <v>0.29033333333333367</v>
      </c>
      <c r="H51" s="52">
        <f t="shared" si="6"/>
        <v>19.391132822222236</v>
      </c>
      <c r="I51" s="52">
        <f t="shared" si="7"/>
        <v>775.64531288888941</v>
      </c>
      <c r="J51" s="52"/>
      <c r="K51" s="52"/>
      <c r="L51" s="52"/>
      <c r="M51" s="52"/>
    </row>
    <row r="52" spans="2:13">
      <c r="B52" s="40" t="s">
        <v>541</v>
      </c>
      <c r="C52" s="66">
        <v>1.3</v>
      </c>
      <c r="D52" s="66">
        <v>1.2809999999999999</v>
      </c>
      <c r="E52" s="66">
        <v>1.405</v>
      </c>
      <c r="F52" s="52">
        <f t="shared" si="4"/>
        <v>1.3286666666666667</v>
      </c>
      <c r="G52" s="52">
        <f t="shared" si="5"/>
        <v>1.2183333333333337</v>
      </c>
      <c r="H52" s="52">
        <f t="shared" si="6"/>
        <v>125.02828055555563</v>
      </c>
      <c r="I52" s="52">
        <f t="shared" si="7"/>
        <v>5001.131222222225</v>
      </c>
      <c r="J52" s="52"/>
      <c r="K52" s="52"/>
      <c r="L52" s="52"/>
      <c r="M52" s="52"/>
    </row>
    <row r="53" spans="2:13">
      <c r="B53" s="40" t="s">
        <v>542</v>
      </c>
      <c r="C53" s="66">
        <v>0.92600000000000005</v>
      </c>
      <c r="D53" s="66">
        <v>0.93100000000000005</v>
      </c>
      <c r="E53" s="66">
        <v>1.0269999999999999</v>
      </c>
      <c r="F53" s="52">
        <f t="shared" si="4"/>
        <v>0.96133333333333348</v>
      </c>
      <c r="G53" s="52">
        <f t="shared" si="5"/>
        <v>0.85100000000000042</v>
      </c>
      <c r="H53" s="52">
        <f t="shared" si="6"/>
        <v>67.478877400000044</v>
      </c>
      <c r="I53" s="52">
        <f t="shared" si="7"/>
        <v>2699.1550960000018</v>
      </c>
      <c r="J53" s="52"/>
      <c r="K53" s="52"/>
      <c r="L53" s="52"/>
      <c r="M53" s="52"/>
    </row>
    <row r="54" spans="2:13">
      <c r="B54" s="52"/>
      <c r="C54" s="52"/>
      <c r="D54" s="52"/>
      <c r="E54" s="52"/>
      <c r="F54" s="52"/>
      <c r="G54" s="52"/>
      <c r="H54" s="52"/>
      <c r="I54" s="52"/>
      <c r="J54" s="52"/>
      <c r="K54" s="52"/>
      <c r="L54" s="52"/>
      <c r="M54" s="52"/>
    </row>
    <row r="55" spans="2:13">
      <c r="B55" s="52"/>
      <c r="C55" s="52"/>
      <c r="D55" s="52"/>
      <c r="E55" s="52"/>
      <c r="F55" s="52"/>
      <c r="G55" s="52"/>
      <c r="H55" s="52"/>
      <c r="I55" s="52"/>
      <c r="J55" s="52"/>
      <c r="K55" s="52"/>
      <c r="L55" s="52"/>
      <c r="M55" s="52"/>
    </row>
    <row r="56" spans="2:13">
      <c r="B56" s="52"/>
      <c r="C56" s="52"/>
      <c r="D56" s="52"/>
      <c r="E56" s="52"/>
      <c r="F56" s="52"/>
      <c r="G56" s="52"/>
      <c r="H56" s="52"/>
      <c r="I56" s="52"/>
      <c r="J56" s="52"/>
      <c r="K56" s="52"/>
      <c r="L56" s="52"/>
      <c r="M56" s="52"/>
    </row>
    <row r="57" spans="2:13">
      <c r="B57" s="52"/>
      <c r="C57" s="52"/>
      <c r="D57" s="52"/>
      <c r="E57" s="52"/>
      <c r="F57" s="52"/>
      <c r="G57" s="52"/>
      <c r="H57" s="52"/>
      <c r="I57" s="52"/>
      <c r="J57" s="52"/>
      <c r="K57" s="52"/>
      <c r="L57" s="52"/>
      <c r="M57" s="52"/>
    </row>
    <row r="58" spans="2:13">
      <c r="B58" s="52"/>
      <c r="C58" s="52"/>
      <c r="D58" s="52"/>
      <c r="E58" s="52"/>
      <c r="F58" s="52"/>
      <c r="G58" s="52"/>
      <c r="H58" s="52"/>
      <c r="I58" s="52"/>
      <c r="J58" s="52"/>
      <c r="K58" s="52"/>
      <c r="L58" s="52"/>
      <c r="M58" s="52"/>
    </row>
  </sheetData>
  <phoneticPr fontId="2" type="noConversion"/>
  <pageMargins left="0.7" right="0.7" top="0.75" bottom="0.75" header="0.3" footer="0.3"/>
  <pageSetup paperSize="9" orientation="portrait" horizontalDpi="0" verticalDpi="0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618AC1-5739-B44E-B7AC-6787AB59B179}">
  <dimension ref="A1:AQ15"/>
  <sheetViews>
    <sheetView topLeftCell="M1" zoomScale="58" workbookViewId="0">
      <selection activeCell="AD5" sqref="AD5:AJ7"/>
    </sheetView>
  </sheetViews>
  <sheetFormatPr baseColWidth="10" defaultRowHeight="16"/>
  <sheetData>
    <row r="1" spans="1:43">
      <c r="A1" t="s">
        <v>203</v>
      </c>
    </row>
    <row r="2" spans="1:43">
      <c r="B2" s="1" t="s">
        <v>204</v>
      </c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</row>
    <row r="3" spans="1:43">
      <c r="B3" s="1"/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 t="s">
        <v>197</v>
      </c>
      <c r="Q3" s="1">
        <f>AVERAGE(C5:G5)</f>
        <v>276.08000000000004</v>
      </c>
      <c r="R3" s="1">
        <v>276.08</v>
      </c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</row>
    <row r="4" spans="1:43">
      <c r="B4" s="1"/>
      <c r="C4" s="1" t="s">
        <v>200</v>
      </c>
      <c r="D4" s="1"/>
      <c r="E4" s="1"/>
      <c r="F4" s="1"/>
      <c r="G4" s="1"/>
      <c r="H4" s="1"/>
      <c r="I4" s="1" t="s">
        <v>201</v>
      </c>
      <c r="J4" s="1"/>
      <c r="K4" s="1"/>
      <c r="L4" s="1"/>
      <c r="M4" s="1"/>
      <c r="N4" s="1"/>
      <c r="O4" s="1"/>
      <c r="P4" s="1" t="s">
        <v>198</v>
      </c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</row>
    <row r="5" spans="1:43">
      <c r="B5" s="1" t="s">
        <v>199</v>
      </c>
      <c r="C5" s="1">
        <v>274.7</v>
      </c>
      <c r="D5" s="1">
        <v>260.5</v>
      </c>
      <c r="E5" s="1">
        <v>273.89999999999998</v>
      </c>
      <c r="F5" s="1">
        <v>275.8</v>
      </c>
      <c r="G5" s="1">
        <v>295.5</v>
      </c>
      <c r="H5" s="1">
        <v>292.3</v>
      </c>
      <c r="I5" s="1">
        <v>402.5</v>
      </c>
      <c r="J5" s="1">
        <v>405.7</v>
      </c>
      <c r="K5" s="1">
        <v>504.6</v>
      </c>
      <c r="L5" s="1">
        <v>409.7</v>
      </c>
      <c r="M5" s="1">
        <v>417.5</v>
      </c>
      <c r="N5" s="1">
        <v>405.4</v>
      </c>
      <c r="O5" s="1"/>
      <c r="P5" s="1"/>
      <c r="Q5" s="91"/>
      <c r="R5" s="91" t="s">
        <v>200</v>
      </c>
      <c r="S5" s="91"/>
      <c r="T5" s="91"/>
      <c r="U5" s="91"/>
      <c r="V5" s="91"/>
      <c r="W5" s="91"/>
      <c r="X5" s="91" t="s">
        <v>201</v>
      </c>
      <c r="Y5" s="91"/>
      <c r="Z5" s="91"/>
      <c r="AA5" s="91"/>
      <c r="AB5" s="91"/>
      <c r="AC5" s="91"/>
      <c r="AD5" s="90" t="s">
        <v>663</v>
      </c>
      <c r="AE5" s="90" t="s">
        <v>396</v>
      </c>
      <c r="AF5" s="90" t="s">
        <v>664</v>
      </c>
      <c r="AG5" s="90" t="s">
        <v>663</v>
      </c>
      <c r="AH5" s="90" t="s">
        <v>396</v>
      </c>
      <c r="AI5" s="90" t="s">
        <v>664</v>
      </c>
      <c r="AJ5" s="101" t="s">
        <v>665</v>
      </c>
      <c r="AK5" s="1"/>
      <c r="AL5" s="1"/>
      <c r="AM5" s="1"/>
      <c r="AN5" s="1"/>
      <c r="AO5" s="1"/>
      <c r="AP5" s="1"/>
      <c r="AQ5" s="1"/>
    </row>
    <row r="6" spans="1:43">
      <c r="B6" s="1" t="s">
        <v>202</v>
      </c>
      <c r="C6" s="1">
        <v>260.3</v>
      </c>
      <c r="D6" s="1">
        <v>268.89999999999998</v>
      </c>
      <c r="E6" s="1">
        <v>271.5</v>
      </c>
      <c r="F6" s="1">
        <v>285.60000000000002</v>
      </c>
      <c r="G6" s="1">
        <v>299.7</v>
      </c>
      <c r="H6" s="1">
        <v>278.60000000000002</v>
      </c>
      <c r="I6" s="1">
        <v>472.5</v>
      </c>
      <c r="J6" s="1">
        <v>567.5</v>
      </c>
      <c r="K6" s="1">
        <v>481</v>
      </c>
      <c r="L6" s="1">
        <v>666.3</v>
      </c>
      <c r="M6" s="1">
        <v>653.29999999999995</v>
      </c>
      <c r="N6" s="1">
        <v>558.6</v>
      </c>
      <c r="O6" s="1"/>
      <c r="P6" s="1"/>
      <c r="Q6" s="91" t="s">
        <v>199</v>
      </c>
      <c r="R6" s="91">
        <f>C5/276.08</f>
        <v>0.9950014488554042</v>
      </c>
      <c r="S6" s="91">
        <f t="shared" ref="S6:AC7" si="0">D5/276.08</f>
        <v>0.94356708200521588</v>
      </c>
      <c r="T6" s="91">
        <f t="shared" si="0"/>
        <v>0.99210373804694285</v>
      </c>
      <c r="U6" s="91">
        <f t="shared" si="0"/>
        <v>0.99898580121703862</v>
      </c>
      <c r="V6" s="91">
        <f t="shared" si="0"/>
        <v>1.0703419298753984</v>
      </c>
      <c r="W6" s="91">
        <f t="shared" si="0"/>
        <v>1.0587510866415533</v>
      </c>
      <c r="X6" s="91">
        <f t="shared" si="0"/>
        <v>1.4579107505070994</v>
      </c>
      <c r="Y6" s="91">
        <f t="shared" si="0"/>
        <v>1.4695015937409448</v>
      </c>
      <c r="Z6" s="91">
        <f t="shared" si="0"/>
        <v>1.827731092436975</v>
      </c>
      <c r="AA6" s="91">
        <f t="shared" si="0"/>
        <v>1.4839901477832513</v>
      </c>
      <c r="AB6" s="91">
        <f t="shared" si="0"/>
        <v>1.5122428281657492</v>
      </c>
      <c r="AC6" s="91">
        <f t="shared" si="0"/>
        <v>1.4684149521877716</v>
      </c>
      <c r="AD6" s="90">
        <f>AVERAGE(R6:W6)</f>
        <v>1.0097918477735923</v>
      </c>
      <c r="AE6" s="90">
        <f>STDEV(R6:W6)</f>
        <v>4.7111431483633316E-2</v>
      </c>
      <c r="AF6" s="90">
        <f>AE6/SQRT(6)</f>
        <v>1.9233161364498718E-2</v>
      </c>
      <c r="AG6" s="90">
        <f>AVERAGE(X6:AC6)</f>
        <v>1.5366318941369652</v>
      </c>
      <c r="AH6" s="90">
        <f>STDEV(X6:AC6)</f>
        <v>0.14384837163039352</v>
      </c>
      <c r="AI6" s="90">
        <f>AH6/SQRT(6)</f>
        <v>5.8725851804118608E-2</v>
      </c>
      <c r="AJ6" s="94"/>
      <c r="AK6" s="1"/>
      <c r="AL6" s="1"/>
      <c r="AM6" s="1"/>
      <c r="AN6" s="1"/>
      <c r="AO6" s="1"/>
      <c r="AP6" s="1"/>
      <c r="AQ6" s="1"/>
    </row>
    <row r="7" spans="1:43"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91" t="s">
        <v>202</v>
      </c>
      <c r="R7" s="91">
        <f>C6/276.08</f>
        <v>0.94284265430310066</v>
      </c>
      <c r="S7" s="91">
        <f t="shared" si="0"/>
        <v>0.97399304549405963</v>
      </c>
      <c r="T7" s="91">
        <f t="shared" si="0"/>
        <v>0.98341060562155902</v>
      </c>
      <c r="U7" s="91">
        <f t="shared" si="0"/>
        <v>1.0344827586206897</v>
      </c>
      <c r="V7" s="91">
        <f t="shared" si="0"/>
        <v>1.0855549116198204</v>
      </c>
      <c r="W7" s="91">
        <f t="shared" si="0"/>
        <v>1.0091277890466532</v>
      </c>
      <c r="X7" s="91">
        <f t="shared" si="0"/>
        <v>1.7114604462474645</v>
      </c>
      <c r="Y7" s="91">
        <f t="shared" si="0"/>
        <v>2.0555636047522459</v>
      </c>
      <c r="Z7" s="91">
        <f t="shared" si="0"/>
        <v>1.742248623587366</v>
      </c>
      <c r="AA7" s="91">
        <f t="shared" si="0"/>
        <v>2.4134308895972181</v>
      </c>
      <c r="AB7" s="91">
        <f t="shared" si="0"/>
        <v>2.3663430889597219</v>
      </c>
      <c r="AC7" s="91">
        <f t="shared" si="0"/>
        <v>2.0233265720081137</v>
      </c>
      <c r="AD7" s="90">
        <f>AVERAGE(R7:W7)</f>
        <v>1.0049019607843139</v>
      </c>
      <c r="AE7" s="90">
        <f>STDEV(R7:W7)</f>
        <v>5.0331653292326681E-2</v>
      </c>
      <c r="AF7" s="90">
        <f t="shared" ref="AF7" si="1">AE7/SQRT(6)</f>
        <v>2.0547811412812231E-2</v>
      </c>
      <c r="AG7" s="90">
        <f>AVERAGE(X7:AC7)</f>
        <v>2.0520622041920213</v>
      </c>
      <c r="AH7" s="90">
        <f>STDEV(X7:AC7)</f>
        <v>0.29738588060859489</v>
      </c>
      <c r="AI7" s="90">
        <f t="shared" ref="AI7" si="2">AH7/SQRT(6)</f>
        <v>0.12140727736654934</v>
      </c>
      <c r="AJ7" s="94">
        <v>2.0000000000000001E-4</v>
      </c>
      <c r="AK7" s="1"/>
      <c r="AL7" s="1"/>
      <c r="AM7" s="1"/>
      <c r="AN7" s="1"/>
      <c r="AO7" s="1"/>
      <c r="AP7" s="1"/>
      <c r="AQ7" s="1"/>
    </row>
    <row r="8" spans="1:43">
      <c r="AD8" s="90"/>
      <c r="AE8" s="90"/>
      <c r="AF8" s="90"/>
      <c r="AG8" s="94"/>
    </row>
    <row r="11" spans="1:43"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 t="s">
        <v>197</v>
      </c>
      <c r="Q11" s="1">
        <f>AVERAGE(C13:G13)</f>
        <v>273.28000000000003</v>
      </c>
      <c r="R11" s="1">
        <v>273.27999999999997</v>
      </c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  <c r="AM11" s="1"/>
      <c r="AN11" s="1"/>
      <c r="AO11" s="1"/>
    </row>
    <row r="12" spans="1:43"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 t="s">
        <v>198</v>
      </c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1"/>
      <c r="AO12" s="1"/>
    </row>
    <row r="13" spans="1:43">
      <c r="B13" s="1" t="s">
        <v>205</v>
      </c>
      <c r="C13" s="1">
        <v>288.89999999999998</v>
      </c>
      <c r="D13" s="1">
        <v>254.9</v>
      </c>
      <c r="E13" s="1">
        <v>265.89999999999998</v>
      </c>
      <c r="F13" s="1">
        <v>277.60000000000002</v>
      </c>
      <c r="G13" s="1">
        <v>279.10000000000002</v>
      </c>
      <c r="H13" s="1"/>
      <c r="I13" s="1">
        <v>429.3</v>
      </c>
      <c r="J13" s="1">
        <v>501.8</v>
      </c>
      <c r="K13" s="1">
        <v>419.5</v>
      </c>
      <c r="L13" s="1">
        <v>400.7</v>
      </c>
      <c r="M13" s="1">
        <v>430.9</v>
      </c>
      <c r="N13" s="1"/>
      <c r="O13" s="1"/>
      <c r="P13" s="1"/>
      <c r="Q13" s="91"/>
      <c r="R13" s="91" t="s">
        <v>200</v>
      </c>
      <c r="S13" s="91"/>
      <c r="T13" s="91"/>
      <c r="U13" s="91"/>
      <c r="V13" s="91"/>
      <c r="W13" s="91" t="s">
        <v>201</v>
      </c>
      <c r="X13" s="91"/>
      <c r="Y13" s="91"/>
      <c r="Z13" s="91"/>
      <c r="AA13" s="91"/>
      <c r="AB13" s="90" t="s">
        <v>663</v>
      </c>
      <c r="AC13" s="90" t="s">
        <v>396</v>
      </c>
      <c r="AD13" s="90" t="s">
        <v>664</v>
      </c>
      <c r="AE13" s="90" t="s">
        <v>663</v>
      </c>
      <c r="AF13" s="90" t="s">
        <v>396</v>
      </c>
      <c r="AG13" s="90" t="s">
        <v>664</v>
      </c>
      <c r="AH13" s="101" t="s">
        <v>665</v>
      </c>
      <c r="AI13" s="1"/>
      <c r="AJ13" s="1"/>
      <c r="AK13" s="1"/>
      <c r="AL13" s="1"/>
      <c r="AM13" s="1"/>
      <c r="AN13" s="1"/>
      <c r="AO13" s="1"/>
    </row>
    <row r="14" spans="1:43">
      <c r="B14" s="1" t="s">
        <v>206</v>
      </c>
      <c r="C14" s="1">
        <v>268</v>
      </c>
      <c r="D14" s="1">
        <v>253.9</v>
      </c>
      <c r="E14" s="1">
        <v>284.8</v>
      </c>
      <c r="F14" s="1">
        <v>295.2</v>
      </c>
      <c r="G14" s="1">
        <v>280.89999999999998</v>
      </c>
      <c r="H14" s="1"/>
      <c r="I14" s="1">
        <v>584.20000000000005</v>
      </c>
      <c r="J14" s="1">
        <v>522.79999999999995</v>
      </c>
      <c r="K14" s="1">
        <v>539.4</v>
      </c>
      <c r="L14" s="1">
        <v>548.20000000000005</v>
      </c>
      <c r="M14" s="1">
        <v>585.4</v>
      </c>
      <c r="N14" s="1"/>
      <c r="O14" s="1"/>
      <c r="P14" s="1"/>
      <c r="Q14" s="91" t="s">
        <v>205</v>
      </c>
      <c r="R14" s="91">
        <f>C13/273.28</f>
        <v>1.0571574941451991</v>
      </c>
      <c r="S14" s="91">
        <f t="shared" ref="S14:V15" si="3">D13/273.28</f>
        <v>0.93274297423887598</v>
      </c>
      <c r="T14" s="91">
        <f t="shared" si="3"/>
        <v>0.97299473067915687</v>
      </c>
      <c r="U14" s="91">
        <f t="shared" si="3"/>
        <v>1.0158079625292742</v>
      </c>
      <c r="V14" s="91">
        <f t="shared" si="3"/>
        <v>1.0212968384074943</v>
      </c>
      <c r="W14" s="91">
        <f t="shared" ref="W14:AA15" si="4">I13/273.28</f>
        <v>1.5709162763466045</v>
      </c>
      <c r="X14" s="91">
        <f t="shared" si="4"/>
        <v>1.8362119437939113</v>
      </c>
      <c r="Y14" s="91">
        <f t="shared" si="4"/>
        <v>1.5350556206088994</v>
      </c>
      <c r="Z14" s="91">
        <f t="shared" si="4"/>
        <v>1.4662617096018737</v>
      </c>
      <c r="AA14" s="91">
        <f t="shared" si="4"/>
        <v>1.5767710772833725</v>
      </c>
      <c r="AB14" s="90">
        <f>AVERAGE(P14:U14)</f>
        <v>0.99467579039812659</v>
      </c>
      <c r="AC14" s="90">
        <f>STDEV(P14:U14)</f>
        <v>5.3716149247907602E-2</v>
      </c>
      <c r="AD14" s="90">
        <f>AC14/SQRT(5)</f>
        <v>2.4022592241569118E-2</v>
      </c>
      <c r="AE14" s="90">
        <f>AVERAGE(V14:AA14)</f>
        <v>1.5010855776736924</v>
      </c>
      <c r="AF14" s="90">
        <f>STDEV(V14:AA14)</f>
        <v>0.26663765770363845</v>
      </c>
      <c r="AG14" s="90">
        <f>AF14/SQRT(5)</f>
        <v>0.11924398559733121</v>
      </c>
      <c r="AH14" s="94"/>
      <c r="AI14" s="1"/>
      <c r="AJ14" s="1"/>
      <c r="AK14" s="1"/>
      <c r="AL14" s="1"/>
      <c r="AM14" s="1"/>
      <c r="AN14" s="1"/>
      <c r="AO14" s="1"/>
    </row>
    <row r="15" spans="1:43">
      <c r="B15" s="1"/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91" t="s">
        <v>206</v>
      </c>
      <c r="R15" s="91">
        <f>C14/273.28</f>
        <v>0.98067915690866525</v>
      </c>
      <c r="S15" s="91">
        <f t="shared" si="3"/>
        <v>0.92908372365339587</v>
      </c>
      <c r="T15" s="91">
        <f t="shared" si="3"/>
        <v>1.0421545667447307</v>
      </c>
      <c r="U15" s="91">
        <f t="shared" si="3"/>
        <v>1.0802107728337238</v>
      </c>
      <c r="V15" s="91">
        <f t="shared" si="3"/>
        <v>1.0278834894613584</v>
      </c>
      <c r="W15" s="91">
        <f t="shared" si="4"/>
        <v>2.1377341920374713</v>
      </c>
      <c r="X15" s="91">
        <f t="shared" si="4"/>
        <v>1.9130562060889931</v>
      </c>
      <c r="Y15" s="91">
        <f t="shared" si="4"/>
        <v>1.9737997658079627</v>
      </c>
      <c r="Z15" s="91">
        <f t="shared" si="4"/>
        <v>2.0060011709601877</v>
      </c>
      <c r="AA15" s="91">
        <f t="shared" si="4"/>
        <v>2.1421252927400469</v>
      </c>
      <c r="AB15" s="90">
        <f>AVERAGE(P15:U15)</f>
        <v>1.0080320550351289</v>
      </c>
      <c r="AC15" s="90">
        <f>STDEV(P15:U15)</f>
        <v>6.6721144005724153E-2</v>
      </c>
      <c r="AD15" s="90">
        <f>AC15/SQRT(5)</f>
        <v>2.9838602706670363E-2</v>
      </c>
      <c r="AE15" s="90">
        <f>AVERAGE(V15:AA15)</f>
        <v>1.8667666861826699</v>
      </c>
      <c r="AF15" s="90">
        <f>STDEV(V15:AA15)</f>
        <v>0.42094080598446476</v>
      </c>
      <c r="AG15" s="90">
        <f>AF15/SQRT(5)</f>
        <v>0.18825045133696269</v>
      </c>
      <c r="AH15" s="94" t="s">
        <v>666</v>
      </c>
      <c r="AI15" s="1"/>
      <c r="AJ15" s="1"/>
      <c r="AK15" s="1"/>
      <c r="AL15" s="1"/>
      <c r="AM15" s="1"/>
      <c r="AN15" s="1"/>
      <c r="AO15" s="1"/>
    </row>
  </sheetData>
  <phoneticPr fontId="2" type="noConversion"/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9258B0-A14D-0B4F-9E9C-12A3928F94EC}">
  <dimension ref="A1:AH148"/>
  <sheetViews>
    <sheetView topLeftCell="K58" zoomScale="65" workbookViewId="0">
      <selection activeCell="AB77" sqref="AB77:AH79"/>
    </sheetView>
  </sheetViews>
  <sheetFormatPr baseColWidth="10" defaultRowHeight="16"/>
  <sheetData>
    <row r="1" spans="1:34">
      <c r="A1" t="s">
        <v>207</v>
      </c>
    </row>
    <row r="2" spans="1:34">
      <c r="B2" t="s">
        <v>208</v>
      </c>
      <c r="C2" t="s">
        <v>112</v>
      </c>
      <c r="D2">
        <v>21.276</v>
      </c>
      <c r="F2" t="s">
        <v>208</v>
      </c>
      <c r="G2" t="s">
        <v>209</v>
      </c>
      <c r="H2">
        <v>33.14</v>
      </c>
      <c r="I2">
        <f t="shared" ref="I2:I5" si="0">H2-E4</f>
        <v>11.817000000000004</v>
      </c>
      <c r="J2">
        <f t="shared" ref="J2:J65" si="1">POWER(2,-I2)</f>
        <v>2.7715871634425356E-4</v>
      </c>
      <c r="O2" s="90"/>
      <c r="P2" s="90" t="s">
        <v>235</v>
      </c>
      <c r="Q2" s="90"/>
      <c r="R2" s="90"/>
      <c r="S2" s="90"/>
      <c r="T2" s="90"/>
      <c r="U2" s="90"/>
      <c r="V2" s="90" t="s">
        <v>236</v>
      </c>
      <c r="W2" s="90"/>
      <c r="X2" s="90"/>
      <c r="Y2" s="90"/>
      <c r="Z2" s="90"/>
      <c r="AA2" s="90"/>
      <c r="AB2" s="90" t="s">
        <v>663</v>
      </c>
      <c r="AC2" s="90" t="s">
        <v>396</v>
      </c>
      <c r="AD2" s="90" t="s">
        <v>664</v>
      </c>
      <c r="AE2" s="90" t="s">
        <v>663</v>
      </c>
      <c r="AF2" s="90" t="s">
        <v>396</v>
      </c>
      <c r="AG2" s="90" t="s">
        <v>664</v>
      </c>
      <c r="AH2" s="101" t="s">
        <v>665</v>
      </c>
    </row>
    <row r="3" spans="1:34">
      <c r="B3" t="s">
        <v>208</v>
      </c>
      <c r="C3" t="s">
        <v>112</v>
      </c>
      <c r="D3">
        <v>21.363</v>
      </c>
      <c r="F3" t="s">
        <v>208</v>
      </c>
      <c r="G3" t="s">
        <v>209</v>
      </c>
      <c r="H3">
        <v>32.938000000000002</v>
      </c>
      <c r="I3">
        <f t="shared" ref="I3:I6" si="2">H3-E4</f>
        <v>11.615000000000006</v>
      </c>
      <c r="J3">
        <f t="shared" si="1"/>
        <v>3.1881342458225443E-4</v>
      </c>
      <c r="O3" s="90" t="s">
        <v>237</v>
      </c>
      <c r="P3" s="90">
        <v>1.5274880729233877</v>
      </c>
      <c r="Q3" s="90">
        <v>1.0856244245577904</v>
      </c>
      <c r="R3" s="90">
        <v>0.43987369214414218</v>
      </c>
      <c r="S3" s="90">
        <v>0.57350995968327745</v>
      </c>
      <c r="T3" s="90">
        <v>1.2577320515358326</v>
      </c>
      <c r="U3" s="90">
        <v>1.1157717991555629</v>
      </c>
      <c r="V3" s="90">
        <v>2.5455069752982884</v>
      </c>
      <c r="W3" s="90">
        <v>1.1625823291589095</v>
      </c>
      <c r="X3" s="90">
        <v>3.2977228590852761</v>
      </c>
      <c r="Y3" s="90">
        <v>0.89302955238713599</v>
      </c>
      <c r="Z3" s="90">
        <v>0.62962297307069903</v>
      </c>
      <c r="AA3" s="90">
        <v>0.35563627457917701</v>
      </c>
      <c r="AB3" s="90">
        <f>AVERAGE(P3:U3)</f>
        <v>0.99999999999999878</v>
      </c>
      <c r="AC3" s="90">
        <f>STDEV(P3:U3)</f>
        <v>0.41497936437067862</v>
      </c>
      <c r="AD3" s="90">
        <f>AC3/SQRT(6)</f>
        <v>0.16941461608211006</v>
      </c>
      <c r="AE3" s="90">
        <f>AVERAGE(V3:AA3)</f>
        <v>1.4806834939299145</v>
      </c>
      <c r="AF3" s="90">
        <f>STDEV(V3:AA3)</f>
        <v>1.1723516420401414</v>
      </c>
      <c r="AG3" s="90">
        <f>AF3/SQRT(6)</f>
        <v>0.47861055368539046</v>
      </c>
      <c r="AH3" s="94"/>
    </row>
    <row r="4" spans="1:34">
      <c r="B4" t="s">
        <v>208</v>
      </c>
      <c r="C4" t="s">
        <v>112</v>
      </c>
      <c r="D4">
        <v>21.33</v>
      </c>
      <c r="E4">
        <f t="shared" ref="E4" si="3">AVERAGE(D2:D4)</f>
        <v>21.322999999999997</v>
      </c>
      <c r="F4" t="s">
        <v>208</v>
      </c>
      <c r="G4" t="s">
        <v>209</v>
      </c>
      <c r="H4">
        <v>32.954000000000001</v>
      </c>
      <c r="I4">
        <f t="shared" ref="I4:I7" si="4">H4-E4</f>
        <v>11.631000000000004</v>
      </c>
      <c r="J4">
        <f t="shared" si="1"/>
        <v>3.1529720466365535E-4</v>
      </c>
      <c r="K4">
        <f t="shared" ref="K4" si="5">AVERAGE(J2:J4)</f>
        <v>3.0375644853005448E-4</v>
      </c>
      <c r="M4">
        <f>K4/0.00019886011152199</f>
        <v>1.5274880729233877</v>
      </c>
      <c r="O4" s="90" t="s">
        <v>238</v>
      </c>
      <c r="P4" s="90">
        <v>15.419976235843773</v>
      </c>
      <c r="Q4" s="90">
        <v>13.893832874017567</v>
      </c>
      <c r="R4" s="90">
        <v>4.6012017568332171</v>
      </c>
      <c r="S4" s="90">
        <v>14.2519048892062</v>
      </c>
      <c r="T4" s="90">
        <v>27.026603284926345</v>
      </c>
      <c r="U4" s="90">
        <v>13.50873535307128</v>
      </c>
      <c r="V4" s="90">
        <v>34.518582923203553</v>
      </c>
      <c r="W4" s="90">
        <v>52.378113907277566</v>
      </c>
      <c r="X4" s="90">
        <v>31.735457281856725</v>
      </c>
      <c r="Y4" s="90">
        <v>80.749086424518296</v>
      </c>
      <c r="Z4" s="90">
        <v>58.525649346473145</v>
      </c>
      <c r="AA4" s="90">
        <v>41.533207442659467</v>
      </c>
      <c r="AB4" s="90">
        <f>AVERAGE(P4:U4)</f>
        <v>14.783709065649731</v>
      </c>
      <c r="AC4" s="90">
        <f>STDEV(P4:U4)</f>
        <v>7.1648726877265299</v>
      </c>
      <c r="AD4" s="90">
        <f t="shared" ref="AD4" si="6">AC4/SQRT(6)</f>
        <v>2.9250470261555797</v>
      </c>
      <c r="AE4" s="90">
        <f>AVERAGE(V4:AA4)</f>
        <v>49.906682887664793</v>
      </c>
      <c r="AF4" s="90">
        <f>STDEV(V4:AA4)</f>
        <v>18.268828980503461</v>
      </c>
      <c r="AG4" s="90">
        <f t="shared" ref="AG4" si="7">AF4/SQRT(6)</f>
        <v>7.4582182000672157</v>
      </c>
      <c r="AH4" s="94" t="s">
        <v>666</v>
      </c>
    </row>
    <row r="5" spans="1:34">
      <c r="B5" t="s">
        <v>210</v>
      </c>
      <c r="C5" t="s">
        <v>112</v>
      </c>
      <c r="D5">
        <v>20.783999999999999</v>
      </c>
      <c r="F5" t="s">
        <v>210</v>
      </c>
      <c r="G5" t="s">
        <v>209</v>
      </c>
      <c r="H5">
        <v>32.648000000000003</v>
      </c>
      <c r="I5">
        <f t="shared" si="0"/>
        <v>11.906000000000002</v>
      </c>
      <c r="J5">
        <f t="shared" si="1"/>
        <v>2.6057747510741165E-4</v>
      </c>
    </row>
    <row r="6" spans="1:34">
      <c r="B6" t="s">
        <v>210</v>
      </c>
      <c r="C6" t="s">
        <v>112</v>
      </c>
      <c r="D6">
        <v>20.776</v>
      </c>
      <c r="F6" t="s">
        <v>210</v>
      </c>
      <c r="G6" t="s">
        <v>209</v>
      </c>
      <c r="H6">
        <v>33.026000000000003</v>
      </c>
      <c r="I6">
        <f t="shared" si="2"/>
        <v>12.284000000000002</v>
      </c>
      <c r="J6">
        <f t="shared" si="1"/>
        <v>2.0051530780079715E-4</v>
      </c>
    </row>
    <row r="7" spans="1:34">
      <c r="B7" t="s">
        <v>210</v>
      </c>
      <c r="C7" t="s">
        <v>112</v>
      </c>
      <c r="D7">
        <v>20.666</v>
      </c>
      <c r="E7">
        <f t="shared" ref="E7" si="8">AVERAGE(D5:D7)</f>
        <v>20.742000000000001</v>
      </c>
      <c r="F7" t="s">
        <v>210</v>
      </c>
      <c r="G7" t="s">
        <v>209</v>
      </c>
      <c r="H7">
        <v>33.130000000000003</v>
      </c>
      <c r="I7">
        <f t="shared" si="4"/>
        <v>12.388000000000002</v>
      </c>
      <c r="J7">
        <f t="shared" si="1"/>
        <v>1.865693995074664E-4</v>
      </c>
      <c r="K7">
        <f t="shared" ref="K7" si="9">AVERAGE(J5:J7)</f>
        <v>2.1588739413855841E-4</v>
      </c>
      <c r="M7">
        <f t="shared" ref="M7" si="10">K7/0.00019886011152199</f>
        <v>1.0856244245577904</v>
      </c>
    </row>
    <row r="8" spans="1:34">
      <c r="B8" t="s">
        <v>211</v>
      </c>
      <c r="C8" t="s">
        <v>112</v>
      </c>
      <c r="D8">
        <v>21.113</v>
      </c>
      <c r="F8" t="s">
        <v>212</v>
      </c>
      <c r="G8" t="s">
        <v>209</v>
      </c>
      <c r="H8">
        <v>34.898000000000003</v>
      </c>
      <c r="I8">
        <f>H8-E10</f>
        <v>13.787333333333336</v>
      </c>
      <c r="J8">
        <f t="shared" si="1"/>
        <v>7.0729258716437657E-5</v>
      </c>
    </row>
    <row r="9" spans="1:34">
      <c r="B9" t="s">
        <v>211</v>
      </c>
      <c r="C9" t="s">
        <v>112</v>
      </c>
      <c r="D9">
        <v>21.045000000000002</v>
      </c>
      <c r="F9" t="s">
        <v>212</v>
      </c>
      <c r="G9" t="s">
        <v>209</v>
      </c>
      <c r="H9">
        <v>34.057000000000002</v>
      </c>
      <c r="I9">
        <f>H9-E10</f>
        <v>12.946333333333335</v>
      </c>
      <c r="J9">
        <f t="shared" si="1"/>
        <v>1.2669670863622574E-4</v>
      </c>
    </row>
    <row r="10" spans="1:34">
      <c r="B10" t="s">
        <v>211</v>
      </c>
      <c r="C10" t="s">
        <v>112</v>
      </c>
      <c r="D10">
        <v>21.173999999999999</v>
      </c>
      <c r="E10">
        <f t="shared" ref="E10" si="11">AVERAGE(D8:D10)</f>
        <v>21.110666666666667</v>
      </c>
      <c r="F10" t="s">
        <v>212</v>
      </c>
      <c r="G10" t="s">
        <v>209</v>
      </c>
      <c r="H10">
        <v>35.020000000000003</v>
      </c>
      <c r="I10">
        <f>H10-E10</f>
        <v>13.909333333333336</v>
      </c>
      <c r="J10">
        <f t="shared" si="1"/>
        <v>6.499402707345743E-5</v>
      </c>
      <c r="K10">
        <f t="shared" ref="K10" si="12">AVERAGE(J8:J10)</f>
        <v>8.7473331475373606E-5</v>
      </c>
      <c r="M10">
        <f t="shared" ref="M10" si="13">K10/0.00019886011152199</f>
        <v>0.43987369214414218</v>
      </c>
    </row>
    <row r="11" spans="1:34">
      <c r="B11" t="s">
        <v>212</v>
      </c>
      <c r="C11" t="s">
        <v>112</v>
      </c>
      <c r="D11">
        <v>23.024000000000001</v>
      </c>
      <c r="F11" t="s">
        <v>213</v>
      </c>
      <c r="G11" t="s">
        <v>209</v>
      </c>
      <c r="H11">
        <v>36.348999999999997</v>
      </c>
      <c r="I11">
        <f>H11-E13</f>
        <v>13.94233333333333</v>
      </c>
      <c r="J11">
        <f t="shared" si="1"/>
        <v>6.3524236963316059E-5</v>
      </c>
    </row>
    <row r="12" spans="1:34">
      <c r="B12" t="s">
        <v>212</v>
      </c>
      <c r="C12" t="s">
        <v>112</v>
      </c>
      <c r="D12">
        <v>21.38</v>
      </c>
      <c r="F12" t="s">
        <v>213</v>
      </c>
      <c r="G12" t="s">
        <v>209</v>
      </c>
      <c r="H12">
        <v>34.718000000000004</v>
      </c>
      <c r="I12">
        <f>H12-E13</f>
        <v>12.311333333333337</v>
      </c>
      <c r="J12">
        <f t="shared" si="1"/>
        <v>1.9675210164220921E-4</v>
      </c>
    </row>
    <row r="13" spans="1:34">
      <c r="B13" t="s">
        <v>212</v>
      </c>
      <c r="C13" t="s">
        <v>112</v>
      </c>
      <c r="D13">
        <v>22.815999999999999</v>
      </c>
      <c r="E13">
        <f t="shared" ref="E13" si="14">AVERAGE(D11:D13)</f>
        <v>22.406666666666666</v>
      </c>
      <c r="F13" t="s">
        <v>213</v>
      </c>
      <c r="G13" t="s">
        <v>209</v>
      </c>
      <c r="H13">
        <v>35.982999999999997</v>
      </c>
      <c r="I13">
        <f>H13-E13</f>
        <v>13.576333333333331</v>
      </c>
      <c r="J13">
        <f t="shared" si="1"/>
        <v>8.1868425019240284E-5</v>
      </c>
      <c r="K13">
        <f t="shared" ref="K13" si="15">AVERAGE(J11:J13)</f>
        <v>1.1404825454158853E-4</v>
      </c>
      <c r="M13">
        <f t="shared" ref="M13" si="16">K13/0.00019886011152199</f>
        <v>0.57350995968327745</v>
      </c>
    </row>
    <row r="14" spans="1:34">
      <c r="B14" t="s">
        <v>213</v>
      </c>
      <c r="C14" t="s">
        <v>112</v>
      </c>
      <c r="D14">
        <v>22.884</v>
      </c>
      <c r="F14" t="s">
        <v>214</v>
      </c>
      <c r="G14" t="s">
        <v>209</v>
      </c>
      <c r="H14">
        <v>35.168999999999997</v>
      </c>
      <c r="I14">
        <f>H14-E16</f>
        <v>12.238666666666663</v>
      </c>
      <c r="J14">
        <f t="shared" si="1"/>
        <v>2.0691607249206031E-4</v>
      </c>
    </row>
    <row r="15" spans="1:34">
      <c r="B15" t="s">
        <v>213</v>
      </c>
      <c r="C15" t="s">
        <v>112</v>
      </c>
      <c r="D15">
        <v>22.974</v>
      </c>
      <c r="F15" t="s">
        <v>214</v>
      </c>
      <c r="G15" t="s">
        <v>209</v>
      </c>
      <c r="H15">
        <v>34.960999999999999</v>
      </c>
      <c r="I15">
        <f>H15-E16</f>
        <v>12.030666666666665</v>
      </c>
      <c r="J15">
        <f t="shared" si="1"/>
        <v>2.3900581393123747E-4</v>
      </c>
    </row>
    <row r="16" spans="1:34">
      <c r="B16" t="s">
        <v>213</v>
      </c>
      <c r="C16" t="s">
        <v>112</v>
      </c>
      <c r="D16">
        <v>22.933</v>
      </c>
      <c r="E16">
        <f t="shared" ref="E16" si="17">AVERAGE(D14:D16)</f>
        <v>22.930333333333333</v>
      </c>
      <c r="F16" t="s">
        <v>214</v>
      </c>
      <c r="G16" t="s">
        <v>209</v>
      </c>
      <c r="H16">
        <v>34.612000000000002</v>
      </c>
      <c r="I16">
        <f>H16-E16</f>
        <v>11.681666666666668</v>
      </c>
      <c r="J16">
        <f t="shared" si="1"/>
        <v>3.0441632167629314E-4</v>
      </c>
      <c r="K16">
        <f t="shared" ref="K16" si="18">AVERAGE(J14:J16)</f>
        <v>2.5011273603319694E-4</v>
      </c>
      <c r="M16">
        <f t="shared" ref="M16" si="19">K16/0.00019886011152199</f>
        <v>1.2577320515358326</v>
      </c>
    </row>
    <row r="17" spans="2:13">
      <c r="B17" t="s">
        <v>214</v>
      </c>
      <c r="C17" t="s">
        <v>112</v>
      </c>
      <c r="D17">
        <v>22.547000000000001</v>
      </c>
      <c r="F17" t="s">
        <v>215</v>
      </c>
      <c r="G17" t="s">
        <v>209</v>
      </c>
      <c r="H17">
        <v>36.212000000000003</v>
      </c>
      <c r="I17">
        <f>H17-E19</f>
        <v>13.717333333333332</v>
      </c>
      <c r="J17">
        <f t="shared" si="1"/>
        <v>7.4245682894937069E-5</v>
      </c>
    </row>
    <row r="18" spans="2:13">
      <c r="B18" t="s">
        <v>214</v>
      </c>
      <c r="C18" t="s">
        <v>112</v>
      </c>
      <c r="D18">
        <v>22.62</v>
      </c>
      <c r="F18" t="s">
        <v>215</v>
      </c>
      <c r="G18" t="s">
        <v>209</v>
      </c>
      <c r="H18">
        <v>34.094999999999999</v>
      </c>
      <c r="I18">
        <f>H18-E19</f>
        <v>11.600333333333328</v>
      </c>
      <c r="J18">
        <f t="shared" si="1"/>
        <v>3.2207106321474149E-4</v>
      </c>
      <c r="L18">
        <v>1.9886011152199E-4</v>
      </c>
    </row>
    <row r="19" spans="2:13">
      <c r="B19" t="s">
        <v>214</v>
      </c>
      <c r="C19" t="s">
        <v>112</v>
      </c>
      <c r="D19">
        <v>22.317</v>
      </c>
      <c r="E19">
        <f t="shared" ref="E19" si="20">AVERAGE(D17:D19)</f>
        <v>22.494666666666671</v>
      </c>
      <c r="F19" t="s">
        <v>215</v>
      </c>
      <c r="G19" t="s">
        <v>209</v>
      </c>
      <c r="H19">
        <v>34.353000000000002</v>
      </c>
      <c r="I19">
        <f>H19-E19</f>
        <v>11.858333333333331</v>
      </c>
      <c r="J19">
        <f t="shared" si="1"/>
        <v>2.6933076712982139E-4</v>
      </c>
      <c r="K19">
        <f t="shared" ref="K19" si="21">AVERAGE(J17:J19)</f>
        <v>2.2188250441316666E-4</v>
      </c>
      <c r="L19">
        <f>AVERAGE(K4,K7,K10,K13,K16,K19)</f>
        <v>1.9886011152198978E-4</v>
      </c>
      <c r="M19">
        <f t="shared" ref="M19" si="22">K19/0.00019886011152199</f>
        <v>1.1157717991555629</v>
      </c>
    </row>
    <row r="20" spans="2:13">
      <c r="B20" t="s">
        <v>216</v>
      </c>
      <c r="C20" t="s">
        <v>112</v>
      </c>
      <c r="D20">
        <v>21.222999999999999</v>
      </c>
      <c r="F20" t="s">
        <v>216</v>
      </c>
      <c r="G20" t="s">
        <v>209</v>
      </c>
      <c r="H20">
        <v>29.492000000000001</v>
      </c>
      <c r="I20">
        <f>H20-E22</f>
        <v>8.2706666666666671</v>
      </c>
      <c r="J20">
        <f t="shared" si="1"/>
        <v>3.2380328411786463E-3</v>
      </c>
    </row>
    <row r="21" spans="2:13">
      <c r="B21" t="s">
        <v>216</v>
      </c>
      <c r="C21" t="s">
        <v>112</v>
      </c>
      <c r="D21">
        <v>21.198</v>
      </c>
      <c r="F21" t="s">
        <v>216</v>
      </c>
      <c r="G21" t="s">
        <v>209</v>
      </c>
      <c r="H21">
        <v>29.364999999999998</v>
      </c>
      <c r="I21">
        <f>H21-E22</f>
        <v>8.1436666666666646</v>
      </c>
      <c r="J21">
        <f t="shared" si="1"/>
        <v>3.5359983903662556E-3</v>
      </c>
    </row>
    <row r="22" spans="2:13">
      <c r="B22" t="s">
        <v>216</v>
      </c>
      <c r="C22" t="s">
        <v>112</v>
      </c>
      <c r="D22">
        <v>21.242999999999999</v>
      </c>
      <c r="E22">
        <f t="shared" ref="E22" si="23">AVERAGE(D20:D22)</f>
        <v>21.221333333333334</v>
      </c>
      <c r="F22" t="s">
        <v>216</v>
      </c>
      <c r="G22" t="s">
        <v>209</v>
      </c>
      <c r="H22">
        <v>29.908999999999999</v>
      </c>
      <c r="I22">
        <f>H22-E22</f>
        <v>8.6876666666666651</v>
      </c>
      <c r="J22">
        <f t="shared" si="1"/>
        <v>2.4252233502340824E-3</v>
      </c>
      <c r="K22">
        <f t="shared" ref="K22" si="24">AVERAGE(J20:J22)</f>
        <v>3.0664181939263281E-3</v>
      </c>
      <c r="M22">
        <f t="shared" ref="M22" si="25">K22/0.00019886011152199</f>
        <v>15.419976235843773</v>
      </c>
    </row>
    <row r="23" spans="2:13">
      <c r="B23" t="s">
        <v>217</v>
      </c>
      <c r="C23" t="s">
        <v>112</v>
      </c>
      <c r="D23" s="10">
        <v>22.042000000000002</v>
      </c>
      <c r="E23" s="10"/>
      <c r="F23" s="10" t="s">
        <v>218</v>
      </c>
      <c r="G23" t="s">
        <v>209</v>
      </c>
      <c r="H23" s="10">
        <v>30.035</v>
      </c>
      <c r="I23" s="10">
        <f t="shared" ref="I23" si="26">H23-E25</f>
        <v>7.9593333333333334</v>
      </c>
      <c r="J23" s="10">
        <f t="shared" si="1"/>
        <v>4.0179258824561675E-3</v>
      </c>
      <c r="K23" s="10"/>
      <c r="L23" s="10"/>
    </row>
    <row r="24" spans="2:13">
      <c r="B24" t="s">
        <v>217</v>
      </c>
      <c r="C24" t="s">
        <v>112</v>
      </c>
      <c r="D24" s="10">
        <v>22.077999999999999</v>
      </c>
      <c r="E24" s="10"/>
      <c r="F24" s="10" t="s">
        <v>218</v>
      </c>
      <c r="G24" t="s">
        <v>209</v>
      </c>
      <c r="H24" s="10">
        <v>31.137</v>
      </c>
      <c r="I24" s="10">
        <f t="shared" ref="I24" si="27">H24-E25</f>
        <v>9.0613333333333337</v>
      </c>
      <c r="J24" s="10">
        <f t="shared" si="1"/>
        <v>1.8718319933172347E-3</v>
      </c>
      <c r="K24" s="10"/>
      <c r="L24" s="10"/>
    </row>
    <row r="25" spans="2:13">
      <c r="B25" t="s">
        <v>217</v>
      </c>
      <c r="C25" t="s">
        <v>112</v>
      </c>
      <c r="D25" s="10">
        <v>22.106999999999999</v>
      </c>
      <c r="E25" s="10">
        <f t="shared" ref="E25" si="28">AVERAGE(D23:D25)</f>
        <v>22.075666666666667</v>
      </c>
      <c r="F25" s="10" t="s">
        <v>218</v>
      </c>
      <c r="G25" t="s">
        <v>209</v>
      </c>
      <c r="H25" s="10">
        <v>30.779</v>
      </c>
      <c r="I25" s="10">
        <f t="shared" ref="I25" si="29">H25-E25</f>
        <v>8.7033333333333331</v>
      </c>
      <c r="J25" s="10">
        <f t="shared" si="1"/>
        <v>2.3990295886116703E-3</v>
      </c>
      <c r="K25" s="10">
        <f t="shared" ref="K25" si="30">AVERAGE(J23:J25)</f>
        <v>2.7629291547950244E-3</v>
      </c>
      <c r="L25" s="10"/>
      <c r="M25">
        <f t="shared" ref="M25" si="31">K25/0.00019886011152199</f>
        <v>13.893832874017567</v>
      </c>
    </row>
    <row r="26" spans="2:13">
      <c r="B26" s="10" t="s">
        <v>218</v>
      </c>
      <c r="C26" t="s">
        <v>112</v>
      </c>
      <c r="D26">
        <v>19.829999999999998</v>
      </c>
      <c r="F26" t="s">
        <v>219</v>
      </c>
      <c r="G26" t="s">
        <v>209</v>
      </c>
      <c r="H26">
        <v>29.51</v>
      </c>
      <c r="I26">
        <f>H26-E28</f>
        <v>10.06366666666667</v>
      </c>
      <c r="J26">
        <f t="shared" si="1"/>
        <v>9.3440352250328054E-4</v>
      </c>
    </row>
    <row r="27" spans="2:13">
      <c r="B27" s="10" t="s">
        <v>218</v>
      </c>
      <c r="C27" t="s">
        <v>112</v>
      </c>
      <c r="D27">
        <v>19.114999999999998</v>
      </c>
      <c r="F27" t="s">
        <v>219</v>
      </c>
      <c r="G27" t="s">
        <v>209</v>
      </c>
      <c r="H27">
        <v>29.468</v>
      </c>
      <c r="I27">
        <f>H27-E28</f>
        <v>10.021666666666668</v>
      </c>
      <c r="J27">
        <f t="shared" si="1"/>
        <v>9.6200588051904888E-4</v>
      </c>
    </row>
    <row r="28" spans="2:13">
      <c r="B28" s="10" t="s">
        <v>218</v>
      </c>
      <c r="C28" t="s">
        <v>112</v>
      </c>
      <c r="D28">
        <v>19.393999999999998</v>
      </c>
      <c r="E28">
        <f t="shared" ref="E28" si="32">AVERAGE(D26:D28)</f>
        <v>19.446333333333332</v>
      </c>
      <c r="F28" t="s">
        <v>219</v>
      </c>
      <c r="G28" t="s">
        <v>209</v>
      </c>
      <c r="H28">
        <v>29.649000000000001</v>
      </c>
      <c r="I28">
        <f>H28-E28</f>
        <v>10.202666666666669</v>
      </c>
      <c r="J28">
        <f t="shared" si="1"/>
        <v>8.4857708047475988E-4</v>
      </c>
      <c r="K28">
        <f t="shared" ref="K28" si="33">AVERAGE(J26:J28)</f>
        <v>9.1499549449902977E-4</v>
      </c>
      <c r="M28">
        <f t="shared" ref="M28" si="34">K28/0.00019886011152199</f>
        <v>4.6012017568332171</v>
      </c>
    </row>
    <row r="29" spans="2:13">
      <c r="B29" t="s">
        <v>219</v>
      </c>
      <c r="C29" t="s">
        <v>112</v>
      </c>
      <c r="D29" s="10">
        <v>22.18</v>
      </c>
      <c r="E29" s="10"/>
      <c r="F29" s="10" t="s">
        <v>220</v>
      </c>
      <c r="G29" t="s">
        <v>209</v>
      </c>
      <c r="H29" s="10">
        <v>31.901</v>
      </c>
      <c r="I29" s="10">
        <f t="shared" ref="I29" si="35">H29-E31</f>
        <v>9.2406666666666695</v>
      </c>
      <c r="J29" s="10">
        <f t="shared" si="1"/>
        <v>1.6530353971407545E-3</v>
      </c>
      <c r="K29" s="10"/>
      <c r="L29" s="10"/>
    </row>
    <row r="30" spans="2:13">
      <c r="B30" t="s">
        <v>219</v>
      </c>
      <c r="C30" t="s">
        <v>112</v>
      </c>
      <c r="D30" s="10">
        <v>22.943999999999999</v>
      </c>
      <c r="E30" s="10"/>
      <c r="F30" s="10" t="s">
        <v>220</v>
      </c>
      <c r="G30" t="s">
        <v>209</v>
      </c>
      <c r="H30" s="10">
        <v>30.992000000000001</v>
      </c>
      <c r="I30" s="10">
        <f t="shared" ref="I30" si="36">H30-E31</f>
        <v>8.3316666666666706</v>
      </c>
      <c r="J30" s="10">
        <f t="shared" si="1"/>
        <v>3.1039764633756621E-3</v>
      </c>
      <c r="K30" s="10"/>
      <c r="L30" s="10"/>
    </row>
    <row r="31" spans="2:13">
      <c r="B31" t="s">
        <v>219</v>
      </c>
      <c r="C31" t="s">
        <v>112</v>
      </c>
      <c r="D31" s="10">
        <v>22.856999999999999</v>
      </c>
      <c r="E31" s="10">
        <f t="shared" ref="E31" si="37">AVERAGE(D29:D31)</f>
        <v>22.66033333333333</v>
      </c>
      <c r="F31" s="10" t="s">
        <v>220</v>
      </c>
      <c r="G31" t="s">
        <v>209</v>
      </c>
      <c r="H31" s="10">
        <v>30.721</v>
      </c>
      <c r="I31" s="10">
        <f t="shared" ref="I31" si="38">H31-E31</f>
        <v>8.0606666666666698</v>
      </c>
      <c r="J31" s="10">
        <f t="shared" si="1"/>
        <v>3.7453943264886009E-3</v>
      </c>
      <c r="K31" s="10">
        <f t="shared" ref="K31" si="39">AVERAGE(J29:J31)</f>
        <v>2.8341353956683395E-3</v>
      </c>
      <c r="L31" s="10"/>
      <c r="M31">
        <f t="shared" ref="M31" si="40">K31/0.00019886011152199</f>
        <v>14.2519048892062</v>
      </c>
    </row>
    <row r="32" spans="2:13">
      <c r="B32" s="10" t="s">
        <v>220</v>
      </c>
      <c r="C32" t="s">
        <v>112</v>
      </c>
      <c r="D32">
        <v>20.747</v>
      </c>
      <c r="F32" t="s">
        <v>221</v>
      </c>
      <c r="G32" t="s">
        <v>209</v>
      </c>
      <c r="H32">
        <v>28.244</v>
      </c>
      <c r="I32">
        <f>H32-E34</f>
        <v>7.496333333333336</v>
      </c>
      <c r="J32">
        <f t="shared" si="1"/>
        <v>5.538329740651729E-3</v>
      </c>
    </row>
    <row r="33" spans="2:13">
      <c r="B33" s="10" t="s">
        <v>220</v>
      </c>
      <c r="C33" t="s">
        <v>112</v>
      </c>
      <c r="D33">
        <v>20.693000000000001</v>
      </c>
      <c r="F33" t="s">
        <v>221</v>
      </c>
      <c r="G33" t="s">
        <v>209</v>
      </c>
      <c r="H33">
        <v>28.349</v>
      </c>
      <c r="I33">
        <f>H33-E34</f>
        <v>7.6013333333333364</v>
      </c>
      <c r="J33">
        <f t="shared" si="1"/>
        <v>5.1495663666794502E-3</v>
      </c>
    </row>
    <row r="34" spans="2:13">
      <c r="B34" s="10" t="s">
        <v>220</v>
      </c>
      <c r="C34" t="s">
        <v>112</v>
      </c>
      <c r="D34">
        <v>20.803000000000001</v>
      </c>
      <c r="E34">
        <f t="shared" ref="E34" si="41">AVERAGE(D32:D34)</f>
        <v>20.747666666666664</v>
      </c>
      <c r="F34" t="s">
        <v>221</v>
      </c>
      <c r="G34" t="s">
        <v>209</v>
      </c>
      <c r="H34">
        <v>28.271000000000001</v>
      </c>
      <c r="I34">
        <f>H34-E34</f>
        <v>7.523333333333337</v>
      </c>
      <c r="J34">
        <f t="shared" si="1"/>
        <v>5.4356439225719238E-3</v>
      </c>
      <c r="K34">
        <f t="shared" ref="K34" si="42">AVERAGE(J32:J34)</f>
        <v>5.3745133433010343E-3</v>
      </c>
      <c r="M34">
        <f t="shared" ref="M34" si="43">K34/0.00019886011152199</f>
        <v>27.026603284926345</v>
      </c>
    </row>
    <row r="35" spans="2:13">
      <c r="B35" t="s">
        <v>221</v>
      </c>
      <c r="C35" t="s">
        <v>112</v>
      </c>
      <c r="D35">
        <v>22.204000000000001</v>
      </c>
      <c r="F35" t="s">
        <v>222</v>
      </c>
      <c r="G35" t="s">
        <v>209</v>
      </c>
      <c r="H35">
        <v>30.756</v>
      </c>
      <c r="I35">
        <f>H35-E37</f>
        <v>8.620000000000001</v>
      </c>
      <c r="J35">
        <f t="shared" si="1"/>
        <v>2.5416833114100252E-3</v>
      </c>
    </row>
    <row r="36" spans="2:13">
      <c r="B36" t="s">
        <v>221</v>
      </c>
      <c r="C36" t="s">
        <v>112</v>
      </c>
      <c r="D36">
        <v>22.088000000000001</v>
      </c>
      <c r="F36" t="s">
        <v>222</v>
      </c>
      <c r="G36" t="s">
        <v>209</v>
      </c>
      <c r="H36">
        <v>30.946000000000002</v>
      </c>
      <c r="I36">
        <f>H36-E37</f>
        <v>8.8100000000000023</v>
      </c>
      <c r="J36">
        <f t="shared" si="1"/>
        <v>2.2280541325555127E-3</v>
      </c>
    </row>
    <row r="37" spans="2:13">
      <c r="B37" t="s">
        <v>221</v>
      </c>
      <c r="C37" t="s">
        <v>112</v>
      </c>
      <c r="D37">
        <v>22.116</v>
      </c>
      <c r="E37">
        <f t="shared" ref="E37" si="44">AVERAGE(D35:D37)</f>
        <v>22.135999999999999</v>
      </c>
      <c r="F37" t="s">
        <v>222</v>
      </c>
      <c r="G37" t="s">
        <v>209</v>
      </c>
      <c r="H37">
        <v>30.384</v>
      </c>
      <c r="I37">
        <f>H37-E37</f>
        <v>8.2480000000000011</v>
      </c>
      <c r="J37">
        <f t="shared" si="1"/>
        <v>3.2893084125328732E-3</v>
      </c>
      <c r="K37">
        <f t="shared" ref="K37" si="45">AVERAGE(J35:J37)</f>
        <v>2.6863486188328039E-3</v>
      </c>
      <c r="M37">
        <f t="shared" ref="M37" si="46">K37/0.00019886011152199</f>
        <v>13.50873535307128</v>
      </c>
    </row>
    <row r="38" spans="2:13">
      <c r="B38" t="s">
        <v>223</v>
      </c>
      <c r="C38" t="s">
        <v>112</v>
      </c>
      <c r="D38">
        <v>20.562000000000001</v>
      </c>
      <c r="F38" t="s">
        <v>223</v>
      </c>
      <c r="G38" t="s">
        <v>209</v>
      </c>
      <c r="H38">
        <v>31.827000000000002</v>
      </c>
      <c r="I38">
        <f>H38-E40</f>
        <v>11.405999999999999</v>
      </c>
      <c r="J38">
        <f t="shared" si="1"/>
        <v>3.6851219934584006E-4</v>
      </c>
    </row>
    <row r="39" spans="2:13">
      <c r="B39" t="s">
        <v>223</v>
      </c>
      <c r="C39" t="s">
        <v>112</v>
      </c>
      <c r="D39">
        <v>20.643999999999998</v>
      </c>
      <c r="F39" t="s">
        <v>223</v>
      </c>
      <c r="G39" t="s">
        <v>209</v>
      </c>
      <c r="H39">
        <v>31.513000000000002</v>
      </c>
      <c r="I39">
        <f>H39-E40</f>
        <v>11.091999999999999</v>
      </c>
      <c r="J39">
        <f t="shared" si="1"/>
        <v>4.5811581860384388E-4</v>
      </c>
    </row>
    <row r="40" spans="2:13">
      <c r="B40" t="s">
        <v>223</v>
      </c>
      <c r="C40" t="s">
        <v>112</v>
      </c>
      <c r="D40">
        <v>20.056999999999999</v>
      </c>
      <c r="E40">
        <f>AVERAGE(D38:D40)</f>
        <v>20.421000000000003</v>
      </c>
      <c r="F40" t="s">
        <v>223</v>
      </c>
      <c r="G40" t="s">
        <v>209</v>
      </c>
      <c r="H40">
        <v>30.917999999999999</v>
      </c>
      <c r="I40">
        <f>H40-E40</f>
        <v>10.496999999999996</v>
      </c>
      <c r="J40">
        <f t="shared" si="1"/>
        <v>6.9197138501377942E-4</v>
      </c>
      <c r="K40">
        <f>AVERAGE(J38:J40)</f>
        <v>5.0619980098782103E-4</v>
      </c>
      <c r="M40">
        <f t="shared" ref="M40" si="47">K40/0.00019886011152199</f>
        <v>2.5455069752982884</v>
      </c>
    </row>
    <row r="41" spans="2:13">
      <c r="B41" t="s">
        <v>224</v>
      </c>
      <c r="C41" t="s">
        <v>112</v>
      </c>
      <c r="D41">
        <v>20.75</v>
      </c>
      <c r="F41" t="s">
        <v>224</v>
      </c>
      <c r="G41" t="s">
        <v>209</v>
      </c>
      <c r="H41">
        <v>31.934000000000001</v>
      </c>
      <c r="I41">
        <f t="shared" ref="I41:I53" si="48">H41-E43</f>
        <v>11.169</v>
      </c>
      <c r="J41">
        <f t="shared" si="1"/>
        <v>4.3430614918842667E-4</v>
      </c>
    </row>
    <row r="42" spans="2:13">
      <c r="B42" t="s">
        <v>224</v>
      </c>
      <c r="C42" t="s">
        <v>112</v>
      </c>
      <c r="D42">
        <v>20.794</v>
      </c>
      <c r="F42" t="s">
        <v>224</v>
      </c>
      <c r="G42" t="s">
        <v>209</v>
      </c>
      <c r="H42">
        <v>33.304000000000002</v>
      </c>
      <c r="I42">
        <f t="shared" ref="I42:I54" si="49">H42-E43</f>
        <v>12.539000000000001</v>
      </c>
      <c r="J42">
        <f t="shared" si="1"/>
        <v>1.6802924824105189E-4</v>
      </c>
    </row>
    <row r="43" spans="2:13">
      <c r="B43" t="s">
        <v>224</v>
      </c>
      <c r="C43" t="s">
        <v>112</v>
      </c>
      <c r="D43">
        <v>20.751000000000001</v>
      </c>
      <c r="E43">
        <f t="shared" ref="E43" si="50">AVERAGE(D41:D43)</f>
        <v>20.765000000000001</v>
      </c>
      <c r="F43" t="s">
        <v>224</v>
      </c>
      <c r="G43" t="s">
        <v>209</v>
      </c>
      <c r="H43">
        <v>34.185000000000002</v>
      </c>
      <c r="I43">
        <f t="shared" ref="I43:I55" si="51">H43-E43</f>
        <v>13.420000000000002</v>
      </c>
      <c r="J43">
        <f t="shared" si="1"/>
        <v>9.1238357460628422E-5</v>
      </c>
      <c r="K43">
        <f t="shared" ref="K43" si="52">AVERAGE(J41:J43)</f>
        <v>2.3119125163003563E-4</v>
      </c>
      <c r="M43">
        <f t="shared" ref="M43" si="53">K43/0.00019886011152199</f>
        <v>1.1625823291589095</v>
      </c>
    </row>
    <row r="44" spans="2:13">
      <c r="B44" t="s">
        <v>225</v>
      </c>
      <c r="C44" t="s">
        <v>112</v>
      </c>
      <c r="D44">
        <v>20.989000000000001</v>
      </c>
      <c r="F44" t="s">
        <v>225</v>
      </c>
      <c r="G44" t="s">
        <v>209</v>
      </c>
      <c r="H44">
        <v>34.353999999999999</v>
      </c>
      <c r="I44">
        <f t="shared" si="48"/>
        <v>13.358000000000001</v>
      </c>
      <c r="J44">
        <f t="shared" si="1"/>
        <v>9.5244809591516573E-5</v>
      </c>
    </row>
    <row r="45" spans="2:13">
      <c r="B45" t="s">
        <v>225</v>
      </c>
      <c r="C45" t="s">
        <v>112</v>
      </c>
      <c r="D45">
        <v>20.986999999999998</v>
      </c>
      <c r="F45" t="s">
        <v>225</v>
      </c>
      <c r="G45" t="s">
        <v>209</v>
      </c>
      <c r="H45">
        <v>30.189</v>
      </c>
      <c r="I45">
        <f t="shared" si="49"/>
        <v>9.1930000000000014</v>
      </c>
      <c r="J45">
        <f t="shared" si="1"/>
        <v>1.7085639939566821E-3</v>
      </c>
    </row>
    <row r="46" spans="2:13">
      <c r="B46" t="s">
        <v>225</v>
      </c>
      <c r="C46" t="s">
        <v>112</v>
      </c>
      <c r="D46">
        <v>21.012</v>
      </c>
      <c r="E46">
        <f t="shared" ref="E46" si="54">AVERAGE(D44:D46)</f>
        <v>20.995999999999999</v>
      </c>
      <c r="F46" t="s">
        <v>225</v>
      </c>
      <c r="G46" t="s">
        <v>209</v>
      </c>
      <c r="H46">
        <v>33.573999999999998</v>
      </c>
      <c r="I46">
        <f t="shared" si="51"/>
        <v>12.577999999999999</v>
      </c>
      <c r="J46">
        <f t="shared" si="1"/>
        <v>1.635478030307423E-4</v>
      </c>
      <c r="K46">
        <f t="shared" ref="K46" si="55">AVERAGE(J44:J46)</f>
        <v>6.5578553552631371E-4</v>
      </c>
      <c r="M46">
        <f t="shared" ref="M46" si="56">K46/0.00019886011152199</f>
        <v>3.2977228590852761</v>
      </c>
    </row>
    <row r="47" spans="2:13">
      <c r="B47" t="s">
        <v>226</v>
      </c>
      <c r="C47" t="s">
        <v>112</v>
      </c>
      <c r="D47">
        <v>21.451000000000001</v>
      </c>
      <c r="F47" t="s">
        <v>226</v>
      </c>
      <c r="G47" t="s">
        <v>209</v>
      </c>
      <c r="H47">
        <v>33.975000000000001</v>
      </c>
      <c r="I47">
        <f t="shared" si="48"/>
        <v>12.622999999999998</v>
      </c>
      <c r="J47">
        <f t="shared" si="1"/>
        <v>1.5852522005980059E-4</v>
      </c>
    </row>
    <row r="48" spans="2:13">
      <c r="B48" t="s">
        <v>226</v>
      </c>
      <c r="C48" t="s">
        <v>112</v>
      </c>
      <c r="D48">
        <v>21.370999999999999</v>
      </c>
      <c r="F48" t="s">
        <v>226</v>
      </c>
      <c r="G48" t="s">
        <v>209</v>
      </c>
      <c r="H48">
        <v>35.021000000000001</v>
      </c>
      <c r="I48">
        <f t="shared" si="49"/>
        <v>13.668999999999997</v>
      </c>
      <c r="J48">
        <f t="shared" si="1"/>
        <v>7.6775205800538404E-5</v>
      </c>
    </row>
    <row r="49" spans="2:13">
      <c r="B49" t="s">
        <v>226</v>
      </c>
      <c r="C49" t="s">
        <v>112</v>
      </c>
      <c r="D49">
        <v>21.234000000000002</v>
      </c>
      <c r="E49">
        <f t="shared" ref="E49" si="57">AVERAGE(D47:D49)</f>
        <v>21.352000000000004</v>
      </c>
      <c r="F49" t="s">
        <v>226</v>
      </c>
      <c r="G49" t="s">
        <v>209</v>
      </c>
      <c r="H49">
        <v>33.067</v>
      </c>
      <c r="I49">
        <f t="shared" si="51"/>
        <v>11.714999999999996</v>
      </c>
      <c r="J49">
        <f t="shared" si="1"/>
        <v>2.9746344328007701E-4</v>
      </c>
      <c r="K49">
        <f t="shared" ref="K49" si="58">AVERAGE(J47:J49)</f>
        <v>1.7758795638013868E-4</v>
      </c>
      <c r="M49">
        <f t="shared" ref="M49" si="59">K49/0.00019886011152199</f>
        <v>0.89302955238713599</v>
      </c>
    </row>
    <row r="50" spans="2:13">
      <c r="B50" t="s">
        <v>227</v>
      </c>
      <c r="C50" t="s">
        <v>112</v>
      </c>
      <c r="D50">
        <v>21.280999999999999</v>
      </c>
      <c r="F50" t="s">
        <v>227</v>
      </c>
      <c r="G50" t="s">
        <v>209</v>
      </c>
      <c r="H50">
        <v>33.747999999999998</v>
      </c>
      <c r="I50">
        <f t="shared" si="48"/>
        <v>12.724999999999998</v>
      </c>
      <c r="J50">
        <f t="shared" si="1"/>
        <v>1.4770435659415226E-4</v>
      </c>
    </row>
    <row r="51" spans="2:13">
      <c r="B51" t="s">
        <v>227</v>
      </c>
      <c r="C51" t="s">
        <v>112</v>
      </c>
      <c r="D51">
        <v>20.739000000000001</v>
      </c>
      <c r="F51" t="s">
        <v>227</v>
      </c>
      <c r="G51" t="s">
        <v>209</v>
      </c>
      <c r="H51">
        <v>37.356000000000002</v>
      </c>
      <c r="I51">
        <f t="shared" si="49"/>
        <v>16.333000000000002</v>
      </c>
      <c r="J51">
        <f t="shared" si="1"/>
        <v>1.2113707442194399E-5</v>
      </c>
    </row>
    <row r="52" spans="2:13">
      <c r="B52" t="s">
        <v>227</v>
      </c>
      <c r="C52" t="s">
        <v>112</v>
      </c>
      <c r="D52">
        <v>21.048999999999999</v>
      </c>
      <c r="E52">
        <f t="shared" ref="E52" si="60">AVERAGE(D50:D52)</f>
        <v>21.023</v>
      </c>
      <c r="F52" t="s">
        <v>227</v>
      </c>
      <c r="G52" t="s">
        <v>209</v>
      </c>
      <c r="H52">
        <v>33.201000000000001</v>
      </c>
      <c r="I52">
        <f t="shared" si="51"/>
        <v>12.178000000000001</v>
      </c>
      <c r="J52">
        <f t="shared" si="1"/>
        <v>2.1580261988859162E-4</v>
      </c>
      <c r="K52">
        <f t="shared" ref="K52" si="61">AVERAGE(J50:J52)</f>
        <v>1.252068946416461E-4</v>
      </c>
      <c r="M52">
        <f t="shared" ref="M52" si="62">K52/0.00019886011152199</f>
        <v>0.62962297307069903</v>
      </c>
    </row>
    <row r="53" spans="2:13">
      <c r="B53" t="s">
        <v>228</v>
      </c>
      <c r="C53" t="s">
        <v>112</v>
      </c>
      <c r="D53">
        <v>20.623000000000001</v>
      </c>
      <c r="F53" t="s">
        <v>228</v>
      </c>
      <c r="G53" t="s">
        <v>209</v>
      </c>
      <c r="H53">
        <v>35.966000000000001</v>
      </c>
      <c r="I53">
        <f t="shared" si="48"/>
        <v>15.445333333333334</v>
      </c>
      <c r="J53">
        <f t="shared" si="1"/>
        <v>2.2412555274324352E-5</v>
      </c>
    </row>
    <row r="54" spans="2:13">
      <c r="B54" t="s">
        <v>228</v>
      </c>
      <c r="C54" t="s">
        <v>112</v>
      </c>
      <c r="D54">
        <v>20.443999999999999</v>
      </c>
      <c r="F54" t="s">
        <v>228</v>
      </c>
      <c r="G54" t="s">
        <v>209</v>
      </c>
      <c r="H54">
        <v>33.734000000000002</v>
      </c>
      <c r="I54">
        <f t="shared" si="49"/>
        <v>13.213333333333335</v>
      </c>
      <c r="J54">
        <f t="shared" si="1"/>
        <v>1.0529077538967166E-4</v>
      </c>
    </row>
    <row r="55" spans="2:13">
      <c r="B55" t="s">
        <v>228</v>
      </c>
      <c r="C55" t="s">
        <v>112</v>
      </c>
      <c r="D55">
        <v>20.495000000000001</v>
      </c>
      <c r="E55">
        <f t="shared" ref="E55" si="63">AVERAGE(D53:D55)</f>
        <v>20.520666666666667</v>
      </c>
      <c r="F55" t="s">
        <v>228</v>
      </c>
      <c r="G55" t="s">
        <v>209</v>
      </c>
      <c r="H55">
        <v>34.052</v>
      </c>
      <c r="I55">
        <f t="shared" si="51"/>
        <v>13.531333333333333</v>
      </c>
      <c r="J55">
        <f t="shared" si="1"/>
        <v>8.4462277008244568E-5</v>
      </c>
      <c r="K55">
        <f t="shared" ref="K55" si="64">AVERAGE(J53:J55)</f>
        <v>7.0721869224080194E-5</v>
      </c>
      <c r="M55">
        <f t="shared" ref="M55" si="65">K55/0.00019886011152199</f>
        <v>0.35563627457917701</v>
      </c>
    </row>
    <row r="56" spans="2:13">
      <c r="B56" t="s">
        <v>229</v>
      </c>
      <c r="C56" t="s">
        <v>112</v>
      </c>
      <c r="D56">
        <v>21.31</v>
      </c>
      <c r="F56" t="s">
        <v>229</v>
      </c>
      <c r="G56" t="s">
        <v>209</v>
      </c>
      <c r="H56">
        <v>28.524000000000001</v>
      </c>
      <c r="I56">
        <f t="shared" ref="I56" si="66">H56-E58</f>
        <v>7.1939999999999991</v>
      </c>
      <c r="J56">
        <f t="shared" si="1"/>
        <v>6.8295204719560475E-3</v>
      </c>
    </row>
    <row r="57" spans="2:13">
      <c r="B57" t="s">
        <v>229</v>
      </c>
      <c r="C57" t="s">
        <v>112</v>
      </c>
      <c r="D57">
        <v>21.234999999999999</v>
      </c>
      <c r="F57" t="s">
        <v>229</v>
      </c>
      <c r="G57" t="s">
        <v>209</v>
      </c>
      <c r="H57">
        <v>28.512</v>
      </c>
      <c r="I57">
        <f t="shared" ref="I57" si="67">H57-E58</f>
        <v>7.1819999999999986</v>
      </c>
      <c r="J57">
        <f t="shared" si="1"/>
        <v>6.8865637336497747E-3</v>
      </c>
    </row>
    <row r="58" spans="2:13">
      <c r="B58" t="s">
        <v>229</v>
      </c>
      <c r="C58" t="s">
        <v>112</v>
      </c>
      <c r="D58">
        <v>21.445</v>
      </c>
      <c r="E58">
        <f t="shared" ref="E58" si="68">AVERAGE(D56:D58)</f>
        <v>21.330000000000002</v>
      </c>
      <c r="F58" t="s">
        <v>229</v>
      </c>
      <c r="G58" t="s">
        <v>209</v>
      </c>
      <c r="H58">
        <v>28.513999999999999</v>
      </c>
      <c r="I58">
        <f t="shared" ref="I58" si="69">H58-E58</f>
        <v>7.1839999999999975</v>
      </c>
      <c r="J58">
        <f t="shared" si="1"/>
        <v>6.8770235434621324E-3</v>
      </c>
      <c r="K58">
        <f t="shared" ref="K58" si="70">AVERAGE(J56:J58)</f>
        <v>6.8643692496893173E-3</v>
      </c>
      <c r="M58">
        <f t="shared" ref="M58" si="71">K58/0.00019886011152199</f>
        <v>34.518582923203553</v>
      </c>
    </row>
    <row r="59" spans="2:13">
      <c r="B59" s="10" t="s">
        <v>230</v>
      </c>
      <c r="C59" t="s">
        <v>112</v>
      </c>
      <c r="D59">
        <v>19.829999999999998</v>
      </c>
      <c r="F59" s="10" t="s">
        <v>230</v>
      </c>
      <c r="G59" t="s">
        <v>209</v>
      </c>
      <c r="H59">
        <v>26.350999999999999</v>
      </c>
      <c r="I59">
        <f t="shared" ref="I59" si="72">H59-E61</f>
        <v>6.5513333333333357</v>
      </c>
      <c r="J59">
        <f t="shared" si="1"/>
        <v>1.0662330864833045E-2</v>
      </c>
    </row>
    <row r="60" spans="2:13">
      <c r="B60" s="10" t="s">
        <v>230</v>
      </c>
      <c r="C60" t="s">
        <v>112</v>
      </c>
      <c r="D60">
        <v>19.739999999999998</v>
      </c>
      <c r="F60" s="10" t="s">
        <v>230</v>
      </c>
      <c r="G60" t="s">
        <v>209</v>
      </c>
      <c r="H60">
        <v>26.385000000000002</v>
      </c>
      <c r="I60">
        <f t="shared" ref="I60" si="73">H60-E61</f>
        <v>6.5853333333333381</v>
      </c>
      <c r="J60">
        <f t="shared" si="1"/>
        <v>1.0413989494299615E-2</v>
      </c>
    </row>
    <row r="61" spans="2:13">
      <c r="B61" s="10" t="s">
        <v>230</v>
      </c>
      <c r="C61" t="s">
        <v>112</v>
      </c>
      <c r="D61">
        <v>19.829000000000001</v>
      </c>
      <c r="E61">
        <f t="shared" ref="E61" si="74">AVERAGE(D59:D61)</f>
        <v>19.799666666666663</v>
      </c>
      <c r="F61" s="10" t="s">
        <v>230</v>
      </c>
      <c r="G61" t="s">
        <v>209</v>
      </c>
      <c r="H61">
        <v>26.419</v>
      </c>
      <c r="I61">
        <f t="shared" ref="I61" si="75">H61-E61</f>
        <v>6.6193333333333371</v>
      </c>
      <c r="J61">
        <f t="shared" si="1"/>
        <v>1.0171432359605475E-2</v>
      </c>
      <c r="K61">
        <f t="shared" ref="K61" si="76">AVERAGE(J59:J61)</f>
        <v>1.0415917572912712E-2</v>
      </c>
      <c r="M61">
        <f t="shared" ref="M61" si="77">K61/0.00019886011152199</f>
        <v>52.378113907277566</v>
      </c>
    </row>
    <row r="62" spans="2:13">
      <c r="B62" t="s">
        <v>231</v>
      </c>
      <c r="C62" t="s">
        <v>112</v>
      </c>
      <c r="D62">
        <v>19.004999999999999</v>
      </c>
      <c r="F62" t="s">
        <v>231</v>
      </c>
      <c r="G62" t="s">
        <v>209</v>
      </c>
      <c r="H62">
        <v>26.501000000000001</v>
      </c>
      <c r="I62">
        <f>H62-E64</f>
        <v>7.3269999999999982</v>
      </c>
      <c r="J62">
        <f t="shared" si="1"/>
        <v>6.2280662229729465E-3</v>
      </c>
    </row>
    <row r="63" spans="2:13">
      <c r="B63" t="s">
        <v>231</v>
      </c>
      <c r="C63" t="s">
        <v>112</v>
      </c>
      <c r="D63">
        <v>19.173999999999999</v>
      </c>
      <c r="F63" t="s">
        <v>231</v>
      </c>
      <c r="G63" t="s">
        <v>209</v>
      </c>
      <c r="H63">
        <v>26.469000000000001</v>
      </c>
      <c r="I63">
        <f t="shared" ref="I63:I72" si="78">H63-E64</f>
        <v>7.2949999999999982</v>
      </c>
      <c r="J63">
        <f t="shared" si="1"/>
        <v>6.3677525968955217E-3</v>
      </c>
    </row>
    <row r="64" spans="2:13">
      <c r="B64" t="s">
        <v>231</v>
      </c>
      <c r="C64" t="s">
        <v>112</v>
      </c>
      <c r="D64">
        <v>19.343</v>
      </c>
      <c r="E64">
        <f t="shared" ref="E64" si="79">AVERAGE(D62:D64)</f>
        <v>19.174000000000003</v>
      </c>
      <c r="F64" t="s">
        <v>231</v>
      </c>
      <c r="G64" t="s">
        <v>209</v>
      </c>
      <c r="H64">
        <v>26.475999999999999</v>
      </c>
      <c r="I64">
        <f t="shared" ref="I64:I73" si="80">H64-E64</f>
        <v>7.301999999999996</v>
      </c>
      <c r="J64">
        <f t="shared" si="1"/>
        <v>6.3369309029456672E-3</v>
      </c>
      <c r="K64">
        <f t="shared" ref="K64" si="81">AVERAGE(J62:J64)</f>
        <v>6.3109165742713776E-3</v>
      </c>
      <c r="M64">
        <f t="shared" ref="M64" si="82">K64/0.00019886011152199</f>
        <v>31.735457281856725</v>
      </c>
    </row>
    <row r="65" spans="2:34">
      <c r="B65" s="10" t="s">
        <v>232</v>
      </c>
      <c r="C65" t="s">
        <v>112</v>
      </c>
      <c r="D65">
        <v>20.690999999999999</v>
      </c>
      <c r="F65" s="10" t="s">
        <v>232</v>
      </c>
      <c r="G65" t="s">
        <v>209</v>
      </c>
      <c r="H65">
        <v>26.478000000000002</v>
      </c>
      <c r="I65">
        <f t="shared" ref="I65" si="83">H65-E67</f>
        <v>5.8649999999999984</v>
      </c>
      <c r="J65">
        <f t="shared" si="1"/>
        <v>1.7157700215422667E-2</v>
      </c>
    </row>
    <row r="66" spans="2:34">
      <c r="B66" s="10" t="s">
        <v>232</v>
      </c>
      <c r="C66" t="s">
        <v>112</v>
      </c>
      <c r="D66">
        <v>20.795000000000002</v>
      </c>
      <c r="F66" s="10" t="s">
        <v>232</v>
      </c>
      <c r="G66" t="s">
        <v>209</v>
      </c>
      <c r="H66">
        <v>26.643999999999998</v>
      </c>
      <c r="I66">
        <f t="shared" ref="I66" si="84">H66-E67</f>
        <v>6.0309999999999953</v>
      </c>
      <c r="J66">
        <f t="shared" ref="J66:J73" si="85">POWER(2,-I66)</f>
        <v>1.5292838287459991E-2</v>
      </c>
    </row>
    <row r="67" spans="2:34">
      <c r="B67" s="10" t="s">
        <v>232</v>
      </c>
      <c r="C67" t="s">
        <v>112</v>
      </c>
      <c r="D67">
        <v>20.353000000000002</v>
      </c>
      <c r="E67">
        <f t="shared" ref="E67" si="86">AVERAGE(D65:D67)</f>
        <v>20.613000000000003</v>
      </c>
      <c r="F67" s="10" t="s">
        <v>232</v>
      </c>
      <c r="G67" t="s">
        <v>209</v>
      </c>
      <c r="H67">
        <v>26.603999999999999</v>
      </c>
      <c r="I67">
        <f t="shared" ref="I67" si="87">H67-E67</f>
        <v>5.9909999999999961</v>
      </c>
      <c r="J67">
        <f t="shared" si="85"/>
        <v>1.5722778492152888E-2</v>
      </c>
      <c r="K67">
        <f t="shared" ref="K67" si="88">AVERAGE(J65:J67)</f>
        <v>1.6057772331678516E-2</v>
      </c>
      <c r="M67">
        <f t="shared" ref="M67" si="89">K67/0.00019886011152199</f>
        <v>80.749086424518296</v>
      </c>
    </row>
    <row r="68" spans="2:34">
      <c r="B68" s="10" t="s">
        <v>233</v>
      </c>
      <c r="C68" t="s">
        <v>112</v>
      </c>
      <c r="D68">
        <v>19.425000000000001</v>
      </c>
      <c r="F68" s="10" t="s">
        <v>233</v>
      </c>
      <c r="G68" t="s">
        <v>209</v>
      </c>
      <c r="H68">
        <v>26.052</v>
      </c>
      <c r="I68">
        <f t="shared" ref="I68" si="90">H68-E70</f>
        <v>6.4636666666666649</v>
      </c>
      <c r="J68">
        <f t="shared" si="85"/>
        <v>1.1330327190911194E-2</v>
      </c>
      <c r="N68" s="11"/>
    </row>
    <row r="69" spans="2:34">
      <c r="B69" s="10" t="s">
        <v>233</v>
      </c>
      <c r="C69" t="s">
        <v>112</v>
      </c>
      <c r="D69">
        <v>19.309999999999999</v>
      </c>
      <c r="F69" s="10" t="s">
        <v>233</v>
      </c>
      <c r="G69" t="s">
        <v>209</v>
      </c>
      <c r="H69">
        <v>25.972000000000001</v>
      </c>
      <c r="I69">
        <f t="shared" ref="I69" si="91">H69-E70</f>
        <v>6.3836666666666666</v>
      </c>
      <c r="J69">
        <f t="shared" si="85"/>
        <v>1.1976360246256262E-2</v>
      </c>
      <c r="N69" s="11"/>
    </row>
    <row r="70" spans="2:34">
      <c r="B70" s="10" t="s">
        <v>233</v>
      </c>
      <c r="C70" t="s">
        <v>112</v>
      </c>
      <c r="D70">
        <v>20.03</v>
      </c>
      <c r="E70">
        <f t="shared" ref="E70" si="92">AVERAGE(D68:D70)</f>
        <v>19.588333333333335</v>
      </c>
      <c r="F70" s="10" t="s">
        <v>233</v>
      </c>
      <c r="G70" t="s">
        <v>209</v>
      </c>
      <c r="H70">
        <v>26.016999999999999</v>
      </c>
      <c r="I70">
        <f t="shared" ref="I70" si="93">H70-E70</f>
        <v>6.4286666666666648</v>
      </c>
      <c r="J70">
        <f t="shared" si="85"/>
        <v>1.1608564030642135E-2</v>
      </c>
      <c r="K70">
        <f t="shared" ref="K70" si="94">AVERAGE(J68:J70)</f>
        <v>1.1638417155936531E-2</v>
      </c>
      <c r="M70">
        <f t="shared" ref="M70" si="95">K70/0.00019886011152199</f>
        <v>58.525649346473145</v>
      </c>
      <c r="N70" s="11"/>
    </row>
    <row r="71" spans="2:34">
      <c r="B71" t="s">
        <v>234</v>
      </c>
      <c r="C71" t="s">
        <v>112</v>
      </c>
      <c r="D71">
        <v>20.222999999999999</v>
      </c>
      <c r="F71" t="s">
        <v>234</v>
      </c>
      <c r="G71" t="s">
        <v>209</v>
      </c>
      <c r="H71">
        <v>26.948</v>
      </c>
      <c r="I71">
        <f>H71-E73</f>
        <v>6.8523333333333376</v>
      </c>
      <c r="J71">
        <f t="shared" si="85"/>
        <v>8.6545028719174199E-3</v>
      </c>
    </row>
    <row r="72" spans="2:34">
      <c r="B72" t="s">
        <v>234</v>
      </c>
      <c r="C72" t="s">
        <v>112</v>
      </c>
      <c r="D72">
        <v>19.803000000000001</v>
      </c>
      <c r="F72" t="s">
        <v>234</v>
      </c>
      <c r="G72" t="s">
        <v>209</v>
      </c>
      <c r="H72">
        <v>26.896999999999998</v>
      </c>
      <c r="I72">
        <f t="shared" si="78"/>
        <v>6.8013333333333357</v>
      </c>
      <c r="J72">
        <f t="shared" si="85"/>
        <v>8.9659158024871424E-3</v>
      </c>
    </row>
    <row r="73" spans="2:34">
      <c r="B73" t="s">
        <v>234</v>
      </c>
      <c r="C73" t="s">
        <v>112</v>
      </c>
      <c r="D73">
        <v>20.260999999999999</v>
      </c>
      <c r="E73">
        <f t="shared" ref="E73" si="96">AVERAGE(D71:D73)</f>
        <v>20.095666666666663</v>
      </c>
      <c r="F73" t="s">
        <v>234</v>
      </c>
      <c r="G73" t="s">
        <v>209</v>
      </c>
      <c r="H73">
        <v>27.222000000000001</v>
      </c>
      <c r="I73">
        <f t="shared" si="80"/>
        <v>7.1263333333333385</v>
      </c>
      <c r="J73">
        <f t="shared" si="85"/>
        <v>7.1574761173350586E-3</v>
      </c>
      <c r="K73">
        <f t="shared" ref="K73" si="97">AVERAGE(J71:J73)</f>
        <v>8.2592982639132072E-3</v>
      </c>
      <c r="M73">
        <f t="shared" ref="M73" si="98">K73/0.00019886011152199</f>
        <v>41.533207442659467</v>
      </c>
    </row>
    <row r="77" spans="2:34">
      <c r="B77" t="s">
        <v>239</v>
      </c>
      <c r="C77" t="s">
        <v>112</v>
      </c>
      <c r="D77">
        <v>20.654</v>
      </c>
      <c r="F77" t="s">
        <v>239</v>
      </c>
      <c r="G77" t="s">
        <v>209</v>
      </c>
      <c r="H77">
        <v>34.424999999999997</v>
      </c>
      <c r="I77">
        <f>H77-E79</f>
        <v>13.611999999999995</v>
      </c>
      <c r="J77">
        <f>POWER(2,-I77)</f>
        <v>7.9869267056580535E-5</v>
      </c>
      <c r="O77" s="90"/>
      <c r="P77" s="90" t="s">
        <v>186</v>
      </c>
      <c r="Q77" s="90"/>
      <c r="R77" s="90"/>
      <c r="S77" s="90"/>
      <c r="T77" s="90"/>
      <c r="U77" s="90"/>
      <c r="V77" s="90" t="s">
        <v>195</v>
      </c>
      <c r="W77" s="90"/>
      <c r="X77" s="90"/>
      <c r="Y77" s="90"/>
      <c r="Z77" s="90"/>
      <c r="AA77" s="90"/>
      <c r="AB77" s="90" t="s">
        <v>663</v>
      </c>
      <c r="AC77" s="90" t="s">
        <v>396</v>
      </c>
      <c r="AD77" s="90" t="s">
        <v>664</v>
      </c>
      <c r="AE77" s="90" t="s">
        <v>663</v>
      </c>
      <c r="AF77" s="90" t="s">
        <v>396</v>
      </c>
      <c r="AG77" s="90" t="s">
        <v>664</v>
      </c>
      <c r="AH77" s="101" t="s">
        <v>665</v>
      </c>
    </row>
    <row r="78" spans="2:34">
      <c r="B78" t="s">
        <v>239</v>
      </c>
      <c r="C78" t="s">
        <v>112</v>
      </c>
      <c r="D78">
        <v>20.664999999999999</v>
      </c>
      <c r="F78" t="s">
        <v>239</v>
      </c>
      <c r="G78" t="s">
        <v>209</v>
      </c>
      <c r="H78">
        <v>32.198999999999998</v>
      </c>
      <c r="I78">
        <f>H78-E79</f>
        <v>11.385999999999996</v>
      </c>
      <c r="J78">
        <f>POWER(2,-I78)</f>
        <v>3.7365643794498837E-4</v>
      </c>
      <c r="O78" s="90" t="s">
        <v>237</v>
      </c>
      <c r="P78" s="90">
        <v>0.38283155454895401</v>
      </c>
      <c r="Q78" s="90">
        <v>0.76567700672710637</v>
      </c>
      <c r="R78" s="90">
        <v>1.8720063114388559</v>
      </c>
      <c r="S78" s="90">
        <v>0.59325961621964818</v>
      </c>
      <c r="T78" s="90">
        <v>0.96115792053512239</v>
      </c>
      <c r="U78" s="90">
        <v>1.4250675905303172</v>
      </c>
      <c r="V78" s="90">
        <v>0.57951617410076761</v>
      </c>
      <c r="W78" s="90">
        <v>0.68296339258393135</v>
      </c>
      <c r="X78" s="90">
        <v>0.2521683411734788</v>
      </c>
      <c r="Y78" s="90">
        <v>0.38439478152585344</v>
      </c>
      <c r="Z78" s="90">
        <v>0.30072139362429523</v>
      </c>
      <c r="AA78" s="90">
        <v>0.18531480468829631</v>
      </c>
      <c r="AB78" s="90">
        <f>AVERAGE(P78:U78)</f>
        <v>1.0000000000000007</v>
      </c>
      <c r="AC78" s="90">
        <f>STDEV(P78:U78)</f>
        <v>0.55566681849471988</v>
      </c>
      <c r="AD78" s="90">
        <f>AC78/SQRT(6)</f>
        <v>0.22685002871796306</v>
      </c>
      <c r="AE78" s="90">
        <f>AVERAGE(V78:AA78)</f>
        <v>0.39751314794943715</v>
      </c>
      <c r="AF78" s="90">
        <f>STDEV(V78:AA78)</f>
        <v>0.19509019897094282</v>
      </c>
      <c r="AG78" s="90">
        <f>AF78/SQRT(6)</f>
        <v>7.9645240216142305E-2</v>
      </c>
      <c r="AH78" s="94"/>
    </row>
    <row r="79" spans="2:34">
      <c r="B79" t="s">
        <v>239</v>
      </c>
      <c r="C79" t="s">
        <v>112</v>
      </c>
      <c r="D79">
        <v>21.12</v>
      </c>
      <c r="E79">
        <f>AVERAGE(D77:D79)</f>
        <v>20.813000000000002</v>
      </c>
      <c r="F79" t="s">
        <v>239</v>
      </c>
      <c r="G79" t="s">
        <v>209</v>
      </c>
      <c r="H79">
        <v>35.978000000000002</v>
      </c>
      <c r="I79">
        <f>H79-E79</f>
        <v>15.164999999999999</v>
      </c>
      <c r="J79">
        <f>POWER(2,-I79)</f>
        <v>2.7219498273318284E-5</v>
      </c>
      <c r="K79">
        <f>AVERAGE(J77:J79)</f>
        <v>1.6024840109162905E-4</v>
      </c>
      <c r="M79">
        <f>K79/0.000418587232916135</f>
        <v>0.38283155454895401</v>
      </c>
      <c r="O79" s="90" t="s">
        <v>238</v>
      </c>
      <c r="P79" s="90">
        <v>7.2271850742267176</v>
      </c>
      <c r="Q79" s="90">
        <v>9.9438663687838087</v>
      </c>
      <c r="R79" s="90">
        <v>22.38085329216301</v>
      </c>
      <c r="S79" s="90">
        <v>2.6621604039739073</v>
      </c>
      <c r="T79" s="90">
        <v>15.234551650233792</v>
      </c>
      <c r="U79" s="90">
        <v>3.8050363681228432</v>
      </c>
      <c r="V79" s="90">
        <v>9.7033049430952776</v>
      </c>
      <c r="W79" s="90">
        <v>22.100001597331104</v>
      </c>
      <c r="X79" s="90">
        <v>74.236681133328489</v>
      </c>
      <c r="Y79" s="90">
        <v>44.121669044015057</v>
      </c>
      <c r="Z79" s="90">
        <v>73.826677903109129</v>
      </c>
      <c r="AA79" s="90">
        <v>68.694647298933702</v>
      </c>
      <c r="AB79" s="90">
        <f>AVERAGE(P79:U79)</f>
        <v>10.208942192917347</v>
      </c>
      <c r="AC79" s="90">
        <f>STDEV(P79:U79)</f>
        <v>7.4878199245918831</v>
      </c>
      <c r="AD79" s="90">
        <f t="shared" ref="AD79" si="99">AC79/SQRT(6)</f>
        <v>3.0568896835158883</v>
      </c>
      <c r="AE79" s="90">
        <f>AVERAGE(V79:AA79)</f>
        <v>48.780496986635455</v>
      </c>
      <c r="AF79" s="90">
        <f>STDEV(V79:AA79)</f>
        <v>28.044544291170919</v>
      </c>
      <c r="AG79" s="90">
        <f t="shared" ref="AG79" si="100">AF79/SQRT(6)</f>
        <v>11.449137263708618</v>
      </c>
      <c r="AH79" s="94">
        <v>8.9999999999999998E-4</v>
      </c>
    </row>
    <row r="80" spans="2:34">
      <c r="B80" t="s">
        <v>240</v>
      </c>
      <c r="C80" t="s">
        <v>112</v>
      </c>
      <c r="D80">
        <v>22.442</v>
      </c>
      <c r="F80" t="s">
        <v>240</v>
      </c>
      <c r="G80" t="s">
        <v>209</v>
      </c>
      <c r="H80">
        <v>33.633000000000003</v>
      </c>
      <c r="I80">
        <f>H80-E82</f>
        <v>11.162000000000003</v>
      </c>
      <c r="J80">
        <f>POWER(2,-I80)</f>
        <v>4.3641853630702428E-4</v>
      </c>
      <c r="O80" s="90"/>
      <c r="P80" s="90"/>
      <c r="Q80" s="90"/>
      <c r="R80" s="90"/>
      <c r="S80" s="90"/>
      <c r="T80" s="90"/>
      <c r="U80" s="90"/>
      <c r="V80" s="90"/>
      <c r="W80" s="90"/>
      <c r="X80" s="90"/>
      <c r="Y80" s="90"/>
      <c r="Z80" s="90"/>
      <c r="AA80" s="90"/>
      <c r="AB80" s="90"/>
      <c r="AC80" s="90"/>
      <c r="AD80" s="90"/>
      <c r="AE80" s="90"/>
      <c r="AF80" s="90"/>
      <c r="AG80" s="90"/>
      <c r="AH80" s="90"/>
    </row>
    <row r="81" spans="2:13">
      <c r="B81" t="s">
        <v>240</v>
      </c>
      <c r="C81" t="s">
        <v>112</v>
      </c>
      <c r="D81">
        <v>22.491</v>
      </c>
      <c r="F81" t="s">
        <v>240</v>
      </c>
      <c r="G81" t="s">
        <v>209</v>
      </c>
      <c r="H81">
        <v>34.725999999999999</v>
      </c>
      <c r="I81">
        <f>H81-E82</f>
        <v>12.254999999999999</v>
      </c>
      <c r="J81">
        <f>POWER(2,-I81)</f>
        <v>2.0458670279979241E-4</v>
      </c>
    </row>
    <row r="82" spans="2:13">
      <c r="B82" t="s">
        <v>240</v>
      </c>
      <c r="C82" t="s">
        <v>112</v>
      </c>
      <c r="D82">
        <v>22.48</v>
      </c>
      <c r="E82">
        <f>AVERAGE(D80:D82)</f>
        <v>22.471</v>
      </c>
      <c r="F82" t="s">
        <v>240</v>
      </c>
      <c r="G82" t="s">
        <v>209</v>
      </c>
      <c r="H82">
        <v>31.347000000000001</v>
      </c>
      <c r="K82">
        <f>AVERAGE(J80:J82)</f>
        <v>3.2050261955340832E-4</v>
      </c>
      <c r="M82">
        <f t="shared" ref="M82" si="101">K82/0.000418587232916135</f>
        <v>0.76567700672710637</v>
      </c>
    </row>
    <row r="83" spans="2:13">
      <c r="B83" t="s">
        <v>241</v>
      </c>
      <c r="C83" t="s">
        <v>112</v>
      </c>
      <c r="D83">
        <v>20.978000000000002</v>
      </c>
      <c r="F83" t="s">
        <v>241</v>
      </c>
      <c r="G83" t="s">
        <v>209</v>
      </c>
      <c r="H83">
        <v>32.56</v>
      </c>
      <c r="I83">
        <f>H83-E85</f>
        <v>11.561666666666667</v>
      </c>
      <c r="J83">
        <f>POWER(2,-I83)</f>
        <v>3.3081982948757459E-4</v>
      </c>
    </row>
    <row r="84" spans="2:13">
      <c r="B84" t="s">
        <v>241</v>
      </c>
      <c r="C84" t="s">
        <v>112</v>
      </c>
      <c r="D84">
        <v>20.954000000000001</v>
      </c>
      <c r="F84" t="s">
        <v>241</v>
      </c>
      <c r="G84" t="s">
        <v>209</v>
      </c>
      <c r="H84">
        <v>30.658000000000001</v>
      </c>
      <c r="I84">
        <f>H84-E85</f>
        <v>9.6596666666666664</v>
      </c>
      <c r="J84">
        <f>POWER(2,-I84)</f>
        <v>1.2363760543258877E-3</v>
      </c>
    </row>
    <row r="85" spans="2:13">
      <c r="B85" t="s">
        <v>241</v>
      </c>
      <c r="C85" t="s">
        <v>112</v>
      </c>
      <c r="D85">
        <v>21.062999999999999</v>
      </c>
      <c r="E85">
        <f>AVERAGE(D83:D85)</f>
        <v>20.998333333333335</v>
      </c>
      <c r="F85" t="s">
        <v>241</v>
      </c>
      <c r="G85" t="s">
        <v>209</v>
      </c>
      <c r="H85">
        <v>27.882999999999999</v>
      </c>
      <c r="K85">
        <f>AVERAGE(J83:J85)</f>
        <v>7.8359794190673113E-4</v>
      </c>
      <c r="M85">
        <f t="shared" ref="M85" si="102">K85/0.000418587232916135</f>
        <v>1.8720063114388559</v>
      </c>
    </row>
    <row r="86" spans="2:13">
      <c r="B86" t="s">
        <v>242</v>
      </c>
      <c r="C86" t="s">
        <v>112</v>
      </c>
      <c r="D86">
        <v>22.474</v>
      </c>
      <c r="F86" t="s">
        <v>242</v>
      </c>
      <c r="G86" t="s">
        <v>209</v>
      </c>
      <c r="H86">
        <v>35.798000000000002</v>
      </c>
      <c r="I86">
        <f>H86-E88</f>
        <v>13.614000000000001</v>
      </c>
      <c r="J86">
        <f>POWER(2,-I86)</f>
        <v>7.9758621453440755E-5</v>
      </c>
    </row>
    <row r="87" spans="2:13">
      <c r="B87" t="s">
        <v>242</v>
      </c>
      <c r="C87" t="s">
        <v>112</v>
      </c>
      <c r="D87">
        <v>21.603999999999999</v>
      </c>
      <c r="F87" t="s">
        <v>242</v>
      </c>
      <c r="G87" t="s">
        <v>209</v>
      </c>
      <c r="H87">
        <v>30.797000000000001</v>
      </c>
    </row>
    <row r="88" spans="2:13">
      <c r="B88" t="s">
        <v>242</v>
      </c>
      <c r="C88" t="s">
        <v>112</v>
      </c>
      <c r="D88">
        <v>22.474</v>
      </c>
      <c r="E88">
        <f>AVERAGE(D86:D88)</f>
        <v>22.184000000000001</v>
      </c>
      <c r="F88" t="s">
        <v>242</v>
      </c>
      <c r="G88" t="s">
        <v>209</v>
      </c>
      <c r="H88">
        <v>33.411999999999999</v>
      </c>
      <c r="I88">
        <f>H88-E88</f>
        <v>11.227999999999998</v>
      </c>
      <c r="J88">
        <f t="shared" ref="J88:J148" si="103">POWER(2,-I88)</f>
        <v>4.1690318085510069E-4</v>
      </c>
      <c r="K88">
        <f>AVERAGE(J86:J88)</f>
        <v>2.4833090115427073E-4</v>
      </c>
      <c r="M88">
        <f t="shared" ref="M88" si="104">K88/0.000418587232916135</f>
        <v>0.59325961621964818</v>
      </c>
    </row>
    <row r="89" spans="2:13">
      <c r="B89" t="s">
        <v>243</v>
      </c>
      <c r="C89" t="s">
        <v>112</v>
      </c>
      <c r="D89">
        <v>22.699000000000002</v>
      </c>
      <c r="F89" t="s">
        <v>243</v>
      </c>
      <c r="G89" t="s">
        <v>209</v>
      </c>
      <c r="H89">
        <v>35.433</v>
      </c>
      <c r="I89">
        <f>H89-E91</f>
        <v>12.756999999999998</v>
      </c>
      <c r="J89">
        <f t="shared" si="103"/>
        <v>1.444642360537809E-4</v>
      </c>
    </row>
    <row r="90" spans="2:13">
      <c r="B90" t="s">
        <v>243</v>
      </c>
      <c r="C90" t="s">
        <v>112</v>
      </c>
      <c r="D90">
        <v>22.641999999999999</v>
      </c>
      <c r="F90" t="s">
        <v>243</v>
      </c>
      <c r="G90" t="s">
        <v>209</v>
      </c>
      <c r="H90">
        <v>35.054000000000002</v>
      </c>
      <c r="I90">
        <f>H90-E91</f>
        <v>12.378</v>
      </c>
      <c r="J90">
        <f t="shared" si="103"/>
        <v>1.8786709230479278E-4</v>
      </c>
    </row>
    <row r="91" spans="2:13">
      <c r="B91" t="s">
        <v>243</v>
      </c>
      <c r="C91" t="s">
        <v>112</v>
      </c>
      <c r="D91">
        <v>22.687000000000001</v>
      </c>
      <c r="E91">
        <f>AVERAGE(D89:D91)</f>
        <v>22.676000000000002</v>
      </c>
      <c r="F91" t="s">
        <v>243</v>
      </c>
      <c r="G91" t="s">
        <v>209</v>
      </c>
      <c r="H91">
        <v>32.835000000000001</v>
      </c>
      <c r="I91">
        <f>H91-E91</f>
        <v>10.158999999999999</v>
      </c>
      <c r="J91">
        <f t="shared" si="103"/>
        <v>8.7465397469809619E-4</v>
      </c>
      <c r="K91">
        <f>AVERAGE(J89:J91)</f>
        <v>4.0232843435222327E-4</v>
      </c>
      <c r="M91">
        <f t="shared" ref="M91" si="105">K91/0.000418587232916135</f>
        <v>0.96115792053512239</v>
      </c>
    </row>
    <row r="92" spans="2:13">
      <c r="B92" t="s">
        <v>244</v>
      </c>
      <c r="C92" t="s">
        <v>112</v>
      </c>
      <c r="D92">
        <v>22.459</v>
      </c>
      <c r="F92" t="s">
        <v>244</v>
      </c>
      <c r="G92" t="s">
        <v>209</v>
      </c>
      <c r="H92">
        <v>33.198</v>
      </c>
      <c r="I92">
        <f>H92-E94</f>
        <v>10.734333333333332</v>
      </c>
      <c r="J92">
        <f t="shared" si="103"/>
        <v>5.8700754472751718E-4</v>
      </c>
    </row>
    <row r="93" spans="2:13">
      <c r="B93" t="s">
        <v>244</v>
      </c>
      <c r="C93" t="s">
        <v>112</v>
      </c>
      <c r="D93">
        <v>22.48</v>
      </c>
      <c r="F93" t="s">
        <v>244</v>
      </c>
      <c r="G93" t="s">
        <v>209</v>
      </c>
      <c r="H93">
        <v>32.494</v>
      </c>
      <c r="I93">
        <f>H93-E94</f>
        <v>10.030333333333331</v>
      </c>
      <c r="J93">
        <f t="shared" si="103"/>
        <v>9.5624416951968125E-4</v>
      </c>
      <c r="L93">
        <v>4.18587232916135E-4</v>
      </c>
    </row>
    <row r="94" spans="2:13">
      <c r="B94" t="s">
        <v>244</v>
      </c>
      <c r="C94" t="s">
        <v>112</v>
      </c>
      <c r="D94">
        <v>22.452000000000002</v>
      </c>
      <c r="E94">
        <f>AVERAGE(D92:D94)</f>
        <v>22.463666666666668</v>
      </c>
      <c r="F94" t="s">
        <v>244</v>
      </c>
      <c r="G94" t="s">
        <v>209</v>
      </c>
      <c r="H94">
        <v>34.451000000000001</v>
      </c>
      <c r="I94">
        <f>H94-E94</f>
        <v>11.987333333333332</v>
      </c>
      <c r="J94">
        <f t="shared" si="103"/>
        <v>2.462935840684489E-4</v>
      </c>
      <c r="K94">
        <f>AVERAGE(J92:J94)</f>
        <v>5.9651509943854913E-4</v>
      </c>
      <c r="L94">
        <f>AVERAGE(K79,K82,K85,K88,K91,K94)</f>
        <v>4.1858723291613521E-4</v>
      </c>
      <c r="M94">
        <f t="shared" ref="M94" si="106">K94/0.000418587232916135</f>
        <v>1.4250675905303172</v>
      </c>
    </row>
    <row r="95" spans="2:13">
      <c r="B95" t="s">
        <v>245</v>
      </c>
      <c r="C95" t="s">
        <v>112</v>
      </c>
      <c r="D95">
        <v>21.074999999999999</v>
      </c>
      <c r="F95" t="s">
        <v>245</v>
      </c>
      <c r="G95" t="s">
        <v>209</v>
      </c>
      <c r="H95">
        <v>29.448</v>
      </c>
      <c r="I95">
        <f>H95-E97</f>
        <v>8.4920000000000009</v>
      </c>
      <c r="J95">
        <f t="shared" si="103"/>
        <v>2.7774949425532708E-3</v>
      </c>
    </row>
    <row r="96" spans="2:13">
      <c r="B96" t="s">
        <v>245</v>
      </c>
      <c r="C96" t="s">
        <v>112</v>
      </c>
      <c r="D96">
        <v>21.146000000000001</v>
      </c>
      <c r="F96" t="s">
        <v>245</v>
      </c>
      <c r="G96" t="s">
        <v>209</v>
      </c>
      <c r="H96">
        <v>29.286999999999999</v>
      </c>
      <c r="I96">
        <f>H96-E97</f>
        <v>8.3309999999999995</v>
      </c>
      <c r="J96">
        <f t="shared" si="103"/>
        <v>3.1054111365194327E-3</v>
      </c>
    </row>
    <row r="97" spans="2:13">
      <c r="B97" t="s">
        <v>245</v>
      </c>
      <c r="C97" t="s">
        <v>112</v>
      </c>
      <c r="D97">
        <v>20.646999999999998</v>
      </c>
      <c r="E97">
        <f>AVERAGE(D95:D97)</f>
        <v>20.956</v>
      </c>
      <c r="F97" t="s">
        <v>245</v>
      </c>
      <c r="G97" t="s">
        <v>209</v>
      </c>
      <c r="H97">
        <v>29.247</v>
      </c>
      <c r="I97">
        <f>H97-E97</f>
        <v>8.2910000000000004</v>
      </c>
      <c r="J97">
        <f t="shared" si="103"/>
        <v>3.1927161269073565E-3</v>
      </c>
      <c r="K97">
        <f>AVERAGE(J95:J97)</f>
        <v>3.0252074019933533E-3</v>
      </c>
      <c r="M97">
        <f t="shared" ref="M97" si="107">K97/0.000418587232916135</f>
        <v>7.2271850742267176</v>
      </c>
    </row>
    <row r="98" spans="2:13">
      <c r="B98" t="s">
        <v>246</v>
      </c>
      <c r="C98" t="s">
        <v>112</v>
      </c>
      <c r="D98">
        <v>21.888000000000002</v>
      </c>
      <c r="F98" t="s">
        <v>246</v>
      </c>
      <c r="G98" t="s">
        <v>209</v>
      </c>
      <c r="H98">
        <v>29.393999999999998</v>
      </c>
      <c r="I98">
        <f>H98-E100</f>
        <v>7.6549999999999976</v>
      </c>
      <c r="J98">
        <f t="shared" si="103"/>
        <v>4.9615272755421562E-3</v>
      </c>
    </row>
    <row r="99" spans="2:13">
      <c r="B99" t="s">
        <v>246</v>
      </c>
      <c r="C99" t="s">
        <v>112</v>
      </c>
      <c r="D99">
        <v>21.632999999999999</v>
      </c>
      <c r="F99" t="s">
        <v>246</v>
      </c>
      <c r="G99" t="s">
        <v>209</v>
      </c>
      <c r="H99">
        <v>29.800999999999998</v>
      </c>
      <c r="I99">
        <f>H99-E100</f>
        <v>8.0619999999999976</v>
      </c>
      <c r="J99">
        <f t="shared" si="103"/>
        <v>3.7419344461824141E-3</v>
      </c>
    </row>
    <row r="100" spans="2:13">
      <c r="B100" t="s">
        <v>246</v>
      </c>
      <c r="C100" t="s">
        <v>112</v>
      </c>
      <c r="D100">
        <v>21.696000000000002</v>
      </c>
      <c r="E100">
        <f>AVERAGE(D98:D100)</f>
        <v>21.739000000000001</v>
      </c>
      <c r="F100" t="s">
        <v>246</v>
      </c>
      <c r="G100" t="s">
        <v>209</v>
      </c>
      <c r="H100">
        <v>29.785</v>
      </c>
      <c r="I100">
        <f>H100-E100</f>
        <v>8.0459999999999994</v>
      </c>
      <c r="J100">
        <f t="shared" si="103"/>
        <v>3.7836648016665183E-3</v>
      </c>
      <c r="K100">
        <f>AVERAGE(J98:J100)</f>
        <v>4.1623755077970295E-3</v>
      </c>
      <c r="M100">
        <f t="shared" ref="M100" si="108">K100/0.000418587232916135</f>
        <v>9.9438663687838087</v>
      </c>
    </row>
    <row r="101" spans="2:13">
      <c r="B101" t="s">
        <v>247</v>
      </c>
      <c r="C101" t="s">
        <v>112</v>
      </c>
      <c r="D101" s="10">
        <v>20.872</v>
      </c>
      <c r="E101" s="10"/>
      <c r="F101" t="s">
        <v>247</v>
      </c>
      <c r="G101" t="s">
        <v>209</v>
      </c>
      <c r="H101" s="10">
        <v>29.016999999999999</v>
      </c>
      <c r="I101" s="10">
        <f>H101-E103</f>
        <v>6.8123333333333314</v>
      </c>
      <c r="J101" s="10">
        <f t="shared" si="103"/>
        <v>8.8978140654529768E-3</v>
      </c>
      <c r="K101" s="10"/>
      <c r="L101" s="10"/>
    </row>
    <row r="102" spans="2:13">
      <c r="B102" t="s">
        <v>247</v>
      </c>
      <c r="C102" t="s">
        <v>112</v>
      </c>
      <c r="D102" s="10">
        <v>23.725999999999999</v>
      </c>
      <c r="E102" s="10"/>
      <c r="F102" t="s">
        <v>247</v>
      </c>
      <c r="G102" t="s">
        <v>209</v>
      </c>
      <c r="H102" s="10">
        <v>28.670999999999999</v>
      </c>
      <c r="I102" s="10">
        <f>H102-E103</f>
        <v>6.4663333333333313</v>
      </c>
      <c r="J102" s="10">
        <f t="shared" si="103"/>
        <v>1.1309403642740419E-2</v>
      </c>
      <c r="K102" s="10"/>
      <c r="L102" s="10"/>
    </row>
    <row r="103" spans="2:13">
      <c r="B103" t="s">
        <v>247</v>
      </c>
      <c r="C103" t="s">
        <v>112</v>
      </c>
      <c r="D103" s="10">
        <v>22.015999999999998</v>
      </c>
      <c r="E103" s="10">
        <f>AVERAGE(D101:D103)</f>
        <v>22.204666666666668</v>
      </c>
      <c r="F103" t="s">
        <v>247</v>
      </c>
      <c r="G103" t="s">
        <v>209</v>
      </c>
      <c r="H103" s="10">
        <v>29.189</v>
      </c>
      <c r="I103" s="10">
        <f>H103-E103</f>
        <v>6.984333333333332</v>
      </c>
      <c r="J103" s="10">
        <f t="shared" si="103"/>
        <v>7.8978006414120588E-3</v>
      </c>
      <c r="K103" s="10">
        <f>AVERAGE(J101:J103)</f>
        <v>9.3683394498684843E-3</v>
      </c>
      <c r="L103" s="10"/>
      <c r="M103">
        <f t="shared" ref="M103" si="109">K103/0.000418587232916135</f>
        <v>22.38085329216301</v>
      </c>
    </row>
    <row r="104" spans="2:13">
      <c r="B104" t="s">
        <v>248</v>
      </c>
      <c r="C104" t="s">
        <v>112</v>
      </c>
      <c r="D104">
        <v>19.827999999999999</v>
      </c>
      <c r="F104" t="s">
        <v>248</v>
      </c>
      <c r="G104" t="s">
        <v>209</v>
      </c>
      <c r="H104">
        <v>28.925999999999998</v>
      </c>
      <c r="I104">
        <f>H104-E106</f>
        <v>9.4103333333333339</v>
      </c>
      <c r="J104">
        <f t="shared" si="103"/>
        <v>1.4696279313861633E-3</v>
      </c>
    </row>
    <row r="105" spans="2:13">
      <c r="B105" t="s">
        <v>248</v>
      </c>
      <c r="C105" t="s">
        <v>112</v>
      </c>
      <c r="D105">
        <v>18.899999999999999</v>
      </c>
      <c r="F105" t="s">
        <v>248</v>
      </c>
      <c r="G105" t="s">
        <v>209</v>
      </c>
      <c r="H105">
        <v>29.600999999999999</v>
      </c>
      <c r="I105">
        <f>H105-E106</f>
        <v>10.085333333333335</v>
      </c>
      <c r="J105">
        <f t="shared" si="103"/>
        <v>9.2047532382809262E-4</v>
      </c>
    </row>
    <row r="106" spans="2:13">
      <c r="B106" t="s">
        <v>248</v>
      </c>
      <c r="C106" t="s">
        <v>112</v>
      </c>
      <c r="D106">
        <v>19.818999999999999</v>
      </c>
      <c r="E106">
        <f>AVERAGE(D104:D106)</f>
        <v>19.515666666666664</v>
      </c>
      <c r="F106" t="s">
        <v>248</v>
      </c>
      <c r="G106" t="s">
        <v>209</v>
      </c>
      <c r="H106">
        <v>29.550999999999998</v>
      </c>
      <c r="I106">
        <f>H106-E106</f>
        <v>10.035333333333334</v>
      </c>
      <c r="J106">
        <f t="shared" si="103"/>
        <v>9.5293581602075793E-4</v>
      </c>
      <c r="K106">
        <f>AVERAGE(J104:J106)</f>
        <v>1.114346357078338E-3</v>
      </c>
      <c r="M106">
        <f t="shared" ref="M106" si="110">K106/0.000418587232916135</f>
        <v>2.6621604039739073</v>
      </c>
    </row>
    <row r="107" spans="2:13">
      <c r="B107" t="s">
        <v>249</v>
      </c>
      <c r="C107" t="s">
        <v>112</v>
      </c>
      <c r="D107">
        <v>21.027000000000001</v>
      </c>
      <c r="F107" t="s">
        <v>249</v>
      </c>
      <c r="G107" t="s">
        <v>209</v>
      </c>
      <c r="H107">
        <v>28.436</v>
      </c>
      <c r="I107">
        <f>H107-E109</f>
        <v>7.4583333333333357</v>
      </c>
      <c r="J107">
        <f t="shared" si="103"/>
        <v>5.6861452454772862E-3</v>
      </c>
    </row>
    <row r="108" spans="2:13">
      <c r="B108" t="s">
        <v>249</v>
      </c>
      <c r="C108" t="s">
        <v>112</v>
      </c>
      <c r="D108">
        <v>20.870999999999999</v>
      </c>
      <c r="F108" t="s">
        <v>249</v>
      </c>
      <c r="G108" t="s">
        <v>209</v>
      </c>
      <c r="H108">
        <v>28.291</v>
      </c>
      <c r="I108">
        <f>H108-E109</f>
        <v>7.3133333333333361</v>
      </c>
      <c r="J108">
        <f t="shared" si="103"/>
        <v>6.2873450971555386E-3</v>
      </c>
    </row>
    <row r="109" spans="2:13">
      <c r="B109" t="s">
        <v>249</v>
      </c>
      <c r="C109" t="s">
        <v>112</v>
      </c>
      <c r="D109">
        <v>21.035</v>
      </c>
      <c r="E109">
        <f>AVERAGE(D107:D109)</f>
        <v>20.977666666666664</v>
      </c>
      <c r="F109" t="s">
        <v>249</v>
      </c>
      <c r="G109" t="s">
        <v>209</v>
      </c>
      <c r="H109">
        <v>28.103999999999999</v>
      </c>
      <c r="I109">
        <f>H109-E109</f>
        <v>7.126333333333335</v>
      </c>
      <c r="J109">
        <f t="shared" si="103"/>
        <v>7.1574761173350768E-3</v>
      </c>
      <c r="K109">
        <f>AVERAGE(J107:J109)</f>
        <v>6.3769888199893014E-3</v>
      </c>
      <c r="M109">
        <f t="shared" ref="M109" si="111">K109/0.000418587232916135</f>
        <v>15.234551650233792</v>
      </c>
    </row>
    <row r="110" spans="2:13">
      <c r="B110" t="s">
        <v>250</v>
      </c>
      <c r="C110" t="s">
        <v>112</v>
      </c>
      <c r="D110">
        <v>21.963999999999999</v>
      </c>
      <c r="F110" t="s">
        <v>250</v>
      </c>
      <c r="G110" t="s">
        <v>209</v>
      </c>
      <c r="H110">
        <v>31.341999999999999</v>
      </c>
      <c r="I110">
        <f>H110-E112</f>
        <v>9.2606666666666655</v>
      </c>
      <c r="J110">
        <f t="shared" si="103"/>
        <v>1.6302775703453836E-3</v>
      </c>
    </row>
    <row r="111" spans="2:13">
      <c r="B111" t="s">
        <v>250</v>
      </c>
      <c r="C111" t="s">
        <v>112</v>
      </c>
      <c r="D111">
        <v>22.25</v>
      </c>
      <c r="F111" t="s">
        <v>250</v>
      </c>
      <c r="G111" t="s">
        <v>209</v>
      </c>
      <c r="H111">
        <v>31.033000000000001</v>
      </c>
      <c r="I111">
        <f>H111-E112</f>
        <v>8.951666666666668</v>
      </c>
      <c r="J111">
        <f t="shared" si="103"/>
        <v>2.0196672450486898E-3</v>
      </c>
    </row>
    <row r="112" spans="2:13">
      <c r="B112" t="s">
        <v>250</v>
      </c>
      <c r="C112" t="s">
        <v>112</v>
      </c>
      <c r="D112">
        <v>22.03</v>
      </c>
      <c r="E112">
        <f>AVERAGE(D110:D112)</f>
        <v>22.081333333333333</v>
      </c>
      <c r="F112" t="s">
        <v>250</v>
      </c>
      <c r="G112" t="s">
        <v>209</v>
      </c>
      <c r="H112">
        <v>31.873000000000001</v>
      </c>
      <c r="I112">
        <f>H112-E112</f>
        <v>9.7916666666666679</v>
      </c>
      <c r="J112">
        <f t="shared" si="103"/>
        <v>1.1282741180393286E-3</v>
      </c>
      <c r="K112">
        <f>AVERAGE(J110:J112)</f>
        <v>1.5927396444778009E-3</v>
      </c>
      <c r="M112">
        <f t="shared" ref="M112" si="112">K112/0.000418587232916135</f>
        <v>3.8050363681228432</v>
      </c>
    </row>
    <row r="113" spans="2:13">
      <c r="B113" t="s">
        <v>251</v>
      </c>
      <c r="C113" t="s">
        <v>112</v>
      </c>
      <c r="D113">
        <v>19.716000000000001</v>
      </c>
      <c r="F113" t="s">
        <v>251</v>
      </c>
      <c r="G113" t="s">
        <v>209</v>
      </c>
      <c r="H113">
        <v>31.425000000000001</v>
      </c>
      <c r="I113">
        <f>H113-E115</f>
        <v>11.533000000000001</v>
      </c>
      <c r="J113">
        <f t="shared" si="103"/>
        <v>3.3745903479701696E-4</v>
      </c>
    </row>
    <row r="114" spans="2:13">
      <c r="B114" t="s">
        <v>251</v>
      </c>
      <c r="C114" t="s">
        <v>112</v>
      </c>
      <c r="D114">
        <v>20.149000000000001</v>
      </c>
      <c r="F114" t="s">
        <v>251</v>
      </c>
      <c r="G114" t="s">
        <v>209</v>
      </c>
      <c r="H114">
        <v>31.6</v>
      </c>
      <c r="I114">
        <f>H114-E115</f>
        <v>11.708000000000002</v>
      </c>
      <c r="J114">
        <f t="shared" si="103"/>
        <v>2.9891025205083094E-4</v>
      </c>
    </row>
    <row r="115" spans="2:13">
      <c r="B115" t="s">
        <v>251</v>
      </c>
      <c r="C115" t="s">
        <v>112</v>
      </c>
      <c r="D115">
        <v>19.811</v>
      </c>
      <c r="E115">
        <f>AVERAGE(D113:D115)</f>
        <v>19.891999999999999</v>
      </c>
      <c r="F115" t="s">
        <v>251</v>
      </c>
      <c r="G115" t="s">
        <v>209</v>
      </c>
      <c r="H115">
        <v>33.31</v>
      </c>
      <c r="I115">
        <f>H115-E115</f>
        <v>13.418000000000003</v>
      </c>
      <c r="J115">
        <f t="shared" si="103"/>
        <v>9.1364928393108499E-5</v>
      </c>
      <c r="K115">
        <f>AVERAGE(J113:J115)</f>
        <v>2.4257807174698546E-4</v>
      </c>
      <c r="M115">
        <f t="shared" ref="M115" si="113">K115/0.000418587232916135</f>
        <v>0.57951617410076761</v>
      </c>
    </row>
    <row r="116" spans="2:13">
      <c r="B116" t="s">
        <v>252</v>
      </c>
      <c r="C116" t="s">
        <v>112</v>
      </c>
      <c r="D116">
        <v>19.643000000000001</v>
      </c>
      <c r="F116" t="s">
        <v>252</v>
      </c>
      <c r="G116" t="s">
        <v>209</v>
      </c>
      <c r="H116">
        <v>31.692</v>
      </c>
      <c r="I116">
        <f>H116-E118</f>
        <v>12.048666666666666</v>
      </c>
      <c r="J116">
        <f t="shared" si="103"/>
        <v>2.3604234772894259E-4</v>
      </c>
    </row>
    <row r="117" spans="2:13">
      <c r="B117" t="s">
        <v>252</v>
      </c>
      <c r="C117" t="s">
        <v>112</v>
      </c>
      <c r="D117">
        <v>19.530999999999999</v>
      </c>
      <c r="F117" t="s">
        <v>252</v>
      </c>
      <c r="G117" t="s">
        <v>209</v>
      </c>
      <c r="H117">
        <v>30.619</v>
      </c>
      <c r="I117">
        <f>H117-E118</f>
        <v>10.975666666666665</v>
      </c>
      <c r="J117">
        <f t="shared" si="103"/>
        <v>4.9658673108706765E-4</v>
      </c>
    </row>
    <row r="118" spans="2:13">
      <c r="B118" t="s">
        <v>252</v>
      </c>
      <c r="C118" t="s">
        <v>112</v>
      </c>
      <c r="D118">
        <v>19.756</v>
      </c>
      <c r="E118">
        <f>AVERAGE(D116:D118)</f>
        <v>19.643333333333334</v>
      </c>
      <c r="F118" t="s">
        <v>252</v>
      </c>
      <c r="G118" t="s">
        <v>209</v>
      </c>
      <c r="H118">
        <v>32.609000000000002</v>
      </c>
      <c r="I118">
        <f>H118-E118</f>
        <v>12.965666666666667</v>
      </c>
      <c r="J118">
        <f t="shared" si="103"/>
        <v>1.2501019123816132E-4</v>
      </c>
      <c r="K118">
        <f>AVERAGE(J116:J118)</f>
        <v>2.8587975668472384E-4</v>
      </c>
      <c r="M118">
        <f t="shared" ref="M118" si="114">K118/0.000418587232916135</f>
        <v>0.68296339258393135</v>
      </c>
    </row>
    <row r="119" spans="2:13">
      <c r="B119" t="s">
        <v>253</v>
      </c>
      <c r="C119" t="s">
        <v>112</v>
      </c>
      <c r="D119">
        <v>19.68</v>
      </c>
      <c r="F119" t="s">
        <v>253</v>
      </c>
      <c r="G119" t="s">
        <v>209</v>
      </c>
      <c r="H119">
        <v>32.366</v>
      </c>
      <c r="I119">
        <f>H119-E121</f>
        <v>12.696666666666669</v>
      </c>
      <c r="J119">
        <f t="shared" si="103"/>
        <v>1.5063381953418819E-4</v>
      </c>
    </row>
    <row r="120" spans="2:13">
      <c r="B120" t="s">
        <v>253</v>
      </c>
      <c r="C120" t="s">
        <v>112</v>
      </c>
      <c r="D120">
        <v>19.742000000000001</v>
      </c>
      <c r="F120" t="s">
        <v>253</v>
      </c>
      <c r="G120" t="s">
        <v>209</v>
      </c>
      <c r="H120">
        <v>33.328000000000003</v>
      </c>
      <c r="I120">
        <f>H120-E121</f>
        <v>13.658666666666672</v>
      </c>
      <c r="J120">
        <f t="shared" si="103"/>
        <v>7.7327083873811732E-5</v>
      </c>
    </row>
    <row r="121" spans="2:13">
      <c r="B121" t="s">
        <v>253</v>
      </c>
      <c r="C121" t="s">
        <v>112</v>
      </c>
      <c r="D121">
        <v>19.585999999999999</v>
      </c>
      <c r="E121">
        <f>AVERAGE(D119:D121)</f>
        <v>19.669333333333331</v>
      </c>
      <c r="F121" t="s">
        <v>253</v>
      </c>
      <c r="G121" t="s">
        <v>209</v>
      </c>
      <c r="H121">
        <v>33.130000000000003</v>
      </c>
      <c r="I121">
        <f>H121-E121</f>
        <v>13.460666666666672</v>
      </c>
      <c r="J121">
        <f t="shared" si="103"/>
        <v>8.8702441074575225E-5</v>
      </c>
      <c r="K121">
        <f>AVERAGE(J119:J121)</f>
        <v>1.0555444816085837E-4</v>
      </c>
      <c r="M121">
        <f t="shared" ref="M121" si="115">K121/0.000418587232916135</f>
        <v>0.2521683411734788</v>
      </c>
    </row>
    <row r="122" spans="2:13">
      <c r="B122" t="s">
        <v>254</v>
      </c>
      <c r="C122" t="s">
        <v>112</v>
      </c>
      <c r="D122">
        <v>20.492000000000001</v>
      </c>
      <c r="F122" t="s">
        <v>254</v>
      </c>
      <c r="G122" t="s">
        <v>209</v>
      </c>
      <c r="H122">
        <v>32.838999999999999</v>
      </c>
      <c r="I122">
        <f>H122-E124</f>
        <v>12.534999999999997</v>
      </c>
      <c r="J122">
        <f t="shared" si="103"/>
        <v>1.6849577067829994E-4</v>
      </c>
    </row>
    <row r="123" spans="2:13">
      <c r="B123" t="s">
        <v>254</v>
      </c>
      <c r="C123" t="s">
        <v>112</v>
      </c>
      <c r="D123">
        <v>19.896000000000001</v>
      </c>
      <c r="F123" t="s">
        <v>254</v>
      </c>
      <c r="G123" t="s">
        <v>209</v>
      </c>
      <c r="H123">
        <v>32.930999999999997</v>
      </c>
      <c r="I123">
        <f>H123-E124</f>
        <v>12.626999999999995</v>
      </c>
      <c r="J123">
        <f t="shared" si="103"/>
        <v>1.5808630357109748E-4</v>
      </c>
    </row>
    <row r="124" spans="2:13">
      <c r="B124" t="s">
        <v>254</v>
      </c>
      <c r="C124" t="s">
        <v>112</v>
      </c>
      <c r="D124">
        <v>20.524000000000001</v>
      </c>
      <c r="E124">
        <f>AVERAGE(D122:D124)</f>
        <v>20.304000000000002</v>
      </c>
      <c r="F124" t="s">
        <v>254</v>
      </c>
      <c r="G124" t="s">
        <v>209</v>
      </c>
      <c r="H124">
        <v>32.948999999999998</v>
      </c>
      <c r="I124">
        <f>H124-E124</f>
        <v>12.644999999999996</v>
      </c>
      <c r="J124">
        <f t="shared" si="103"/>
        <v>1.5612616958953027E-4</v>
      </c>
      <c r="K124">
        <f>AVERAGE(J122:J124)</f>
        <v>1.6090274794630923E-4</v>
      </c>
      <c r="M124">
        <f t="shared" ref="M124" si="116">K124/0.000418587232916135</f>
        <v>0.38439478152585344</v>
      </c>
    </row>
    <row r="125" spans="2:13">
      <c r="B125" t="s">
        <v>255</v>
      </c>
      <c r="C125" t="s">
        <v>112</v>
      </c>
      <c r="D125">
        <v>20.465</v>
      </c>
      <c r="F125" t="s">
        <v>255</v>
      </c>
      <c r="G125" t="s">
        <v>209</v>
      </c>
      <c r="H125">
        <v>33.481999999999999</v>
      </c>
      <c r="I125">
        <f>H125-E127</f>
        <v>13.090333333333334</v>
      </c>
      <c r="J125">
        <f t="shared" si="103"/>
        <v>1.1466134014177678E-4</v>
      </c>
    </row>
    <row r="126" spans="2:13">
      <c r="B126" t="s">
        <v>255</v>
      </c>
      <c r="C126" t="s">
        <v>112</v>
      </c>
      <c r="D126">
        <v>20.114999999999998</v>
      </c>
      <c r="F126" t="s">
        <v>255</v>
      </c>
      <c r="G126" t="s">
        <v>209</v>
      </c>
      <c r="H126">
        <v>32.722000000000001</v>
      </c>
      <c r="I126">
        <f>H126-E127</f>
        <v>12.330333333333336</v>
      </c>
      <c r="J126">
        <f t="shared" si="103"/>
        <v>1.941779045485093E-4</v>
      </c>
    </row>
    <row r="127" spans="2:13">
      <c r="B127" t="s">
        <v>255</v>
      </c>
      <c r="C127" t="s">
        <v>112</v>
      </c>
      <c r="D127">
        <v>20.594999999999999</v>
      </c>
      <c r="E127">
        <f>AVERAGE(D125:D127)</f>
        <v>20.391666666666666</v>
      </c>
      <c r="F127" t="s">
        <v>255</v>
      </c>
      <c r="G127" t="s">
        <v>209</v>
      </c>
      <c r="H127">
        <v>34.219000000000001</v>
      </c>
      <c r="I127">
        <f>H127-E127</f>
        <v>13.827333333333335</v>
      </c>
      <c r="J127">
        <f t="shared" si="103"/>
        <v>6.8795163417346666E-5</v>
      </c>
      <c r="K127">
        <f>AVERAGE(J125:J127)</f>
        <v>1.2587813603587758E-4</v>
      </c>
      <c r="M127">
        <f t="shared" ref="M127" si="117">K127/0.000418587232916135</f>
        <v>0.30072139362429523</v>
      </c>
    </row>
    <row r="128" spans="2:13">
      <c r="B128" t="s">
        <v>256</v>
      </c>
      <c r="C128" t="s">
        <v>112</v>
      </c>
      <c r="D128">
        <v>20.128</v>
      </c>
      <c r="F128" t="s">
        <v>256</v>
      </c>
      <c r="G128" t="s">
        <v>209</v>
      </c>
      <c r="H128">
        <v>34.697000000000003</v>
      </c>
      <c r="I128">
        <f>H128-E130</f>
        <v>14.429333333333336</v>
      </c>
      <c r="J128">
        <f t="shared" si="103"/>
        <v>4.532500380565578E-5</v>
      </c>
    </row>
    <row r="129" spans="2:13">
      <c r="B129" t="s">
        <v>256</v>
      </c>
      <c r="C129" t="s">
        <v>112</v>
      </c>
      <c r="D129">
        <v>20.388999999999999</v>
      </c>
      <c r="F129" t="s">
        <v>256</v>
      </c>
      <c r="G129" t="s">
        <v>209</v>
      </c>
      <c r="H129">
        <v>33.021000000000001</v>
      </c>
      <c r="I129">
        <f>H129-E130</f>
        <v>12.753333333333334</v>
      </c>
      <c r="J129">
        <f t="shared" si="103"/>
        <v>1.4483186461285234E-4</v>
      </c>
    </row>
    <row r="130" spans="2:13">
      <c r="B130" t="s">
        <v>256</v>
      </c>
      <c r="C130" t="s">
        <v>112</v>
      </c>
      <c r="D130">
        <v>20.286000000000001</v>
      </c>
      <c r="E130">
        <f>AVERAGE(D128:D130)</f>
        <v>20.267666666666667</v>
      </c>
      <c r="F130" t="s">
        <v>256</v>
      </c>
      <c r="G130" t="s">
        <v>209</v>
      </c>
      <c r="H130">
        <v>34.787999999999997</v>
      </c>
      <c r="I130">
        <f>H130-E130</f>
        <v>14.52033333333333</v>
      </c>
      <c r="J130">
        <f t="shared" si="103"/>
        <v>4.2554365520095744E-5</v>
      </c>
      <c r="K130">
        <f>AVERAGE(J128:J130)</f>
        <v>7.7570411312867952E-5</v>
      </c>
      <c r="M130">
        <f t="shared" ref="M130" si="118">K130/0.000418587232916135</f>
        <v>0.18531480468829631</v>
      </c>
    </row>
    <row r="131" spans="2:13">
      <c r="B131" t="s">
        <v>257</v>
      </c>
      <c r="C131" t="s">
        <v>112</v>
      </c>
      <c r="D131">
        <v>20.814</v>
      </c>
      <c r="F131" t="s">
        <v>257</v>
      </c>
      <c r="G131" t="s">
        <v>209</v>
      </c>
      <c r="H131">
        <v>28.581</v>
      </c>
      <c r="I131">
        <f>H131-E133</f>
        <v>8.0240000000000009</v>
      </c>
      <c r="J131">
        <f t="shared" si="103"/>
        <v>3.84180497666503E-3</v>
      </c>
    </row>
    <row r="132" spans="2:13">
      <c r="B132" t="s">
        <v>257</v>
      </c>
      <c r="C132" t="s">
        <v>112</v>
      </c>
      <c r="D132">
        <v>20.696999999999999</v>
      </c>
      <c r="F132" t="s">
        <v>257</v>
      </c>
      <c r="G132" t="s">
        <v>209</v>
      </c>
      <c r="H132">
        <v>28.431999999999999</v>
      </c>
      <c r="I132">
        <f>H132-E133</f>
        <v>7.875</v>
      </c>
      <c r="J132">
        <f t="shared" si="103"/>
        <v>4.2597958307236646E-3</v>
      </c>
    </row>
    <row r="133" spans="2:13">
      <c r="B133" t="s">
        <v>257</v>
      </c>
      <c r="C133" t="s">
        <v>112</v>
      </c>
      <c r="D133">
        <v>20.16</v>
      </c>
      <c r="E133">
        <f>AVERAGE(D131:D133)</f>
        <v>20.556999999999999</v>
      </c>
      <c r="F133" t="s">
        <v>257</v>
      </c>
      <c r="G133" t="s">
        <v>209</v>
      </c>
      <c r="H133">
        <v>28.492999999999999</v>
      </c>
      <c r="I133">
        <f>H133-E133</f>
        <v>7.9359999999999999</v>
      </c>
      <c r="J133">
        <f t="shared" si="103"/>
        <v>4.0834378914264263E-3</v>
      </c>
      <c r="K133">
        <f>AVERAGE(J131:J133)</f>
        <v>4.0616795662717069E-3</v>
      </c>
      <c r="M133">
        <f t="shared" ref="M133" si="119">K133/0.000418587232916135</f>
        <v>9.7033049430952776</v>
      </c>
    </row>
    <row r="134" spans="2:13">
      <c r="B134" t="s">
        <v>258</v>
      </c>
      <c r="C134" t="s">
        <v>112</v>
      </c>
      <c r="D134">
        <v>20.677</v>
      </c>
      <c r="F134" t="s">
        <v>258</v>
      </c>
      <c r="G134" t="s">
        <v>209</v>
      </c>
      <c r="H134">
        <v>27.321999999999999</v>
      </c>
      <c r="I134">
        <f>H134-E136</f>
        <v>6.7296666666666667</v>
      </c>
      <c r="J134">
        <f t="shared" si="103"/>
        <v>9.4225504737798105E-3</v>
      </c>
    </row>
    <row r="135" spans="2:13">
      <c r="B135" t="s">
        <v>258</v>
      </c>
      <c r="C135" t="s">
        <v>112</v>
      </c>
      <c r="D135">
        <v>20.638000000000002</v>
      </c>
      <c r="F135" t="s">
        <v>258</v>
      </c>
      <c r="G135" t="s">
        <v>209</v>
      </c>
      <c r="H135">
        <v>27.361000000000001</v>
      </c>
      <c r="I135">
        <f>H135-E136</f>
        <v>6.7686666666666682</v>
      </c>
      <c r="J135">
        <f t="shared" si="103"/>
        <v>9.1712451556185057E-3</v>
      </c>
    </row>
    <row r="136" spans="2:13">
      <c r="B136" t="s">
        <v>258</v>
      </c>
      <c r="C136" t="s">
        <v>112</v>
      </c>
      <c r="D136">
        <v>20.462</v>
      </c>
      <c r="E136">
        <f>AVERAGE(D134:D136)</f>
        <v>20.592333333333332</v>
      </c>
      <c r="F136" t="s">
        <v>258</v>
      </c>
      <c r="G136" t="s">
        <v>209</v>
      </c>
      <c r="H136">
        <v>27.363</v>
      </c>
      <c r="I136">
        <f>H136-E136</f>
        <v>6.7706666666666671</v>
      </c>
      <c r="J136">
        <f t="shared" si="103"/>
        <v>9.1585399188086579E-3</v>
      </c>
      <c r="K136">
        <f>AVERAGE(J134:J136)</f>
        <v>9.2507785160689908E-3</v>
      </c>
      <c r="M136">
        <f t="shared" ref="M136" si="120">K136/0.000418587232916135</f>
        <v>22.100001597331104</v>
      </c>
    </row>
    <row r="137" spans="2:13">
      <c r="B137" t="s">
        <v>259</v>
      </c>
      <c r="C137" t="s">
        <v>112</v>
      </c>
      <c r="D137">
        <v>20.132999999999999</v>
      </c>
      <c r="F137" t="s">
        <v>259</v>
      </c>
      <c r="G137" t="s">
        <v>209</v>
      </c>
      <c r="H137">
        <v>25.853999999999999</v>
      </c>
      <c r="I137">
        <f>H137-E139</f>
        <v>5.4046666666666674</v>
      </c>
      <c r="J137">
        <f t="shared" si="103"/>
        <v>2.3606587799289779E-2</v>
      </c>
    </row>
    <row r="138" spans="2:13">
      <c r="B138" t="s">
        <v>259</v>
      </c>
      <c r="C138" t="s">
        <v>112</v>
      </c>
      <c r="D138">
        <v>20.600999999999999</v>
      </c>
      <c r="F138" t="s">
        <v>259</v>
      </c>
      <c r="G138" t="s">
        <v>209</v>
      </c>
      <c r="H138">
        <v>25.108000000000001</v>
      </c>
      <c r="I138">
        <f>H138-E139</f>
        <v>4.6586666666666687</v>
      </c>
      <c r="J138">
        <f t="shared" si="103"/>
        <v>3.959146694339169E-2</v>
      </c>
    </row>
    <row r="139" spans="2:13">
      <c r="B139" t="s">
        <v>259</v>
      </c>
      <c r="C139" t="s">
        <v>112</v>
      </c>
      <c r="D139">
        <v>20.614000000000001</v>
      </c>
      <c r="E139">
        <f>AVERAGE(D137:D139)</f>
        <v>20.449333333333332</v>
      </c>
      <c r="F139" t="s">
        <v>259</v>
      </c>
      <c r="G139" t="s">
        <v>209</v>
      </c>
      <c r="H139">
        <v>25.507000000000001</v>
      </c>
      <c r="I139">
        <f>H139-E139</f>
        <v>5.0576666666666696</v>
      </c>
      <c r="J139">
        <f t="shared" si="103"/>
        <v>3.0025526066750772E-2</v>
      </c>
      <c r="K139">
        <f>AVERAGE(J137:J139)</f>
        <v>3.1074526936477415E-2</v>
      </c>
      <c r="M139">
        <f t="shared" ref="M139" si="121">K139/0.000418587232916135</f>
        <v>74.236681133328489</v>
      </c>
    </row>
    <row r="140" spans="2:13">
      <c r="B140" t="s">
        <v>260</v>
      </c>
      <c r="C140" t="s">
        <v>112</v>
      </c>
      <c r="D140">
        <v>20.042999999999999</v>
      </c>
      <c r="F140" t="s">
        <v>260</v>
      </c>
      <c r="G140" t="s">
        <v>209</v>
      </c>
      <c r="H140">
        <v>26.067</v>
      </c>
      <c r="I140">
        <f>H140-E142</f>
        <v>5.8816666666666677</v>
      </c>
      <c r="J140">
        <f t="shared" si="103"/>
        <v>1.6960627219957187E-2</v>
      </c>
    </row>
    <row r="141" spans="2:13">
      <c r="B141" t="s">
        <v>260</v>
      </c>
      <c r="C141" t="s">
        <v>112</v>
      </c>
      <c r="D141">
        <v>20.355</v>
      </c>
      <c r="F141" t="s">
        <v>260</v>
      </c>
      <c r="G141" t="s">
        <v>209</v>
      </c>
      <c r="H141">
        <v>25.905999999999999</v>
      </c>
      <c r="I141">
        <f>H141-E142</f>
        <v>5.7206666666666663</v>
      </c>
      <c r="J141">
        <f t="shared" si="103"/>
        <v>1.8963030263087328E-2</v>
      </c>
    </row>
    <row r="142" spans="2:13">
      <c r="B142" t="s">
        <v>260</v>
      </c>
      <c r="C142" t="s">
        <v>112</v>
      </c>
      <c r="D142">
        <v>20.158000000000001</v>
      </c>
      <c r="E142">
        <f>AVERAGE(D140:D142)</f>
        <v>20.185333333333332</v>
      </c>
      <c r="F142" t="s">
        <v>260</v>
      </c>
      <c r="G142" t="s">
        <v>209</v>
      </c>
      <c r="H142">
        <v>25.867000000000001</v>
      </c>
      <c r="I142">
        <f>H142-E142</f>
        <v>5.6816666666666684</v>
      </c>
      <c r="J142">
        <f t="shared" si="103"/>
        <v>1.9482644587282744E-2</v>
      </c>
      <c r="K142">
        <f>AVERAGE(J140:J142)</f>
        <v>1.8468767356775755E-2</v>
      </c>
      <c r="M142">
        <f t="shared" ref="M142" si="122">K142/0.000418587232916135</f>
        <v>44.121669044015057</v>
      </c>
    </row>
    <row r="143" spans="2:13">
      <c r="B143" t="s">
        <v>261</v>
      </c>
      <c r="C143" t="s">
        <v>112</v>
      </c>
      <c r="D143">
        <v>20.242000000000001</v>
      </c>
      <c r="F143" t="s">
        <v>261</v>
      </c>
      <c r="G143" t="s">
        <v>209</v>
      </c>
      <c r="H143">
        <v>24.954000000000001</v>
      </c>
      <c r="I143">
        <f>H143-E145</f>
        <v>4.8653333333333322</v>
      </c>
      <c r="J143">
        <f t="shared" si="103"/>
        <v>3.4307472805696293E-2</v>
      </c>
    </row>
    <row r="144" spans="2:13">
      <c r="B144" t="s">
        <v>261</v>
      </c>
      <c r="C144" t="s">
        <v>112</v>
      </c>
      <c r="D144">
        <v>19.954999999999998</v>
      </c>
      <c r="F144" t="s">
        <v>261</v>
      </c>
      <c r="G144" t="s">
        <v>209</v>
      </c>
      <c r="H144">
        <v>25.341000000000001</v>
      </c>
      <c r="I144">
        <f>H144-E145</f>
        <v>5.2523333333333326</v>
      </c>
      <c r="J144">
        <f t="shared" si="103"/>
        <v>2.6235546755754201E-2</v>
      </c>
    </row>
    <row r="145" spans="2:13">
      <c r="B145" t="s">
        <v>261</v>
      </c>
      <c r="C145" t="s">
        <v>112</v>
      </c>
      <c r="D145">
        <v>20.068999999999999</v>
      </c>
      <c r="E145">
        <f>AVERAGE(D143:D145)</f>
        <v>20.088666666666668</v>
      </c>
      <c r="F145" t="s">
        <v>261</v>
      </c>
      <c r="G145" t="s">
        <v>209</v>
      </c>
      <c r="H145">
        <v>25.047000000000001</v>
      </c>
      <c r="I145">
        <f>H145-E145</f>
        <v>4.9583333333333321</v>
      </c>
      <c r="J145">
        <f t="shared" si="103"/>
        <v>3.2165694895109155E-2</v>
      </c>
      <c r="K145">
        <f>AVERAGE(J143:J145)</f>
        <v>3.0902904818853216E-2</v>
      </c>
      <c r="M145">
        <f t="shared" ref="M145" si="123">K145/0.000418587232916135</f>
        <v>73.826677903109129</v>
      </c>
    </row>
    <row r="146" spans="2:13">
      <c r="B146" t="s">
        <v>262</v>
      </c>
      <c r="C146" t="s">
        <v>112</v>
      </c>
      <c r="D146">
        <v>20.015000000000001</v>
      </c>
      <c r="F146" t="s">
        <v>262</v>
      </c>
      <c r="G146" t="s">
        <v>209</v>
      </c>
      <c r="H146">
        <v>25.164000000000001</v>
      </c>
      <c r="I146">
        <f>H146-E148</f>
        <v>5.3503333333333352</v>
      </c>
      <c r="J146">
        <f t="shared" si="103"/>
        <v>2.4512588794333413E-2</v>
      </c>
    </row>
    <row r="147" spans="2:13">
      <c r="B147" t="s">
        <v>262</v>
      </c>
      <c r="C147" t="s">
        <v>112</v>
      </c>
      <c r="D147">
        <v>19.367999999999999</v>
      </c>
      <c r="F147" t="s">
        <v>262</v>
      </c>
      <c r="G147" t="s">
        <v>209</v>
      </c>
      <c r="H147">
        <v>24.962</v>
      </c>
      <c r="I147">
        <f>H147-E148</f>
        <v>5.1483333333333334</v>
      </c>
      <c r="J147">
        <f t="shared" si="103"/>
        <v>2.819663217515864E-2</v>
      </c>
    </row>
    <row r="148" spans="2:13">
      <c r="B148" t="s">
        <v>262</v>
      </c>
      <c r="C148" t="s">
        <v>112</v>
      </c>
      <c r="D148">
        <v>20.058</v>
      </c>
      <c r="E148">
        <f>AVERAGE(D146:D148)</f>
        <v>19.813666666666666</v>
      </c>
      <c r="F148" t="s">
        <v>262</v>
      </c>
      <c r="G148" t="s">
        <v>209</v>
      </c>
      <c r="H148">
        <v>24.710999999999999</v>
      </c>
      <c r="I148">
        <f>H148-E148</f>
        <v>4.8973333333333322</v>
      </c>
      <c r="J148">
        <f t="shared" si="103"/>
        <v>3.3554886017539469E-2</v>
      </c>
      <c r="K148">
        <f>AVERAGE(J146:J148)</f>
        <v>2.8754702329010506E-2</v>
      </c>
      <c r="M148">
        <f t="shared" ref="M148" si="124">K148/0.000418587232916135</f>
        <v>68.694647298933702</v>
      </c>
    </row>
  </sheetData>
  <phoneticPr fontId="2" type="noConversion"/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FC2757-8620-7047-9015-A2213573B7FD}">
  <dimension ref="A1:AH148"/>
  <sheetViews>
    <sheetView topLeftCell="N1" zoomScale="63" workbookViewId="0">
      <selection activeCell="AE2" sqref="AE2:AH4"/>
    </sheetView>
  </sheetViews>
  <sheetFormatPr baseColWidth="10" defaultRowHeight="16"/>
  <sheetData>
    <row r="1" spans="1:34">
      <c r="A1" t="s">
        <v>263</v>
      </c>
    </row>
    <row r="2" spans="1:34">
      <c r="B2" t="s">
        <v>208</v>
      </c>
      <c r="C2" t="s">
        <v>112</v>
      </c>
      <c r="D2">
        <v>21.276</v>
      </c>
      <c r="F2" t="s">
        <v>208</v>
      </c>
      <c r="G2" t="s">
        <v>264</v>
      </c>
      <c r="H2">
        <v>32.162999999999997</v>
      </c>
      <c r="I2">
        <f t="shared" ref="I2:I8" si="0">H2-E4</f>
        <v>10.84</v>
      </c>
      <c r="J2">
        <f t="shared" ref="J2:J19" si="1">POWER(2,-I2)</f>
        <v>5.4555036038682651E-4</v>
      </c>
      <c r="O2" s="90"/>
      <c r="P2" s="90" t="s">
        <v>97</v>
      </c>
      <c r="Q2" s="90"/>
      <c r="R2" s="90"/>
      <c r="S2" s="90"/>
      <c r="T2" s="90"/>
      <c r="U2" s="90"/>
      <c r="V2" s="90" t="s">
        <v>99</v>
      </c>
      <c r="W2" s="90"/>
      <c r="X2" s="90"/>
      <c r="Y2" s="90"/>
      <c r="Z2" s="90"/>
      <c r="AA2" s="90"/>
      <c r="AB2" s="90" t="s">
        <v>663</v>
      </c>
      <c r="AC2" s="90" t="s">
        <v>396</v>
      </c>
      <c r="AD2" s="90" t="s">
        <v>664</v>
      </c>
      <c r="AE2" s="90" t="s">
        <v>663</v>
      </c>
      <c r="AF2" s="90" t="s">
        <v>396</v>
      </c>
      <c r="AG2" s="90" t="s">
        <v>664</v>
      </c>
      <c r="AH2" s="101" t="s">
        <v>665</v>
      </c>
    </row>
    <row r="3" spans="1:34">
      <c r="B3" t="s">
        <v>208</v>
      </c>
      <c r="C3" t="s">
        <v>112</v>
      </c>
      <c r="D3">
        <v>21.363</v>
      </c>
      <c r="F3" t="s">
        <v>208</v>
      </c>
      <c r="G3" t="s">
        <v>264</v>
      </c>
      <c r="H3">
        <v>31.439</v>
      </c>
      <c r="I3">
        <f t="shared" ref="I3:I9" si="2">H3-E4</f>
        <v>10.116000000000003</v>
      </c>
      <c r="J3">
        <f t="shared" si="1"/>
        <v>9.0111571548222313E-4</v>
      </c>
      <c r="O3" s="90" t="s">
        <v>237</v>
      </c>
      <c r="P3" s="90">
        <v>0.8158019887110407</v>
      </c>
      <c r="Q3" s="90">
        <v>0.5100601894163046</v>
      </c>
      <c r="R3" s="90">
        <v>0.90186318238970919</v>
      </c>
      <c r="S3" s="90">
        <v>0.96784168538063209</v>
      </c>
      <c r="T3" s="90">
        <v>1.5106655338262693</v>
      </c>
      <c r="U3" s="90">
        <v>1.293767420276041</v>
      </c>
      <c r="V3" s="90">
        <v>1.4758930974998485</v>
      </c>
      <c r="W3" s="90">
        <v>0.99850398300043408</v>
      </c>
      <c r="X3" s="90">
        <v>0.69169596256358978</v>
      </c>
      <c r="Y3" s="90">
        <v>1.1099610927171422</v>
      </c>
      <c r="Z3" s="90">
        <v>1.0478477711372045</v>
      </c>
      <c r="AA3" s="90">
        <v>0.68075442135266984</v>
      </c>
      <c r="AB3" s="90">
        <f>AVERAGE(P3:U3)</f>
        <v>0.99999999999999944</v>
      </c>
      <c r="AC3" s="90">
        <f>STDEV(P3:U3)</f>
        <v>0.35544718375059292</v>
      </c>
      <c r="AD3" s="90">
        <f>AC3/SQRT(6)</f>
        <v>0.14511070511637417</v>
      </c>
      <c r="AE3" s="90">
        <f>AVERAGE(V3:AA3)</f>
        <v>1.000776054711815</v>
      </c>
      <c r="AF3" s="90">
        <f>STDEV(V3:AA3)</f>
        <v>0.29591310712747193</v>
      </c>
      <c r="AG3" s="90">
        <f>AF3/SQRT(6)</f>
        <v>0.12080602011064039</v>
      </c>
      <c r="AH3" s="94"/>
    </row>
    <row r="4" spans="1:34">
      <c r="B4" t="s">
        <v>208</v>
      </c>
      <c r="C4" t="s">
        <v>112</v>
      </c>
      <c r="D4">
        <v>21.33</v>
      </c>
      <c r="E4">
        <f t="shared" ref="E4:E10" si="3">AVERAGE(D2:D4)</f>
        <v>21.322999999999997</v>
      </c>
      <c r="F4" t="s">
        <v>208</v>
      </c>
      <c r="G4" t="s">
        <v>264</v>
      </c>
      <c r="H4">
        <v>32.012999999999998</v>
      </c>
      <c r="I4">
        <f t="shared" ref="I4:I10" si="4">H4-E4</f>
        <v>10.690000000000001</v>
      </c>
      <c r="J4">
        <f t="shared" si="1"/>
        <v>6.053260253608329E-4</v>
      </c>
      <c r="K4">
        <f t="shared" ref="K4" si="5">AVERAGE(J2:J4)</f>
        <v>6.8399736707662744E-4</v>
      </c>
      <c r="M4">
        <f>K4/0.000838435523008882</f>
        <v>0.8158019887110407</v>
      </c>
      <c r="O4" s="90" t="s">
        <v>238</v>
      </c>
      <c r="P4" s="90">
        <v>19.311409051493094</v>
      </c>
      <c r="Q4" s="90">
        <v>12.034093289565105</v>
      </c>
      <c r="R4" s="90">
        <v>6.5257917662911487</v>
      </c>
      <c r="S4" s="90">
        <v>20.960536813398679</v>
      </c>
      <c r="T4" s="90">
        <v>32.888907057779186</v>
      </c>
      <c r="U4" s="90">
        <v>21.805417622654101</v>
      </c>
      <c r="V4" s="90">
        <v>26.421707016001427</v>
      </c>
      <c r="W4" s="90">
        <v>25.785557597821757</v>
      </c>
      <c r="X4" s="90">
        <v>19.280585181438433</v>
      </c>
      <c r="Y4" s="90">
        <v>59.799071337867993</v>
      </c>
      <c r="Z4" s="90">
        <v>29.843616377272134</v>
      </c>
      <c r="AA4" s="90">
        <v>42.217533967783375</v>
      </c>
      <c r="AB4" s="90">
        <f>AVERAGE(P4:U4)</f>
        <v>18.92102593353022</v>
      </c>
      <c r="AC4" s="90">
        <f>STDEV(P4:U4)</f>
        <v>9.0421799741935285</v>
      </c>
      <c r="AD4" s="90">
        <f t="shared" ref="AD4" si="6">AC4/SQRT(6)</f>
        <v>3.6914545165310853</v>
      </c>
      <c r="AE4" s="90">
        <f>AVERAGE(V4:AA4)</f>
        <v>33.891345246364182</v>
      </c>
      <c r="AF4" s="90">
        <f>STDEV(V4:AA4)</f>
        <v>14.777641200308986</v>
      </c>
      <c r="AG4" s="90">
        <f t="shared" ref="AG4" si="7">AF4/SQRT(6)</f>
        <v>6.0329467571144928</v>
      </c>
      <c r="AH4" s="94">
        <v>3.3500000000000002E-2</v>
      </c>
    </row>
    <row r="5" spans="1:34">
      <c r="B5" t="s">
        <v>210</v>
      </c>
      <c r="C5" t="s">
        <v>112</v>
      </c>
      <c r="D5">
        <v>20.783999999999999</v>
      </c>
      <c r="F5" t="s">
        <v>210</v>
      </c>
      <c r="G5" t="s">
        <v>264</v>
      </c>
      <c r="H5">
        <v>31.486000000000001</v>
      </c>
      <c r="I5">
        <f t="shared" si="0"/>
        <v>10.744</v>
      </c>
      <c r="J5">
        <f t="shared" si="1"/>
        <v>5.830874936887646E-4</v>
      </c>
    </row>
    <row r="6" spans="1:34">
      <c r="B6" t="s">
        <v>210</v>
      </c>
      <c r="C6" t="s">
        <v>112</v>
      </c>
      <c r="D6">
        <v>20.776</v>
      </c>
      <c r="F6" t="s">
        <v>210</v>
      </c>
      <c r="G6" t="s">
        <v>264</v>
      </c>
      <c r="H6">
        <v>32.027000000000001</v>
      </c>
      <c r="I6">
        <f t="shared" si="2"/>
        <v>11.285</v>
      </c>
      <c r="J6">
        <f t="shared" si="1"/>
        <v>4.0075273867700112E-4</v>
      </c>
    </row>
    <row r="7" spans="1:34">
      <c r="B7" t="s">
        <v>210</v>
      </c>
      <c r="C7" t="s">
        <v>112</v>
      </c>
      <c r="D7">
        <v>20.666</v>
      </c>
      <c r="E7">
        <f t="shared" si="3"/>
        <v>20.742000000000001</v>
      </c>
      <c r="F7" t="s">
        <v>210</v>
      </c>
      <c r="G7" t="s">
        <v>264</v>
      </c>
      <c r="H7">
        <v>32.448999999999998</v>
      </c>
      <c r="I7">
        <f t="shared" si="4"/>
        <v>11.706999999999997</v>
      </c>
      <c r="J7">
        <f t="shared" si="1"/>
        <v>2.9911751267204073E-4</v>
      </c>
      <c r="K7">
        <f t="shared" ref="K7" si="8">AVERAGE(J5:J7)</f>
        <v>4.2765258167926876E-4</v>
      </c>
      <c r="M7">
        <f t="shared" ref="M7" si="9">K7/0.000838435523008882</f>
        <v>0.5100601894163046</v>
      </c>
    </row>
    <row r="8" spans="1:34">
      <c r="B8" t="s">
        <v>211</v>
      </c>
      <c r="C8" t="s">
        <v>112</v>
      </c>
      <c r="D8">
        <v>22.724</v>
      </c>
      <c r="F8" t="s">
        <v>211</v>
      </c>
      <c r="G8" t="s">
        <v>264</v>
      </c>
      <c r="H8">
        <v>33.192999999999998</v>
      </c>
      <c r="I8">
        <f t="shared" si="0"/>
        <v>10.449666666666669</v>
      </c>
      <c r="J8">
        <f t="shared" si="1"/>
        <v>7.1505078645109691E-4</v>
      </c>
    </row>
    <row r="9" spans="1:34">
      <c r="B9" t="s">
        <v>211</v>
      </c>
      <c r="C9" t="s">
        <v>112</v>
      </c>
      <c r="D9">
        <v>22.658999999999999</v>
      </c>
      <c r="F9" t="s">
        <v>211</v>
      </c>
      <c r="G9" t="s">
        <v>264</v>
      </c>
      <c r="H9">
        <v>25.036000000000001</v>
      </c>
      <c r="I9">
        <f t="shared" si="2"/>
        <v>2.2926666666666726</v>
      </c>
    </row>
    <row r="10" spans="1:34">
      <c r="B10" t="s">
        <v>211</v>
      </c>
      <c r="C10" t="s">
        <v>112</v>
      </c>
      <c r="D10">
        <v>22.847000000000001</v>
      </c>
      <c r="E10">
        <f t="shared" si="3"/>
        <v>22.743333333333329</v>
      </c>
      <c r="F10" t="s">
        <v>211</v>
      </c>
      <c r="G10" t="s">
        <v>264</v>
      </c>
      <c r="H10">
        <v>33.036000000000001</v>
      </c>
      <c r="I10">
        <f t="shared" si="4"/>
        <v>10.292666666666673</v>
      </c>
      <c r="J10">
        <f t="shared" si="1"/>
        <v>7.972574715676442E-4</v>
      </c>
      <c r="K10">
        <f t="shared" ref="K10" si="10">AVERAGE(J8:J10)</f>
        <v>7.5615412900937055E-4</v>
      </c>
      <c r="M10">
        <f t="shared" ref="M10" si="11">K10/0.000838435523008882</f>
        <v>0.90186318238970919</v>
      </c>
    </row>
    <row r="11" spans="1:34">
      <c r="B11" t="s">
        <v>212</v>
      </c>
      <c r="C11" t="s">
        <v>112</v>
      </c>
      <c r="D11">
        <v>23.024000000000001</v>
      </c>
      <c r="F11" t="s">
        <v>212</v>
      </c>
      <c r="G11" t="s">
        <v>264</v>
      </c>
      <c r="H11">
        <v>32.414999999999999</v>
      </c>
      <c r="I11">
        <f>H11-E13</f>
        <v>10.008333333333333</v>
      </c>
      <c r="J11">
        <f t="shared" si="1"/>
        <v>9.7093791388432396E-4</v>
      </c>
    </row>
    <row r="12" spans="1:34">
      <c r="B12" t="s">
        <v>212</v>
      </c>
      <c r="C12" t="s">
        <v>112</v>
      </c>
      <c r="D12">
        <v>21.38</v>
      </c>
      <c r="F12" t="s">
        <v>212</v>
      </c>
      <c r="G12" t="s">
        <v>264</v>
      </c>
      <c r="H12">
        <v>33.148000000000003</v>
      </c>
      <c r="I12">
        <f>H12-E13</f>
        <v>10.741333333333337</v>
      </c>
      <c r="J12">
        <f t="shared" si="1"/>
        <v>5.8416626491732419E-4</v>
      </c>
    </row>
    <row r="13" spans="1:34">
      <c r="B13" t="s">
        <v>212</v>
      </c>
      <c r="C13" t="s">
        <v>112</v>
      </c>
      <c r="D13">
        <v>22.815999999999999</v>
      </c>
      <c r="E13">
        <f>AVERAGE(D11:D13)</f>
        <v>22.406666666666666</v>
      </c>
      <c r="F13" t="s">
        <v>212</v>
      </c>
      <c r="G13" t="s">
        <v>264</v>
      </c>
      <c r="H13">
        <v>32.558</v>
      </c>
      <c r="I13">
        <f>H13-E13</f>
        <v>10.151333333333334</v>
      </c>
      <c r="J13">
        <f t="shared" si="1"/>
        <v>8.7931437021407616E-4</v>
      </c>
      <c r="K13">
        <f t="shared" ref="K13" si="12">AVERAGE(J11:J13)</f>
        <v>8.1147284967190807E-4</v>
      </c>
      <c r="M13">
        <f t="shared" ref="M13" si="13">K13/0.000838435523008882</f>
        <v>0.96784168538063209</v>
      </c>
    </row>
    <row r="14" spans="1:34">
      <c r="B14" t="s">
        <v>213</v>
      </c>
      <c r="C14" t="s">
        <v>112</v>
      </c>
      <c r="D14">
        <v>22.884</v>
      </c>
      <c r="F14" t="s">
        <v>213</v>
      </c>
      <c r="G14" t="s">
        <v>264</v>
      </c>
      <c r="H14">
        <v>32.524000000000001</v>
      </c>
      <c r="I14">
        <f>H14-E16</f>
        <v>9.5936666666666675</v>
      </c>
      <c r="J14">
        <f t="shared" si="1"/>
        <v>1.2942511660554957E-3</v>
      </c>
    </row>
    <row r="15" spans="1:34">
      <c r="B15" t="s">
        <v>213</v>
      </c>
      <c r="C15" t="s">
        <v>112</v>
      </c>
      <c r="D15">
        <v>22.974</v>
      </c>
      <c r="F15" t="s">
        <v>213</v>
      </c>
      <c r="G15" t="s">
        <v>264</v>
      </c>
      <c r="H15">
        <v>32.207000000000001</v>
      </c>
      <c r="I15">
        <f>H15-E16</f>
        <v>9.2766666666666673</v>
      </c>
      <c r="J15">
        <f t="shared" si="1"/>
        <v>1.6122971026997508E-3</v>
      </c>
    </row>
    <row r="16" spans="1:34">
      <c r="B16" t="s">
        <v>213</v>
      </c>
      <c r="C16" t="s">
        <v>112</v>
      </c>
      <c r="D16">
        <v>22.933</v>
      </c>
      <c r="E16">
        <f>AVERAGE(D14:D16)</f>
        <v>22.930333333333333</v>
      </c>
      <c r="F16" t="s">
        <v>213</v>
      </c>
      <c r="G16" t="s">
        <v>264</v>
      </c>
      <c r="H16">
        <v>33.058999999999997</v>
      </c>
      <c r="I16">
        <f>H16-E16</f>
        <v>10.128666666666664</v>
      </c>
      <c r="J16">
        <f t="shared" si="1"/>
        <v>8.9323867208011343E-4</v>
      </c>
      <c r="K16">
        <f t="shared" ref="K16" si="14">AVERAGE(J14:J16)</f>
        <v>1.26659564694512E-3</v>
      </c>
      <c r="M16">
        <f t="shared" ref="M16" si="15">K16/0.000838435523008882</f>
        <v>1.5106655338262693</v>
      </c>
    </row>
    <row r="17" spans="2:13">
      <c r="B17" t="s">
        <v>214</v>
      </c>
      <c r="C17" t="s">
        <v>112</v>
      </c>
      <c r="D17">
        <v>22.547000000000001</v>
      </c>
      <c r="F17" t="s">
        <v>214</v>
      </c>
      <c r="G17" t="s">
        <v>264</v>
      </c>
      <c r="H17">
        <v>32.994</v>
      </c>
      <c r="I17">
        <f>H17-E19</f>
        <v>10.499333333333329</v>
      </c>
      <c r="J17">
        <f t="shared" si="1"/>
        <v>6.908531341880635E-4</v>
      </c>
    </row>
    <row r="18" spans="2:13">
      <c r="B18" t="s">
        <v>214</v>
      </c>
      <c r="C18" t="s">
        <v>112</v>
      </c>
      <c r="D18">
        <v>22.62</v>
      </c>
      <c r="F18" t="s">
        <v>214</v>
      </c>
      <c r="G18" t="s">
        <v>264</v>
      </c>
      <c r="H18">
        <v>32.341999999999999</v>
      </c>
      <c r="I18">
        <f>H18-E19</f>
        <v>9.8473333333333279</v>
      </c>
      <c r="J18">
        <f t="shared" si="1"/>
        <v>1.0855686411704439E-3</v>
      </c>
      <c r="L18">
        <v>8.3843552300888198E-4</v>
      </c>
    </row>
    <row r="19" spans="2:13">
      <c r="B19" t="s">
        <v>214</v>
      </c>
      <c r="C19" t="s">
        <v>112</v>
      </c>
      <c r="D19">
        <v>22.317</v>
      </c>
      <c r="E19">
        <f>AVERAGE(D17:D19)</f>
        <v>22.494666666666671</v>
      </c>
      <c r="F19" t="s">
        <v>214</v>
      </c>
      <c r="G19" t="s">
        <v>264</v>
      </c>
      <c r="H19">
        <v>31.896999999999998</v>
      </c>
      <c r="I19">
        <f>H19-E19</f>
        <v>9.4023333333333277</v>
      </c>
      <c r="J19">
        <f t="shared" si="1"/>
        <v>1.4777999156544766E-3</v>
      </c>
      <c r="K19">
        <f t="shared" ref="K19" si="16">AVERAGE(J17:J19)</f>
        <v>1.0847405636709945E-3</v>
      </c>
      <c r="L19">
        <f>AVERAGE(K4,K7,K10,K13,K16,K19)</f>
        <v>8.3843552300888154E-4</v>
      </c>
      <c r="M19">
        <f t="shared" ref="M19" si="17">K19/0.000838435523008882</f>
        <v>1.293767420276041</v>
      </c>
    </row>
    <row r="20" spans="2:13">
      <c r="B20" t="s">
        <v>216</v>
      </c>
      <c r="C20" t="s">
        <v>112</v>
      </c>
      <c r="D20">
        <v>21.222999999999999</v>
      </c>
      <c r="F20" t="s">
        <v>216</v>
      </c>
      <c r="G20" t="s">
        <v>264</v>
      </c>
      <c r="H20">
        <v>27.077000000000002</v>
      </c>
      <c r="I20">
        <f>H20-E22</f>
        <v>5.8556666666666679</v>
      </c>
      <c r="J20">
        <f>POWER(2,-I20)</f>
        <v>1.7269059614085366E-2</v>
      </c>
    </row>
    <row r="21" spans="2:13">
      <c r="B21" s="10" t="s">
        <v>216</v>
      </c>
      <c r="C21" t="s">
        <v>112</v>
      </c>
      <c r="D21" s="10">
        <v>21.198</v>
      </c>
      <c r="E21" s="10"/>
      <c r="F21" s="10" t="s">
        <v>216</v>
      </c>
      <c r="G21" t="s">
        <v>264</v>
      </c>
      <c r="H21" s="10">
        <v>27.279</v>
      </c>
      <c r="I21" s="10">
        <f>H21-E22</f>
        <v>6.0576666666666661</v>
      </c>
      <c r="J21" s="10">
        <f>POWER(2,-I21)</f>
        <v>1.5012763033375435E-2</v>
      </c>
      <c r="K21" s="10"/>
      <c r="L21" s="10"/>
      <c r="M21" s="10"/>
    </row>
    <row r="22" spans="2:13">
      <c r="B22" s="10" t="s">
        <v>216</v>
      </c>
      <c r="C22" t="s">
        <v>112</v>
      </c>
      <c r="D22" s="10">
        <v>21.242999999999999</v>
      </c>
      <c r="E22" s="10">
        <f>AVERAGE(D20:D22)</f>
        <v>21.221333333333334</v>
      </c>
      <c r="F22" s="10" t="s">
        <v>216</v>
      </c>
      <c r="G22" t="s">
        <v>264</v>
      </c>
      <c r="H22" s="10">
        <v>27.161000000000001</v>
      </c>
      <c r="I22" s="10">
        <f>H22-E22</f>
        <v>5.9396666666666675</v>
      </c>
      <c r="J22" s="10">
        <f>POWER(2,-I22)</f>
        <v>1.6292291396920403E-2</v>
      </c>
      <c r="K22" s="10">
        <f t="shared" ref="K22" si="18">AVERAGE(J20:J22)</f>
        <v>1.6191371348127068E-2</v>
      </c>
      <c r="L22" s="10"/>
      <c r="M22" s="10">
        <f t="shared" ref="M22" si="19">K22/0.000838435523008882</f>
        <v>19.311409051493094</v>
      </c>
    </row>
    <row r="23" spans="2:13">
      <c r="B23" s="10" t="s">
        <v>217</v>
      </c>
      <c r="C23" t="s">
        <v>112</v>
      </c>
      <c r="D23" s="10">
        <v>22.042000000000002</v>
      </c>
      <c r="E23" s="10"/>
      <c r="F23" s="10" t="s">
        <v>217</v>
      </c>
      <c r="G23" t="s">
        <v>264</v>
      </c>
      <c r="H23" s="10">
        <v>28.553000000000001</v>
      </c>
      <c r="I23" s="10">
        <f>H23-E25</f>
        <v>6.4773333333333341</v>
      </c>
      <c r="J23" s="10">
        <f t="shared" ref="J23:J73" si="20">POWER(2,-I23)</f>
        <v>1.1223501650143299E-2</v>
      </c>
      <c r="K23" s="10"/>
      <c r="L23" s="10"/>
      <c r="M23" s="10"/>
    </row>
    <row r="24" spans="2:13">
      <c r="B24" s="10" t="s">
        <v>217</v>
      </c>
      <c r="C24" t="s">
        <v>112</v>
      </c>
      <c r="D24" s="10">
        <v>22.077999999999999</v>
      </c>
      <c r="E24" s="10"/>
      <c r="F24" s="10" t="s">
        <v>217</v>
      </c>
      <c r="G24" t="s">
        <v>264</v>
      </c>
      <c r="H24" s="10">
        <v>28.908000000000001</v>
      </c>
      <c r="I24" s="10">
        <f>H24-E25</f>
        <v>6.8323333333333345</v>
      </c>
      <c r="J24" s="10">
        <f t="shared" si="20"/>
        <v>8.7753152298507206E-3</v>
      </c>
      <c r="K24" s="10"/>
      <c r="L24" s="10"/>
      <c r="M24" s="10"/>
    </row>
    <row r="25" spans="2:13">
      <c r="B25" s="10" t="s">
        <v>217</v>
      </c>
      <c r="C25" t="s">
        <v>112</v>
      </c>
      <c r="D25" s="10">
        <v>22.106999999999999</v>
      </c>
      <c r="E25" s="10">
        <f t="shared" ref="E25" si="21">AVERAGE(D23:D25)</f>
        <v>22.075666666666667</v>
      </c>
      <c r="F25" s="10" t="s">
        <v>217</v>
      </c>
      <c r="G25" t="s">
        <v>264</v>
      </c>
      <c r="H25" s="10">
        <v>28.681000000000001</v>
      </c>
      <c r="I25" s="10">
        <f>H25-E25</f>
        <v>6.6053333333333342</v>
      </c>
      <c r="J25" s="10">
        <f t="shared" si="20"/>
        <v>1.0270617023528572E-2</v>
      </c>
      <c r="K25" s="10">
        <f t="shared" ref="K25" si="22">AVERAGE(J23:J25)</f>
        <v>1.0089811301174196E-2</v>
      </c>
      <c r="L25" s="10"/>
      <c r="M25" s="10">
        <f t="shared" ref="M25" si="23">K25/0.000838435523008882</f>
        <v>12.034093289565105</v>
      </c>
    </row>
    <row r="26" spans="2:13">
      <c r="B26" s="10" t="s">
        <v>218</v>
      </c>
      <c r="C26" t="s">
        <v>112</v>
      </c>
      <c r="D26" s="10">
        <v>19.829999999999998</v>
      </c>
      <c r="E26" s="10"/>
      <c r="F26" s="10" t="s">
        <v>218</v>
      </c>
      <c r="G26" t="s">
        <v>264</v>
      </c>
      <c r="H26" s="10">
        <v>26.97</v>
      </c>
      <c r="I26" s="10">
        <f>H26-E28</f>
        <v>7.5236666666666672</v>
      </c>
      <c r="J26" s="10">
        <f t="shared" si="20"/>
        <v>5.4343881672282521E-3</v>
      </c>
      <c r="K26" s="10"/>
      <c r="L26" s="10"/>
      <c r="M26" s="10"/>
    </row>
    <row r="27" spans="2:13">
      <c r="B27" s="10" t="s">
        <v>218</v>
      </c>
      <c r="C27" t="s">
        <v>112</v>
      </c>
      <c r="D27" s="10">
        <v>19.114999999999998</v>
      </c>
      <c r="E27" s="10"/>
      <c r="F27" s="10" t="s">
        <v>218</v>
      </c>
      <c r="G27" t="s">
        <v>264</v>
      </c>
      <c r="H27" s="10">
        <v>27.015000000000001</v>
      </c>
      <c r="I27" s="10">
        <f>H27-E28</f>
        <v>7.5686666666666689</v>
      </c>
      <c r="J27" s="10">
        <f t="shared" si="20"/>
        <v>5.2674971117667472E-3</v>
      </c>
      <c r="K27" s="10"/>
      <c r="L27" s="10"/>
      <c r="M27" s="10"/>
    </row>
    <row r="28" spans="2:13">
      <c r="B28" s="10" t="s">
        <v>218</v>
      </c>
      <c r="C28" t="s">
        <v>112</v>
      </c>
      <c r="D28" s="10">
        <v>19.393999999999998</v>
      </c>
      <c r="E28" s="10">
        <f>AVERAGE(D26:D28)</f>
        <v>19.446333333333332</v>
      </c>
      <c r="F28" s="10" t="s">
        <v>218</v>
      </c>
      <c r="G28" t="s">
        <v>264</v>
      </c>
      <c r="H28" s="10">
        <v>26.898</v>
      </c>
      <c r="I28" s="10">
        <f>H28-E28</f>
        <v>7.451666666666668</v>
      </c>
      <c r="J28" s="10">
        <f t="shared" si="20"/>
        <v>5.7124816188571254E-3</v>
      </c>
      <c r="K28" s="10">
        <f t="shared" ref="K28" si="24">AVERAGE(J26:J28)</f>
        <v>5.4714556326173752E-3</v>
      </c>
      <c r="L28" s="10"/>
      <c r="M28" s="10">
        <f t="shared" ref="M28" si="25">K28/0.000838435523008882</f>
        <v>6.5257917662911487</v>
      </c>
    </row>
    <row r="29" spans="2:13">
      <c r="B29" s="10" t="s">
        <v>219</v>
      </c>
      <c r="C29" t="s">
        <v>112</v>
      </c>
      <c r="D29" s="10">
        <v>22.18</v>
      </c>
      <c r="E29" s="10"/>
      <c r="F29" s="10" t="s">
        <v>219</v>
      </c>
      <c r="G29" t="s">
        <v>264</v>
      </c>
      <c r="H29" s="10">
        <v>28.472999999999999</v>
      </c>
      <c r="I29" s="10">
        <f>H29-E31</f>
        <v>5.8126666666666686</v>
      </c>
      <c r="J29" s="10">
        <f t="shared" si="20"/>
        <v>1.7791516942712211E-2</v>
      </c>
      <c r="K29" s="10"/>
      <c r="L29" s="10"/>
      <c r="M29" s="10"/>
    </row>
    <row r="30" spans="2:13">
      <c r="B30" s="10" t="s">
        <v>219</v>
      </c>
      <c r="C30" t="s">
        <v>112</v>
      </c>
      <c r="D30" s="10">
        <v>22.943999999999999</v>
      </c>
      <c r="E30" s="10"/>
      <c r="F30" s="10" t="s">
        <v>219</v>
      </c>
      <c r="G30" t="s">
        <v>264</v>
      </c>
      <c r="H30" s="10">
        <v>28.376000000000001</v>
      </c>
      <c r="I30" s="10">
        <f>H30-E31</f>
        <v>5.7156666666666709</v>
      </c>
      <c r="J30" s="10">
        <f t="shared" si="20"/>
        <v>1.9028865135138805E-2</v>
      </c>
      <c r="K30" s="10"/>
      <c r="L30" s="10"/>
      <c r="M30" s="10"/>
    </row>
    <row r="31" spans="2:13">
      <c r="B31" s="10" t="s">
        <v>219</v>
      </c>
      <c r="C31" t="s">
        <v>112</v>
      </c>
      <c r="D31" s="10">
        <v>22.856999999999999</v>
      </c>
      <c r="E31" s="10">
        <f t="shared" ref="E31" si="26">AVERAGE(D29:D31)</f>
        <v>22.66033333333333</v>
      </c>
      <c r="F31" s="10" t="s">
        <v>219</v>
      </c>
      <c r="G31" t="s">
        <v>264</v>
      </c>
      <c r="H31" s="10">
        <v>28.635000000000002</v>
      </c>
      <c r="I31" s="10">
        <f t="shared" ref="I31" si="27">H31-E31</f>
        <v>5.9746666666666712</v>
      </c>
      <c r="J31" s="10">
        <f t="shared" si="20"/>
        <v>1.5901793859215523E-2</v>
      </c>
      <c r="K31" s="10">
        <f t="shared" ref="K31" si="28">AVERAGE(J29:J31)</f>
        <v>1.7574058645688846E-2</v>
      </c>
      <c r="L31" s="10"/>
      <c r="M31" s="10">
        <f t="shared" ref="M31" si="29">K31/0.000838435523008882</f>
        <v>20.960536813398679</v>
      </c>
    </row>
    <row r="32" spans="2:13">
      <c r="B32" s="10" t="s">
        <v>220</v>
      </c>
      <c r="C32" t="s">
        <v>112</v>
      </c>
      <c r="D32" s="10">
        <v>20.747</v>
      </c>
      <c r="E32" s="10"/>
      <c r="F32" s="10" t="s">
        <v>220</v>
      </c>
      <c r="G32" t="s">
        <v>264</v>
      </c>
      <c r="H32" s="10">
        <v>25.904</v>
      </c>
      <c r="I32" s="10">
        <f>H32-E34</f>
        <v>5.1563333333333361</v>
      </c>
      <c r="J32" s="10">
        <f t="shared" si="20"/>
        <v>2.8040709555246544E-2</v>
      </c>
      <c r="K32" s="10"/>
      <c r="L32" s="10"/>
      <c r="M32" s="10"/>
    </row>
    <row r="33" spans="2:13">
      <c r="B33" s="10" t="s">
        <v>220</v>
      </c>
      <c r="C33" t="s">
        <v>112</v>
      </c>
      <c r="D33" s="10">
        <v>20.693000000000001</v>
      </c>
      <c r="E33" s="10"/>
      <c r="F33" s="10" t="s">
        <v>220</v>
      </c>
      <c r="G33" t="s">
        <v>264</v>
      </c>
      <c r="H33" s="10">
        <v>25.856000000000002</v>
      </c>
      <c r="I33" s="10">
        <f>H33-E34</f>
        <v>5.1083333333333378</v>
      </c>
      <c r="J33" s="10">
        <f t="shared" si="20"/>
        <v>2.8989347404415833E-2</v>
      </c>
      <c r="K33" s="10"/>
      <c r="L33" s="10"/>
      <c r="M33" s="10"/>
    </row>
    <row r="34" spans="2:13">
      <c r="B34" s="10" t="s">
        <v>220</v>
      </c>
      <c r="C34" s="10" t="s">
        <v>112</v>
      </c>
      <c r="D34" s="10">
        <v>20.803000000000001</v>
      </c>
      <c r="E34" s="10">
        <f>AVERAGE(D32:D34)</f>
        <v>20.747666666666664</v>
      </c>
      <c r="F34" s="10" t="s">
        <v>220</v>
      </c>
      <c r="G34" t="s">
        <v>264</v>
      </c>
      <c r="H34" s="10">
        <v>26.03</v>
      </c>
      <c r="I34" s="10">
        <f>H34-E34</f>
        <v>5.2823333333333373</v>
      </c>
      <c r="J34" s="10">
        <f t="shared" si="20"/>
        <v>2.5695627010876434E-2</v>
      </c>
      <c r="K34" s="10">
        <f t="shared" ref="K34" si="30">AVERAGE(J32:J34)</f>
        <v>2.7575227990179602E-2</v>
      </c>
      <c r="L34" s="10"/>
      <c r="M34" s="10">
        <f t="shared" ref="M34" si="31">K34/0.000838435523008882</f>
        <v>32.888907057779186</v>
      </c>
    </row>
    <row r="35" spans="2:13">
      <c r="B35" t="s">
        <v>221</v>
      </c>
      <c r="C35" t="s">
        <v>112</v>
      </c>
      <c r="D35">
        <v>22.204000000000001</v>
      </c>
      <c r="F35" t="s">
        <v>221</v>
      </c>
      <c r="G35" t="s">
        <v>264</v>
      </c>
      <c r="H35">
        <v>27.895</v>
      </c>
      <c r="I35">
        <f>H35-E37</f>
        <v>5.7590000000000003</v>
      </c>
      <c r="J35">
        <f t="shared" si="20"/>
        <v>1.8465805420849458E-2</v>
      </c>
    </row>
    <row r="36" spans="2:13">
      <c r="B36" t="s">
        <v>221</v>
      </c>
      <c r="C36" t="s">
        <v>112</v>
      </c>
      <c r="D36">
        <v>22.088000000000001</v>
      </c>
      <c r="F36" t="s">
        <v>221</v>
      </c>
      <c r="G36" t="s">
        <v>264</v>
      </c>
      <c r="H36">
        <v>27.966999999999999</v>
      </c>
      <c r="I36">
        <f>H36-E37</f>
        <v>5.8309999999999995</v>
      </c>
      <c r="J36">
        <f t="shared" si="20"/>
        <v>1.7566858184040905E-2</v>
      </c>
    </row>
    <row r="37" spans="2:13">
      <c r="B37" t="s">
        <v>221</v>
      </c>
      <c r="C37" t="s">
        <v>112</v>
      </c>
      <c r="D37">
        <v>22.116</v>
      </c>
      <c r="E37">
        <f>AVERAGE(D35:D37)</f>
        <v>22.135999999999999</v>
      </c>
      <c r="F37" t="s">
        <v>221</v>
      </c>
      <c r="G37" t="s">
        <v>264</v>
      </c>
      <c r="H37">
        <v>27.867999999999999</v>
      </c>
      <c r="I37">
        <f>H37-E37</f>
        <v>5.7319999999999993</v>
      </c>
      <c r="J37">
        <f t="shared" si="20"/>
        <v>1.8814646581740885E-2</v>
      </c>
      <c r="K37">
        <f t="shared" ref="K37" si="32">AVERAGE(J35:J37)</f>
        <v>1.8282436728877083E-2</v>
      </c>
      <c r="M37">
        <f t="shared" ref="M37" si="33">K37/0.000838435523008882</f>
        <v>21.805417622654101</v>
      </c>
    </row>
    <row r="38" spans="2:13">
      <c r="B38" t="s">
        <v>223</v>
      </c>
      <c r="C38" t="s">
        <v>112</v>
      </c>
      <c r="D38">
        <v>20.562000000000001</v>
      </c>
      <c r="F38" t="s">
        <v>223</v>
      </c>
      <c r="G38" t="s">
        <v>264</v>
      </c>
      <c r="H38">
        <v>30.28</v>
      </c>
      <c r="I38">
        <f t="shared" ref="I38" si="34">H38-E40</f>
        <v>9.8589999999999982</v>
      </c>
      <c r="J38">
        <f t="shared" si="20"/>
        <v>1.0768253545594868E-3</v>
      </c>
    </row>
    <row r="39" spans="2:13">
      <c r="B39" t="s">
        <v>223</v>
      </c>
      <c r="C39" t="s">
        <v>112</v>
      </c>
      <c r="D39">
        <v>20.643999999999998</v>
      </c>
      <c r="F39" t="s">
        <v>223</v>
      </c>
      <c r="G39" t="s">
        <v>264</v>
      </c>
      <c r="H39">
        <v>29.96</v>
      </c>
      <c r="I39">
        <f t="shared" ref="I39" si="35">H39-E40</f>
        <v>9.5389999999999979</v>
      </c>
      <c r="J39">
        <f t="shared" si="20"/>
        <v>1.3442339859284179E-3</v>
      </c>
    </row>
    <row r="40" spans="2:13">
      <c r="B40" t="s">
        <v>223</v>
      </c>
      <c r="C40" t="s">
        <v>112</v>
      </c>
      <c r="D40">
        <v>20.056999999999999</v>
      </c>
      <c r="E40">
        <f>AVERAGE(D38:D40)</f>
        <v>20.421000000000003</v>
      </c>
      <c r="F40" t="s">
        <v>223</v>
      </c>
      <c r="G40" t="s">
        <v>264</v>
      </c>
      <c r="H40">
        <v>30.018000000000001</v>
      </c>
      <c r="I40">
        <f t="shared" ref="I40" si="36">H40-E40</f>
        <v>9.5969999999999978</v>
      </c>
      <c r="J40">
        <f t="shared" si="20"/>
        <v>1.291264262834548E-3</v>
      </c>
      <c r="K40">
        <f>AVERAGE(J38:J40)</f>
        <v>1.2374412011074843E-3</v>
      </c>
      <c r="M40">
        <f t="shared" ref="M40" si="37">K40/0.000838435523008882</f>
        <v>1.4758930974998485</v>
      </c>
    </row>
    <row r="41" spans="2:13">
      <c r="B41" t="s">
        <v>224</v>
      </c>
      <c r="C41" t="s">
        <v>112</v>
      </c>
      <c r="D41">
        <v>20.75</v>
      </c>
      <c r="F41" t="s">
        <v>224</v>
      </c>
      <c r="G41" t="s">
        <v>264</v>
      </c>
      <c r="H41">
        <v>30.623000000000001</v>
      </c>
      <c r="I41">
        <f t="shared" ref="I41:I53" si="38">H41-E43</f>
        <v>9.8580000000000005</v>
      </c>
      <c r="J41">
        <f t="shared" si="20"/>
        <v>1.0775720117597257E-3</v>
      </c>
    </row>
    <row r="42" spans="2:13">
      <c r="B42" t="s">
        <v>224</v>
      </c>
      <c r="C42" t="s">
        <v>112</v>
      </c>
      <c r="D42">
        <v>20.794</v>
      </c>
      <c r="F42" t="s">
        <v>224</v>
      </c>
      <c r="G42" t="s">
        <v>264</v>
      </c>
      <c r="H42">
        <v>31.068999999999999</v>
      </c>
      <c r="I42">
        <f t="shared" ref="I42:I54" si="39">H42-E43</f>
        <v>10.303999999999998</v>
      </c>
      <c r="J42">
        <f t="shared" si="20"/>
        <v>7.9101901721879595E-4</v>
      </c>
    </row>
    <row r="43" spans="2:13">
      <c r="B43" t="s">
        <v>224</v>
      </c>
      <c r="C43" t="s">
        <v>112</v>
      </c>
      <c r="D43">
        <v>20.751000000000001</v>
      </c>
      <c r="E43">
        <f t="shared" ref="E43:E52" si="40">AVERAGE(D41:D43)</f>
        <v>20.765000000000001</v>
      </c>
      <c r="F43" t="s">
        <v>224</v>
      </c>
      <c r="G43" t="s">
        <v>264</v>
      </c>
      <c r="H43">
        <v>31.367999999999999</v>
      </c>
      <c r="I43">
        <f t="shared" ref="I43:I55" si="41">H43-E43</f>
        <v>10.602999999999998</v>
      </c>
      <c r="J43">
        <f t="shared" si="20"/>
        <v>6.4295259866174097E-4</v>
      </c>
      <c r="K43">
        <f t="shared" ref="K43" si="42">AVERAGE(J41:J43)</f>
        <v>8.3718120921342078E-4</v>
      </c>
      <c r="M43">
        <f t="shared" ref="M43" si="43">K43/0.000838435523008882</f>
        <v>0.99850398300043408</v>
      </c>
    </row>
    <row r="44" spans="2:13">
      <c r="B44" t="s">
        <v>225</v>
      </c>
      <c r="C44" t="s">
        <v>112</v>
      </c>
      <c r="D44">
        <v>20.989000000000001</v>
      </c>
      <c r="F44" t="s">
        <v>225</v>
      </c>
      <c r="G44" t="s">
        <v>264</v>
      </c>
      <c r="H44">
        <v>31.417999999999999</v>
      </c>
      <c r="I44">
        <f t="shared" si="38"/>
        <v>10.422000000000001</v>
      </c>
      <c r="J44">
        <f t="shared" si="20"/>
        <v>7.2889569496921512E-4</v>
      </c>
    </row>
    <row r="45" spans="2:13">
      <c r="B45" t="s">
        <v>225</v>
      </c>
      <c r="C45" t="s">
        <v>112</v>
      </c>
      <c r="D45">
        <v>20.986999999999998</v>
      </c>
      <c r="F45" t="s">
        <v>225</v>
      </c>
      <c r="G45" t="s">
        <v>264</v>
      </c>
      <c r="H45">
        <v>31.998000000000001</v>
      </c>
      <c r="I45">
        <f t="shared" si="39"/>
        <v>11.002000000000002</v>
      </c>
      <c r="J45">
        <f t="shared" si="20"/>
        <v>4.8760481743214225E-4</v>
      </c>
    </row>
    <row r="46" spans="2:13">
      <c r="B46" t="s">
        <v>225</v>
      </c>
      <c r="C46" t="s">
        <v>112</v>
      </c>
      <c r="D46">
        <v>21.012</v>
      </c>
      <c r="E46">
        <f t="shared" si="40"/>
        <v>20.995999999999999</v>
      </c>
      <c r="F46" t="s">
        <v>225</v>
      </c>
      <c r="G46" t="s">
        <v>264</v>
      </c>
      <c r="H46">
        <v>31.896000000000001</v>
      </c>
      <c r="I46">
        <f t="shared" si="41"/>
        <v>10.900000000000002</v>
      </c>
      <c r="J46">
        <f t="shared" si="20"/>
        <v>5.2332688600404895E-4</v>
      </c>
      <c r="K46">
        <f t="shared" ref="K46" si="44">AVERAGE(J44:J46)</f>
        <v>5.7994246613513544E-4</v>
      </c>
      <c r="M46">
        <f t="shared" ref="M46" si="45">K46/0.000838435523008882</f>
        <v>0.69169596256358978</v>
      </c>
    </row>
    <row r="47" spans="2:13">
      <c r="B47" t="s">
        <v>226</v>
      </c>
      <c r="C47" t="s">
        <v>112</v>
      </c>
      <c r="D47">
        <v>21.451000000000001</v>
      </c>
      <c r="F47" t="s">
        <v>226</v>
      </c>
      <c r="G47" t="s">
        <v>264</v>
      </c>
      <c r="H47">
        <v>31.241</v>
      </c>
      <c r="I47">
        <f t="shared" si="38"/>
        <v>9.8889999999999958</v>
      </c>
      <c r="J47">
        <f t="shared" si="20"/>
        <v>1.0546646092118026E-3</v>
      </c>
    </row>
    <row r="48" spans="2:13">
      <c r="B48" t="s">
        <v>226</v>
      </c>
      <c r="C48" t="s">
        <v>112</v>
      </c>
      <c r="D48">
        <v>21.370999999999999</v>
      </c>
      <c r="F48" t="s">
        <v>226</v>
      </c>
      <c r="G48" t="s">
        <v>264</v>
      </c>
      <c r="H48">
        <v>31.248000000000001</v>
      </c>
      <c r="I48">
        <f t="shared" si="39"/>
        <v>9.8959999999999972</v>
      </c>
      <c r="J48">
        <f t="shared" si="20"/>
        <v>1.0495597391167028E-3</v>
      </c>
    </row>
    <row r="49" spans="2:13">
      <c r="B49" t="s">
        <v>226</v>
      </c>
      <c r="C49" t="s">
        <v>112</v>
      </c>
      <c r="D49">
        <v>21.234000000000002</v>
      </c>
      <c r="E49">
        <f t="shared" si="40"/>
        <v>21.352000000000004</v>
      </c>
      <c r="F49" t="s">
        <v>226</v>
      </c>
      <c r="G49" t="s">
        <v>264</v>
      </c>
      <c r="H49">
        <v>31.858000000000001</v>
      </c>
      <c r="I49">
        <f t="shared" si="41"/>
        <v>10.505999999999997</v>
      </c>
      <c r="J49">
        <f t="shared" si="20"/>
        <v>6.8766807954691626E-4</v>
      </c>
      <c r="K49">
        <f t="shared" ref="K49" si="46">AVERAGE(J47:J49)</f>
        <v>9.3063080929180718E-4</v>
      </c>
      <c r="M49">
        <f t="shared" ref="M49" si="47">K49/0.000838435523008882</f>
        <v>1.1099610927171422</v>
      </c>
    </row>
    <row r="50" spans="2:13">
      <c r="B50" t="s">
        <v>227</v>
      </c>
      <c r="C50" t="s">
        <v>112</v>
      </c>
      <c r="D50">
        <v>21.280999999999999</v>
      </c>
      <c r="F50" t="s">
        <v>227</v>
      </c>
      <c r="G50" t="s">
        <v>264</v>
      </c>
      <c r="H50">
        <v>31.178999999999998</v>
      </c>
      <c r="I50">
        <f t="shared" si="38"/>
        <v>10.155999999999999</v>
      </c>
      <c r="J50">
        <f t="shared" si="20"/>
        <v>8.7647465885474867E-4</v>
      </c>
    </row>
    <row r="51" spans="2:13">
      <c r="B51" t="s">
        <v>227</v>
      </c>
      <c r="C51" t="s">
        <v>112</v>
      </c>
      <c r="D51">
        <v>20.739000000000001</v>
      </c>
      <c r="F51" t="s">
        <v>227</v>
      </c>
      <c r="G51" t="s">
        <v>264</v>
      </c>
      <c r="H51">
        <v>31.047000000000001</v>
      </c>
      <c r="I51">
        <f t="shared" si="39"/>
        <v>10.024000000000001</v>
      </c>
      <c r="J51">
        <f t="shared" si="20"/>
        <v>9.6045124416625728E-4</v>
      </c>
    </row>
    <row r="52" spans="2:13">
      <c r="B52" t="s">
        <v>227</v>
      </c>
      <c r="C52" t="s">
        <v>112</v>
      </c>
      <c r="D52">
        <v>21.048999999999999</v>
      </c>
      <c r="E52">
        <f t="shared" si="40"/>
        <v>21.023</v>
      </c>
      <c r="F52" t="s">
        <v>227</v>
      </c>
      <c r="G52" t="s">
        <v>264</v>
      </c>
      <c r="H52">
        <v>31.312999999999999</v>
      </c>
      <c r="I52">
        <f t="shared" si="41"/>
        <v>10.29</v>
      </c>
      <c r="J52">
        <f t="shared" si="20"/>
        <v>7.9873247906033407E-4</v>
      </c>
      <c r="K52">
        <f t="shared" ref="K52" si="48">AVERAGE(J50:J52)</f>
        <v>8.7855279402711337E-4</v>
      </c>
      <c r="M52">
        <f t="shared" ref="M52" si="49">K52/0.000838435523008882</f>
        <v>1.0478477711372045</v>
      </c>
    </row>
    <row r="53" spans="2:13">
      <c r="B53" t="s">
        <v>228</v>
      </c>
      <c r="C53" t="s">
        <v>112</v>
      </c>
      <c r="D53">
        <v>20.623000000000001</v>
      </c>
      <c r="F53" t="s">
        <v>228</v>
      </c>
      <c r="G53" t="s">
        <v>264</v>
      </c>
      <c r="H53">
        <v>32.274000000000001</v>
      </c>
      <c r="I53">
        <f t="shared" si="38"/>
        <v>11.753333333333334</v>
      </c>
      <c r="J53">
        <f t="shared" si="20"/>
        <v>2.8966372922570473E-4</v>
      </c>
    </row>
    <row r="54" spans="2:13">
      <c r="B54" t="s">
        <v>228</v>
      </c>
      <c r="C54" t="s">
        <v>112</v>
      </c>
      <c r="D54">
        <v>20.443999999999999</v>
      </c>
      <c r="F54" t="s">
        <v>228</v>
      </c>
      <c r="G54" t="s">
        <v>264</v>
      </c>
      <c r="H54">
        <v>30.529</v>
      </c>
      <c r="I54">
        <f t="shared" si="39"/>
        <v>10.008333333333333</v>
      </c>
      <c r="J54">
        <f t="shared" si="20"/>
        <v>9.7093791388432396E-4</v>
      </c>
    </row>
    <row r="55" spans="2:13">
      <c r="B55" t="s">
        <v>228</v>
      </c>
      <c r="C55" t="s">
        <v>112</v>
      </c>
      <c r="D55">
        <v>20.495000000000001</v>
      </c>
      <c r="E55">
        <f t="shared" ref="E55" si="50">AVERAGE(D53:D55)</f>
        <v>20.520666666666667</v>
      </c>
      <c r="F55" t="s">
        <v>228</v>
      </c>
      <c r="G55" t="s">
        <v>264</v>
      </c>
      <c r="H55">
        <v>31.632999999999999</v>
      </c>
      <c r="I55">
        <f t="shared" si="41"/>
        <v>11.112333333333332</v>
      </c>
      <c r="J55">
        <f t="shared" si="20"/>
        <v>4.5170442481227475E-4</v>
      </c>
      <c r="K55">
        <f t="shared" ref="K55" si="51">AVERAGE(J53:J55)</f>
        <v>5.7076868930743452E-4</v>
      </c>
      <c r="M55">
        <f t="shared" ref="M55" si="52">K55/0.000838435523008882</f>
        <v>0.68075442135266984</v>
      </c>
    </row>
    <row r="56" spans="2:13">
      <c r="B56" t="s">
        <v>229</v>
      </c>
      <c r="C56" t="s">
        <v>112</v>
      </c>
      <c r="D56">
        <v>21.31</v>
      </c>
      <c r="F56" t="s">
        <v>229</v>
      </c>
      <c r="G56" t="s">
        <v>264</v>
      </c>
      <c r="H56">
        <v>26.71</v>
      </c>
      <c r="I56">
        <f t="shared" ref="I56" si="53">H56-E58</f>
        <v>5.379999999999999</v>
      </c>
      <c r="J56">
        <f t="shared" si="20"/>
        <v>2.4013674707625218E-2</v>
      </c>
    </row>
    <row r="57" spans="2:13">
      <c r="B57" t="s">
        <v>229</v>
      </c>
      <c r="C57" t="s">
        <v>112</v>
      </c>
      <c r="D57">
        <v>21.234999999999999</v>
      </c>
      <c r="F57" t="s">
        <v>229</v>
      </c>
      <c r="G57" t="s">
        <v>264</v>
      </c>
      <c r="H57">
        <v>26.776</v>
      </c>
      <c r="I57">
        <f t="shared" ref="I57" si="54">H57-E58</f>
        <v>5.445999999999998</v>
      </c>
      <c r="J57">
        <f t="shared" si="20"/>
        <v>2.2939853688032898E-2</v>
      </c>
    </row>
    <row r="58" spans="2:13">
      <c r="B58" t="s">
        <v>229</v>
      </c>
      <c r="C58" t="s">
        <v>112</v>
      </c>
      <c r="D58">
        <v>21.445</v>
      </c>
      <c r="E58">
        <f t="shared" ref="E58" si="55">AVERAGE(D56:D58)</f>
        <v>21.330000000000002</v>
      </c>
      <c r="F58" t="s">
        <v>229</v>
      </c>
      <c r="G58" t="s">
        <v>264</v>
      </c>
      <c r="H58">
        <v>27.01</v>
      </c>
      <c r="I58">
        <f t="shared" ref="I58" si="56">H58-E58</f>
        <v>5.68</v>
      </c>
      <c r="J58">
        <f t="shared" si="20"/>
        <v>1.9505164826587696E-2</v>
      </c>
      <c r="K58">
        <f t="shared" ref="K58" si="57">AVERAGE(J56:J58)</f>
        <v>2.2152897740748603E-2</v>
      </c>
      <c r="M58">
        <f t="shared" ref="M58" si="58">K58/0.000838435523008882</f>
        <v>26.421707016001427</v>
      </c>
    </row>
    <row r="59" spans="2:13">
      <c r="B59" s="10" t="s">
        <v>230</v>
      </c>
      <c r="C59" t="s">
        <v>112</v>
      </c>
      <c r="D59">
        <v>19.829999999999998</v>
      </c>
      <c r="F59" s="10" t="s">
        <v>230</v>
      </c>
      <c r="G59" t="s">
        <v>264</v>
      </c>
      <c r="H59">
        <v>25.3</v>
      </c>
      <c r="I59">
        <f t="shared" ref="I59" si="59">H59-E61</f>
        <v>5.5003333333333373</v>
      </c>
      <c r="J59">
        <f t="shared" si="20"/>
        <v>2.2091981990682012E-2</v>
      </c>
    </row>
    <row r="60" spans="2:13">
      <c r="B60" s="10" t="s">
        <v>230</v>
      </c>
      <c r="C60" t="s">
        <v>112</v>
      </c>
      <c r="D60">
        <v>19.739999999999998</v>
      </c>
      <c r="F60" s="10" t="s">
        <v>230</v>
      </c>
      <c r="G60" t="s">
        <v>264</v>
      </c>
      <c r="H60">
        <v>25.311</v>
      </c>
      <c r="I60">
        <f t="shared" ref="I60" si="60">H60-E61</f>
        <v>5.5113333333333365</v>
      </c>
      <c r="J60">
        <f t="shared" si="20"/>
        <v>2.1924179573033154E-2</v>
      </c>
    </row>
    <row r="61" spans="2:13">
      <c r="B61" s="10" t="s">
        <v>230</v>
      </c>
      <c r="C61" t="s">
        <v>112</v>
      </c>
      <c r="D61">
        <v>19.829000000000001</v>
      </c>
      <c r="E61">
        <f t="shared" ref="E61" si="61">AVERAGE(D59:D61)</f>
        <v>19.799666666666663</v>
      </c>
      <c r="F61" s="10" t="s">
        <v>230</v>
      </c>
      <c r="G61" t="s">
        <v>264</v>
      </c>
      <c r="H61">
        <v>25.384</v>
      </c>
      <c r="I61">
        <f t="shared" ref="I61" si="62">H61-E61</f>
        <v>5.5843333333333369</v>
      </c>
      <c r="J61">
        <f t="shared" si="20"/>
        <v>2.0842420848100836E-2</v>
      </c>
      <c r="K61">
        <f t="shared" ref="K61" si="63">AVERAGE(J59:J61)</f>
        <v>2.1619527470605335E-2</v>
      </c>
      <c r="M61">
        <f t="shared" ref="M61" si="64">K61/0.000838435523008882</f>
        <v>25.785557597821757</v>
      </c>
    </row>
    <row r="62" spans="2:13">
      <c r="B62" t="s">
        <v>231</v>
      </c>
      <c r="C62" t="s">
        <v>112</v>
      </c>
      <c r="D62">
        <v>19.004999999999999</v>
      </c>
      <c r="F62" t="s">
        <v>231</v>
      </c>
      <c r="G62" t="s">
        <v>264</v>
      </c>
      <c r="H62">
        <v>25.122</v>
      </c>
      <c r="I62">
        <f>H62-E64</f>
        <v>5.9479999999999968</v>
      </c>
      <c r="J62">
        <f t="shared" si="20"/>
        <v>1.6198454703433174E-2</v>
      </c>
    </row>
    <row r="63" spans="2:13">
      <c r="B63" t="s">
        <v>231</v>
      </c>
      <c r="C63" t="s">
        <v>112</v>
      </c>
      <c r="D63">
        <v>19.173999999999999</v>
      </c>
      <c r="F63" t="s">
        <v>231</v>
      </c>
      <c r="G63" t="s">
        <v>264</v>
      </c>
      <c r="H63">
        <v>25.143000000000001</v>
      </c>
      <c r="I63">
        <f>H63-E64</f>
        <v>5.9689999999999976</v>
      </c>
      <c r="J63">
        <f t="shared" si="20"/>
        <v>1.5964376292410983E-2</v>
      </c>
    </row>
    <row r="64" spans="2:13">
      <c r="B64" t="s">
        <v>231</v>
      </c>
      <c r="C64" t="s">
        <v>112</v>
      </c>
      <c r="D64">
        <v>19.343</v>
      </c>
      <c r="E64">
        <f>AVERAGE(D62:D64)</f>
        <v>19.174000000000003</v>
      </c>
      <c r="F64" t="s">
        <v>231</v>
      </c>
      <c r="G64" t="s">
        <v>264</v>
      </c>
      <c r="H64">
        <v>25.11</v>
      </c>
      <c r="I64">
        <f>H64-E64</f>
        <v>5.9359999999999964</v>
      </c>
      <c r="J64">
        <f t="shared" si="20"/>
        <v>1.633375156570574E-2</v>
      </c>
      <c r="K64">
        <f t="shared" ref="K64" si="65">AVERAGE(J62:J64)</f>
        <v>1.6165527520516632E-2</v>
      </c>
      <c r="M64">
        <f t="shared" ref="M64" si="66">K64/0.000838435523008882</f>
        <v>19.280585181438433</v>
      </c>
    </row>
    <row r="65" spans="2:34">
      <c r="B65" s="10" t="s">
        <v>232</v>
      </c>
      <c r="C65" t="s">
        <v>112</v>
      </c>
      <c r="D65">
        <v>20.690999999999999</v>
      </c>
      <c r="F65" s="10" t="s">
        <v>232</v>
      </c>
      <c r="G65" t="s">
        <v>264</v>
      </c>
      <c r="H65">
        <v>24.884</v>
      </c>
      <c r="I65">
        <f t="shared" ref="I65" si="67">H65-E67</f>
        <v>4.2709999999999972</v>
      </c>
      <c r="J65">
        <f t="shared" si="20"/>
        <v>5.1796556530499603E-2</v>
      </c>
    </row>
    <row r="66" spans="2:34">
      <c r="B66" s="10" t="s">
        <v>232</v>
      </c>
      <c r="C66" t="s">
        <v>112</v>
      </c>
      <c r="D66">
        <v>20.795000000000002</v>
      </c>
      <c r="F66" s="10" t="s">
        <v>232</v>
      </c>
      <c r="G66" t="s">
        <v>264</v>
      </c>
      <c r="H66">
        <v>24.798999999999999</v>
      </c>
      <c r="I66">
        <f t="shared" ref="I66" si="68">H66-E67</f>
        <v>4.1859999999999964</v>
      </c>
      <c r="J66">
        <f t="shared" si="20"/>
        <v>5.4939972556986821E-2</v>
      </c>
    </row>
    <row r="67" spans="2:34">
      <c r="B67" s="10" t="s">
        <v>232</v>
      </c>
      <c r="C67" t="s">
        <v>112</v>
      </c>
      <c r="D67">
        <v>20.353000000000002</v>
      </c>
      <c r="E67">
        <f t="shared" ref="E67" si="69">AVERAGE(D65:D67)</f>
        <v>20.613000000000003</v>
      </c>
      <c r="F67" s="10" t="s">
        <v>232</v>
      </c>
      <c r="G67" t="s">
        <v>264</v>
      </c>
      <c r="H67">
        <v>25.13</v>
      </c>
      <c r="I67">
        <f t="shared" ref="I67" si="70">H67-E67</f>
        <v>4.5169999999999959</v>
      </c>
      <c r="J67">
        <f t="shared" si="20"/>
        <v>4.3676467870345945E-2</v>
      </c>
      <c r="K67">
        <f t="shared" ref="K67" si="71">AVERAGE(J65:J67)</f>
        <v>5.0137665652610797E-2</v>
      </c>
      <c r="M67">
        <f t="shared" ref="M67" si="72">K67/0.000838435523008882</f>
        <v>59.799071337867993</v>
      </c>
    </row>
    <row r="68" spans="2:34">
      <c r="B68" s="10" t="s">
        <v>233</v>
      </c>
      <c r="C68" t="s">
        <v>112</v>
      </c>
      <c r="D68">
        <v>19.425000000000001</v>
      </c>
      <c r="F68" s="10" t="s">
        <v>233</v>
      </c>
      <c r="G68" t="s">
        <v>264</v>
      </c>
      <c r="H68">
        <v>24.869</v>
      </c>
      <c r="I68">
        <f t="shared" ref="I68" si="73">H68-E70</f>
        <v>5.2806666666666651</v>
      </c>
      <c r="J68">
        <f t="shared" si="20"/>
        <v>2.5725328916425462E-2</v>
      </c>
    </row>
    <row r="69" spans="2:34">
      <c r="B69" s="10" t="s">
        <v>233</v>
      </c>
      <c r="C69" t="s">
        <v>112</v>
      </c>
      <c r="D69">
        <v>19.309999999999999</v>
      </c>
      <c r="F69" s="10" t="s">
        <v>233</v>
      </c>
      <c r="G69" t="s">
        <v>264</v>
      </c>
      <c r="H69">
        <v>24.945</v>
      </c>
      <c r="I69">
        <f t="shared" ref="I69" si="74">H69-E70</f>
        <v>5.3566666666666656</v>
      </c>
      <c r="J69">
        <f t="shared" si="20"/>
        <v>2.4405216044841992E-2</v>
      </c>
    </row>
    <row r="70" spans="2:34">
      <c r="B70" s="10" t="s">
        <v>233</v>
      </c>
      <c r="C70" t="s">
        <v>112</v>
      </c>
      <c r="D70">
        <v>20.03</v>
      </c>
      <c r="E70">
        <f t="shared" ref="E70" si="75">AVERAGE(D68:D70)</f>
        <v>19.588333333333335</v>
      </c>
      <c r="F70" s="10" t="s">
        <v>233</v>
      </c>
      <c r="G70" t="s">
        <v>264</v>
      </c>
      <c r="H70">
        <v>24.914000000000001</v>
      </c>
      <c r="I70">
        <f t="shared" ref="I70" si="76">H70-E70</f>
        <v>5.3256666666666668</v>
      </c>
      <c r="J70">
        <f t="shared" si="20"/>
        <v>2.4935299355996345E-2</v>
      </c>
      <c r="K70">
        <f t="shared" ref="K70" si="77">AVERAGE(J68:J70)</f>
        <v>2.5021948105754598E-2</v>
      </c>
      <c r="M70">
        <f t="shared" ref="M70" si="78">K70/0.000838435523008882</f>
        <v>29.843616377272134</v>
      </c>
    </row>
    <row r="71" spans="2:34">
      <c r="B71" t="s">
        <v>234</v>
      </c>
      <c r="C71" t="s">
        <v>112</v>
      </c>
      <c r="D71">
        <v>20.222999999999999</v>
      </c>
      <c r="F71" t="s">
        <v>234</v>
      </c>
      <c r="G71" t="s">
        <v>264</v>
      </c>
      <c r="H71">
        <v>24.838000000000001</v>
      </c>
      <c r="I71">
        <f>H71-E73</f>
        <v>4.7423333333333382</v>
      </c>
      <c r="J71">
        <f t="shared" si="20"/>
        <v>3.7360735489127751E-2</v>
      </c>
    </row>
    <row r="72" spans="2:34">
      <c r="B72" t="s">
        <v>234</v>
      </c>
      <c r="C72" t="s">
        <v>112</v>
      </c>
      <c r="D72">
        <v>19.803000000000001</v>
      </c>
      <c r="F72" t="s">
        <v>234</v>
      </c>
      <c r="G72" t="s">
        <v>264</v>
      </c>
      <c r="H72">
        <v>24.956</v>
      </c>
      <c r="I72">
        <f>H72-E73</f>
        <v>4.8603333333333367</v>
      </c>
      <c r="J72">
        <f t="shared" si="20"/>
        <v>3.4426579723274175E-2</v>
      </c>
    </row>
    <row r="73" spans="2:34">
      <c r="B73" t="s">
        <v>234</v>
      </c>
      <c r="C73" t="s">
        <v>112</v>
      </c>
      <c r="D73">
        <v>20.260999999999999</v>
      </c>
      <c r="E73">
        <f>AVERAGE(D71:D73)</f>
        <v>20.095666666666663</v>
      </c>
      <c r="F73" t="s">
        <v>234</v>
      </c>
      <c r="G73" t="s">
        <v>264</v>
      </c>
      <c r="H73">
        <v>24.957000000000001</v>
      </c>
      <c r="I73">
        <f>H73-E73</f>
        <v>4.8613333333333379</v>
      </c>
      <c r="J73">
        <f t="shared" si="20"/>
        <v>3.4402725304869146E-2</v>
      </c>
      <c r="K73">
        <f t="shared" ref="K73" si="79">AVERAGE(J71:J73)</f>
        <v>3.5396680172423693E-2</v>
      </c>
      <c r="M73">
        <f t="shared" ref="M73" si="80">K73/0.000838435523008882</f>
        <v>42.217533967783375</v>
      </c>
    </row>
    <row r="77" spans="2:34">
      <c r="B77" t="s">
        <v>239</v>
      </c>
      <c r="C77" t="s">
        <v>112</v>
      </c>
      <c r="D77">
        <v>21.175000000000001</v>
      </c>
      <c r="F77" t="s">
        <v>239</v>
      </c>
      <c r="G77" t="s">
        <v>264</v>
      </c>
      <c r="H77">
        <v>28.942</v>
      </c>
      <c r="I77">
        <f t="shared" ref="I77" si="81">H77-E79</f>
        <v>7.7423333333333311</v>
      </c>
      <c r="O77" s="90"/>
      <c r="P77" s="90" t="s">
        <v>266</v>
      </c>
      <c r="Q77" s="90"/>
      <c r="R77" s="90"/>
      <c r="S77" s="90"/>
      <c r="T77" s="90"/>
      <c r="U77" s="90"/>
      <c r="V77" s="90" t="s">
        <v>267</v>
      </c>
      <c r="W77" s="90"/>
      <c r="X77" s="90"/>
      <c r="Y77" s="90"/>
      <c r="Z77" s="90"/>
      <c r="AA77" s="90"/>
      <c r="AB77" s="90" t="s">
        <v>663</v>
      </c>
      <c r="AC77" s="90" t="s">
        <v>396</v>
      </c>
      <c r="AD77" s="90" t="s">
        <v>664</v>
      </c>
      <c r="AE77" s="90" t="s">
        <v>663</v>
      </c>
      <c r="AF77" s="90" t="s">
        <v>396</v>
      </c>
      <c r="AG77" s="90" t="s">
        <v>664</v>
      </c>
      <c r="AH77" s="101" t="s">
        <v>665</v>
      </c>
    </row>
    <row r="78" spans="2:34">
      <c r="B78" t="s">
        <v>239</v>
      </c>
      <c r="C78" t="s">
        <v>112</v>
      </c>
      <c r="D78">
        <v>21.236999999999998</v>
      </c>
      <c r="F78" t="s">
        <v>239</v>
      </c>
      <c r="G78" t="s">
        <v>264</v>
      </c>
      <c r="H78">
        <v>30.116</v>
      </c>
      <c r="I78">
        <f t="shared" ref="I78:I93" si="82">H78-E79</f>
        <v>8.9163333333333306</v>
      </c>
      <c r="J78">
        <f t="shared" ref="J78:J111" si="83">POWER(2,-I78)</f>
        <v>2.0697420128764502E-3</v>
      </c>
      <c r="O78" s="90" t="s">
        <v>268</v>
      </c>
      <c r="P78" s="90">
        <v>1.0754054095695573</v>
      </c>
      <c r="Q78" s="90">
        <v>0.28527751422336761</v>
      </c>
      <c r="R78" s="90">
        <v>0.99300051750558649</v>
      </c>
      <c r="S78" s="90">
        <v>0.80270086902517068</v>
      </c>
      <c r="T78" s="90">
        <v>1.301481114108761</v>
      </c>
      <c r="U78" s="90">
        <v>1.5421345755675389</v>
      </c>
      <c r="V78" s="90">
        <v>0.56332426187127194</v>
      </c>
      <c r="W78" s="90">
        <v>0.42039659330949009</v>
      </c>
      <c r="X78" s="90">
        <v>0.40399780201854985</v>
      </c>
      <c r="Y78" s="90">
        <v>0.52245633933202651</v>
      </c>
      <c r="Z78" s="90">
        <v>0.3114522089951457</v>
      </c>
      <c r="AA78" s="90">
        <v>0.31152073364699551</v>
      </c>
      <c r="AB78" s="90">
        <f>AVERAGE(P78:U78)</f>
        <v>0.999999999999997</v>
      </c>
      <c r="AC78" s="90">
        <f>STDEV(P78:U78)</f>
        <v>0.43365675539434384</v>
      </c>
      <c r="AD78" s="90">
        <f>AC78/SQRT(6)</f>
        <v>0.17703962903784651</v>
      </c>
      <c r="AE78" s="90">
        <f>AVERAGE(V78:AA78)</f>
        <v>0.42219132319557989</v>
      </c>
      <c r="AF78" s="90">
        <f>STDEV(V78:AA78)</f>
        <v>0.10470619457624233</v>
      </c>
      <c r="AG78" s="90">
        <f>AF78/SQRT(6)</f>
        <v>4.2746124936727539E-2</v>
      </c>
      <c r="AH78" s="94"/>
    </row>
    <row r="79" spans="2:34">
      <c r="B79" t="s">
        <v>239</v>
      </c>
      <c r="C79" t="s">
        <v>112</v>
      </c>
      <c r="D79">
        <v>21.187000000000001</v>
      </c>
      <c r="E79">
        <f t="shared" ref="E79:E94" si="84">AVERAGE(D77:D79)</f>
        <v>21.199666666666669</v>
      </c>
      <c r="F79" t="s">
        <v>239</v>
      </c>
      <c r="G79" t="s">
        <v>264</v>
      </c>
      <c r="H79">
        <v>31.652000000000001</v>
      </c>
      <c r="I79">
        <f t="shared" ref="I79:I94" si="85">H79-E79</f>
        <v>10.452333333333332</v>
      </c>
      <c r="J79">
        <f t="shared" si="83"/>
        <v>7.137303127063635E-4</v>
      </c>
      <c r="K79">
        <f>AVERAGE(J77:J79)</f>
        <v>1.3917361627914068E-3</v>
      </c>
      <c r="M79">
        <f>K79/0.00129415023432741</f>
        <v>1.0754054095695573</v>
      </c>
      <c r="O79" s="90" t="s">
        <v>238</v>
      </c>
      <c r="P79" s="90">
        <v>9.4542479445707137</v>
      </c>
      <c r="Q79" s="90">
        <v>20.6250586766269</v>
      </c>
      <c r="R79" s="90">
        <v>21.759799752913931</v>
      </c>
      <c r="S79" s="90">
        <v>3.4963831899767199</v>
      </c>
      <c r="T79" s="90">
        <v>3.9075242171827953</v>
      </c>
      <c r="U79" s="90">
        <v>10.438072155461338</v>
      </c>
      <c r="V79" s="90">
        <v>11.962812885185542</v>
      </c>
      <c r="W79" s="90">
        <v>11.180372953633523</v>
      </c>
      <c r="X79" s="90">
        <v>50.851111512857429</v>
      </c>
      <c r="Y79" s="90">
        <v>39.291932535697377</v>
      </c>
      <c r="Z79" s="90">
        <v>38.983394258687426</v>
      </c>
      <c r="AA79" s="90">
        <v>51.604331629326929</v>
      </c>
      <c r="AB79" s="90">
        <f>AVERAGE(P79:U79)</f>
        <v>11.613514322788733</v>
      </c>
      <c r="AC79" s="90">
        <f>STDEV(P79:U79)</f>
        <v>7.9431635585144553</v>
      </c>
      <c r="AD79" s="90">
        <f t="shared" ref="AD79" si="86">AC79/SQRT(6)</f>
        <v>3.2427829436383813</v>
      </c>
      <c r="AE79" s="90">
        <f>AVERAGE(V79:AA79)</f>
        <v>33.978992629231371</v>
      </c>
      <c r="AF79" s="90">
        <f>STDEV(V79:AA79)</f>
        <v>18.182857675540522</v>
      </c>
      <c r="AG79" s="90">
        <f t="shared" ref="AG79" si="87">AF79/SQRT(6)</f>
        <v>7.4231205617871483</v>
      </c>
      <c r="AH79" s="94">
        <v>4.4999999999999997E-3</v>
      </c>
    </row>
    <row r="80" spans="2:34">
      <c r="B80" t="s">
        <v>240</v>
      </c>
      <c r="C80" t="s">
        <v>112</v>
      </c>
      <c r="D80">
        <v>20.654</v>
      </c>
      <c r="F80" t="s">
        <v>240</v>
      </c>
      <c r="G80" t="s">
        <v>264</v>
      </c>
      <c r="H80">
        <v>31.908000000000001</v>
      </c>
      <c r="I80">
        <f t="shared" ref="I80:I92" si="88">H80-E82</f>
        <v>11.094999999999999</v>
      </c>
      <c r="J80">
        <f t="shared" si="83"/>
        <v>4.5716418331762386E-4</v>
      </c>
    </row>
    <row r="81" spans="2:13">
      <c r="B81" t="s">
        <v>240</v>
      </c>
      <c r="C81" t="s">
        <v>112</v>
      </c>
      <c r="D81">
        <v>20.664999999999999</v>
      </c>
      <c r="F81" t="s">
        <v>240</v>
      </c>
      <c r="G81" t="s">
        <v>264</v>
      </c>
      <c r="H81">
        <v>33.456000000000003</v>
      </c>
      <c r="I81">
        <f t="shared" si="82"/>
        <v>12.643000000000001</v>
      </c>
      <c r="J81">
        <f t="shared" si="83"/>
        <v>1.5634275650998168E-4</v>
      </c>
    </row>
    <row r="82" spans="2:13">
      <c r="B82" t="s">
        <v>240</v>
      </c>
      <c r="C82" t="s">
        <v>112</v>
      </c>
      <c r="D82">
        <v>21.12</v>
      </c>
      <c r="E82">
        <f t="shared" si="84"/>
        <v>20.813000000000002</v>
      </c>
      <c r="F82" t="s">
        <v>240</v>
      </c>
      <c r="G82" t="s">
        <v>264</v>
      </c>
      <c r="H82">
        <v>31.795999999999999</v>
      </c>
      <c r="I82">
        <f t="shared" si="85"/>
        <v>10.982999999999997</v>
      </c>
      <c r="J82">
        <f t="shared" si="83"/>
        <v>4.9406894581393115E-4</v>
      </c>
      <c r="K82">
        <f t="shared" ref="K82" si="89">AVERAGE(J80:J82)</f>
        <v>3.6919196188051219E-4</v>
      </c>
      <c r="M82">
        <f t="shared" ref="M82" si="90">K82/0.00129415023432741</f>
        <v>0.28527751422336761</v>
      </c>
    </row>
    <row r="83" spans="2:13">
      <c r="B83" t="s">
        <v>241</v>
      </c>
      <c r="C83" t="s">
        <v>112</v>
      </c>
      <c r="D83">
        <v>22.442</v>
      </c>
      <c r="F83" t="s">
        <v>241</v>
      </c>
      <c r="G83" t="s">
        <v>264</v>
      </c>
      <c r="H83">
        <v>32.305</v>
      </c>
      <c r="I83">
        <f t="shared" si="88"/>
        <v>9.8339999999999996</v>
      </c>
      <c r="J83">
        <f t="shared" si="83"/>
        <v>1.0956479302055521E-3</v>
      </c>
    </row>
    <row r="84" spans="2:13">
      <c r="B84" t="s">
        <v>241</v>
      </c>
      <c r="C84" t="s">
        <v>112</v>
      </c>
      <c r="D84">
        <v>22.491</v>
      </c>
      <c r="F84" t="s">
        <v>241</v>
      </c>
      <c r="G84" t="s">
        <v>264</v>
      </c>
      <c r="H84">
        <v>31.895</v>
      </c>
      <c r="I84">
        <f t="shared" si="82"/>
        <v>9.4239999999999995</v>
      </c>
      <c r="J84">
        <f t="shared" si="83"/>
        <v>1.4557718621083212E-3</v>
      </c>
    </row>
    <row r="85" spans="2:13">
      <c r="B85" t="s">
        <v>241</v>
      </c>
      <c r="C85" t="s">
        <v>112</v>
      </c>
      <c r="D85">
        <v>22.48</v>
      </c>
      <c r="E85">
        <f t="shared" si="84"/>
        <v>22.471</v>
      </c>
      <c r="F85" t="s">
        <v>241</v>
      </c>
      <c r="G85" t="s">
        <v>264</v>
      </c>
      <c r="H85">
        <v>32.054000000000002</v>
      </c>
      <c r="I85">
        <f t="shared" si="85"/>
        <v>9.583000000000002</v>
      </c>
      <c r="J85">
        <f t="shared" si="83"/>
        <v>1.3038557649374088E-3</v>
      </c>
      <c r="K85">
        <f t="shared" ref="K85" si="91">AVERAGE(J83:J85)</f>
        <v>1.2850918524170941E-3</v>
      </c>
      <c r="M85">
        <f t="shared" ref="M85" si="92">K85/0.00129415023432741</f>
        <v>0.99300051750558649</v>
      </c>
    </row>
    <row r="86" spans="2:13">
      <c r="B86" t="s">
        <v>242</v>
      </c>
      <c r="C86" t="s">
        <v>112</v>
      </c>
      <c r="D86">
        <v>20.978000000000002</v>
      </c>
      <c r="F86" t="s">
        <v>242</v>
      </c>
      <c r="G86" t="s">
        <v>264</v>
      </c>
      <c r="H86">
        <v>30.663</v>
      </c>
      <c r="I86">
        <f t="shared" si="88"/>
        <v>9.6646666666666654</v>
      </c>
      <c r="J86">
        <f t="shared" si="83"/>
        <v>1.2320985181320039E-3</v>
      </c>
    </row>
    <row r="87" spans="2:13">
      <c r="B87" t="s">
        <v>242</v>
      </c>
      <c r="C87" t="s">
        <v>112</v>
      </c>
      <c r="D87">
        <v>20.954000000000001</v>
      </c>
      <c r="F87" t="s">
        <v>242</v>
      </c>
      <c r="G87" t="s">
        <v>264</v>
      </c>
      <c r="H87">
        <v>30.92</v>
      </c>
      <c r="I87">
        <f t="shared" si="82"/>
        <v>9.9216666666666669</v>
      </c>
      <c r="J87">
        <f t="shared" si="83"/>
        <v>1.0310523735441784E-3</v>
      </c>
    </row>
    <row r="88" spans="2:13">
      <c r="B88" t="s">
        <v>242</v>
      </c>
      <c r="C88" t="s">
        <v>112</v>
      </c>
      <c r="D88">
        <v>21.062999999999999</v>
      </c>
      <c r="E88">
        <f t="shared" si="84"/>
        <v>20.998333333333335</v>
      </c>
      <c r="F88" t="s">
        <v>242</v>
      </c>
      <c r="G88" t="s">
        <v>264</v>
      </c>
      <c r="H88">
        <v>31.193000000000001</v>
      </c>
      <c r="I88">
        <f t="shared" si="85"/>
        <v>10.194666666666667</v>
      </c>
      <c r="J88">
        <f t="shared" si="83"/>
        <v>8.5329566155503841E-4</v>
      </c>
      <c r="K88">
        <f t="shared" ref="K88" si="93">AVERAGE(J86:J88)</f>
        <v>1.0388155177437402E-3</v>
      </c>
      <c r="M88">
        <f t="shared" ref="M88" si="94">K88/0.00129415023432741</f>
        <v>0.80270086902517068</v>
      </c>
    </row>
    <row r="89" spans="2:13">
      <c r="B89" t="s">
        <v>243</v>
      </c>
      <c r="C89" t="s">
        <v>112</v>
      </c>
      <c r="D89">
        <v>22.474</v>
      </c>
      <c r="F89" t="s">
        <v>243</v>
      </c>
      <c r="G89" t="s">
        <v>264</v>
      </c>
      <c r="H89">
        <v>31.616</v>
      </c>
      <c r="I89">
        <f t="shared" si="88"/>
        <v>9.4319999999999986</v>
      </c>
      <c r="J89">
        <f t="shared" si="83"/>
        <v>1.4477216892605832E-3</v>
      </c>
    </row>
    <row r="90" spans="2:13">
      <c r="B90" t="s">
        <v>243</v>
      </c>
      <c r="C90" t="s">
        <v>112</v>
      </c>
      <c r="D90">
        <v>21.603999999999999</v>
      </c>
      <c r="F90" t="s">
        <v>243</v>
      </c>
      <c r="G90" t="s">
        <v>264</v>
      </c>
      <c r="H90">
        <v>29.933</v>
      </c>
      <c r="I90">
        <f t="shared" si="82"/>
        <v>7.7489999999999988</v>
      </c>
    </row>
    <row r="91" spans="2:13">
      <c r="B91" t="s">
        <v>243</v>
      </c>
      <c r="C91" t="s">
        <v>112</v>
      </c>
      <c r="D91">
        <v>22.474</v>
      </c>
      <c r="E91">
        <f t="shared" si="84"/>
        <v>22.184000000000001</v>
      </c>
      <c r="F91" t="s">
        <v>243</v>
      </c>
      <c r="G91" t="s">
        <v>264</v>
      </c>
      <c r="H91">
        <v>31.207999999999998</v>
      </c>
      <c r="I91">
        <f t="shared" si="85"/>
        <v>9.0239999999999974</v>
      </c>
      <c r="J91">
        <f t="shared" si="83"/>
        <v>1.92090248833252E-3</v>
      </c>
      <c r="K91">
        <f t="shared" ref="K91" si="95">AVERAGE(J89:J91)</f>
        <v>1.6843120887965516E-3</v>
      </c>
      <c r="M91">
        <f t="shared" ref="M91" si="96">K91/0.00129415023432741</f>
        <v>1.301481114108761</v>
      </c>
    </row>
    <row r="92" spans="2:13">
      <c r="B92" t="s">
        <v>244</v>
      </c>
      <c r="C92" t="s">
        <v>112</v>
      </c>
      <c r="D92">
        <v>22.699000000000002</v>
      </c>
      <c r="F92" t="s">
        <v>244</v>
      </c>
      <c r="G92" t="s">
        <v>264</v>
      </c>
      <c r="H92">
        <v>31.759</v>
      </c>
      <c r="I92">
        <f t="shared" si="88"/>
        <v>9.0829999999999984</v>
      </c>
      <c r="J92">
        <f t="shared" si="83"/>
        <v>1.8439305061528346E-3</v>
      </c>
    </row>
    <row r="93" spans="2:13">
      <c r="B93" t="s">
        <v>244</v>
      </c>
      <c r="C93" t="s">
        <v>112</v>
      </c>
      <c r="D93">
        <v>22.641999999999999</v>
      </c>
      <c r="F93" t="s">
        <v>244</v>
      </c>
      <c r="G93" t="s">
        <v>264</v>
      </c>
      <c r="H93">
        <v>31.167999999999999</v>
      </c>
      <c r="I93">
        <f t="shared" si="82"/>
        <v>8.4919999999999973</v>
      </c>
      <c r="J93">
        <f t="shared" si="83"/>
        <v>2.7774949425532778E-3</v>
      </c>
      <c r="L93">
        <v>1.2941502343274099E-3</v>
      </c>
    </row>
    <row r="94" spans="2:13">
      <c r="B94" t="s">
        <v>244</v>
      </c>
      <c r="C94" t="s">
        <v>112</v>
      </c>
      <c r="D94">
        <v>22.687000000000001</v>
      </c>
      <c r="E94">
        <f t="shared" si="84"/>
        <v>22.676000000000002</v>
      </c>
      <c r="F94" t="s">
        <v>244</v>
      </c>
      <c r="G94" t="s">
        <v>264</v>
      </c>
      <c r="H94">
        <v>32.192</v>
      </c>
      <c r="I94">
        <f t="shared" si="85"/>
        <v>9.5159999999999982</v>
      </c>
      <c r="J94">
        <f t="shared" si="83"/>
        <v>1.3658360182992808E-3</v>
      </c>
      <c r="K94">
        <f t="shared" ref="K94" si="97">AVERAGE(J92:J94)</f>
        <v>1.9957538223351313E-3</v>
      </c>
      <c r="L94">
        <f>AVERAGE(K79,K82,K85,K88,K91,K94)</f>
        <v>1.2941502343274062E-3</v>
      </c>
      <c r="M94">
        <f t="shared" ref="M94" si="98">K94/0.00129415023432741</f>
        <v>1.5421345755675389</v>
      </c>
    </row>
    <row r="95" spans="2:13">
      <c r="B95" t="s">
        <v>245</v>
      </c>
      <c r="C95" t="s">
        <v>112</v>
      </c>
      <c r="D95">
        <v>21.074999999999999</v>
      </c>
      <c r="F95" t="s">
        <v>245</v>
      </c>
      <c r="G95" t="s">
        <v>264</v>
      </c>
      <c r="H95">
        <v>27.297999999999998</v>
      </c>
      <c r="I95">
        <f>H95-E97</f>
        <v>6.3419999999999987</v>
      </c>
      <c r="J95">
        <f t="shared" si="83"/>
        <v>1.2327294388319787E-2</v>
      </c>
    </row>
    <row r="96" spans="2:13">
      <c r="B96" t="s">
        <v>245</v>
      </c>
      <c r="C96" t="s">
        <v>112</v>
      </c>
      <c r="D96">
        <v>21.146000000000001</v>
      </c>
      <c r="F96" t="s">
        <v>245</v>
      </c>
      <c r="G96" t="s">
        <v>264</v>
      </c>
      <c r="H96">
        <v>27.396999999999998</v>
      </c>
      <c r="I96">
        <f>H96-E97</f>
        <v>6.4409999999999989</v>
      </c>
      <c r="J96">
        <f t="shared" si="83"/>
        <v>1.1509747545441261E-2</v>
      </c>
    </row>
    <row r="97" spans="2:13">
      <c r="B97" t="s">
        <v>245</v>
      </c>
      <c r="C97" t="s">
        <v>112</v>
      </c>
      <c r="D97">
        <v>20.646999999999998</v>
      </c>
      <c r="E97">
        <f>AVERAGE(D95:D97)</f>
        <v>20.956</v>
      </c>
      <c r="F97" t="s">
        <v>245</v>
      </c>
      <c r="G97" t="s">
        <v>264</v>
      </c>
      <c r="H97">
        <v>27.236000000000001</v>
      </c>
      <c r="I97">
        <f>H97-E97</f>
        <v>6.2800000000000011</v>
      </c>
      <c r="J97">
        <f t="shared" si="83"/>
        <v>1.2868609644805819E-2</v>
      </c>
      <c r="K97">
        <f t="shared" ref="K97" si="99">AVERAGE(J95:J97)</f>
        <v>1.2235217192855622E-2</v>
      </c>
      <c r="M97">
        <f t="shared" ref="M97" si="100">K97/0.00129415023432741</f>
        <v>9.4542479445707137</v>
      </c>
    </row>
    <row r="98" spans="2:13">
      <c r="B98" t="s">
        <v>246</v>
      </c>
      <c r="C98" t="s">
        <v>112</v>
      </c>
      <c r="D98">
        <v>21.888000000000002</v>
      </c>
      <c r="F98" t="s">
        <v>246</v>
      </c>
      <c r="G98" t="s">
        <v>264</v>
      </c>
      <c r="H98">
        <v>26.867000000000001</v>
      </c>
      <c r="I98">
        <f>H98-E100</f>
        <v>5.1280000000000001</v>
      </c>
      <c r="J98">
        <f t="shared" si="83"/>
        <v>2.8596849003997768E-2</v>
      </c>
    </row>
    <row r="99" spans="2:13">
      <c r="B99" t="s">
        <v>246</v>
      </c>
      <c r="C99" t="s">
        <v>112</v>
      </c>
      <c r="D99">
        <v>21.632999999999999</v>
      </c>
      <c r="F99" t="s">
        <v>246</v>
      </c>
      <c r="G99" t="s">
        <v>264</v>
      </c>
      <c r="H99">
        <v>27.077000000000002</v>
      </c>
      <c r="I99">
        <f>H99-E100</f>
        <v>5.338000000000001</v>
      </c>
      <c r="J99">
        <f t="shared" si="83"/>
        <v>2.4723040662045295E-2</v>
      </c>
    </row>
    <row r="100" spans="2:13">
      <c r="B100" t="s">
        <v>246</v>
      </c>
      <c r="C100" t="s">
        <v>112</v>
      </c>
      <c r="D100">
        <v>21.696000000000002</v>
      </c>
      <c r="E100">
        <f>AVERAGE(D98:D100)</f>
        <v>21.739000000000001</v>
      </c>
      <c r="F100" t="s">
        <v>246</v>
      </c>
      <c r="G100" t="s">
        <v>264</v>
      </c>
      <c r="H100">
        <v>26.963000000000001</v>
      </c>
      <c r="I100">
        <f>H100-E100</f>
        <v>5.2240000000000002</v>
      </c>
      <c r="J100">
        <f t="shared" si="83"/>
        <v>2.6755883892076778E-2</v>
      </c>
      <c r="K100">
        <f t="shared" ref="K100" si="101">AVERAGE(J98:J100)</f>
        <v>2.6691924519373283E-2</v>
      </c>
      <c r="M100">
        <f t="shared" ref="M100" si="102">K100/0.00129415023432741</f>
        <v>20.6250586766269</v>
      </c>
    </row>
    <row r="101" spans="2:13">
      <c r="B101" t="s">
        <v>247</v>
      </c>
      <c r="C101" t="s">
        <v>112</v>
      </c>
      <c r="D101" s="10">
        <v>20.872</v>
      </c>
      <c r="E101" s="10"/>
      <c r="F101" t="s">
        <v>247</v>
      </c>
      <c r="G101" t="s">
        <v>264</v>
      </c>
      <c r="H101" s="10">
        <v>27.291</v>
      </c>
      <c r="I101" s="10">
        <f t="shared" ref="I101" si="103">H101-E103</f>
        <v>5.0863333333333323</v>
      </c>
      <c r="J101" s="10">
        <f t="shared" si="83"/>
        <v>2.9434800640771138E-2</v>
      </c>
      <c r="K101" s="10"/>
    </row>
    <row r="102" spans="2:13">
      <c r="B102" t="s">
        <v>247</v>
      </c>
      <c r="C102" t="s">
        <v>112</v>
      </c>
      <c r="D102" s="10">
        <v>23.725999999999999</v>
      </c>
      <c r="E102" s="10"/>
      <c r="F102" t="s">
        <v>247</v>
      </c>
      <c r="G102" t="s">
        <v>264</v>
      </c>
      <c r="H102" s="10">
        <v>27.247</v>
      </c>
      <c r="I102" s="10">
        <f t="shared" ref="I102" si="104">H102-E103</f>
        <v>5.0423333333333318</v>
      </c>
      <c r="J102" s="10">
        <f t="shared" si="83"/>
        <v>3.0346346930675606E-2</v>
      </c>
      <c r="K102" s="10"/>
    </row>
    <row r="103" spans="2:13">
      <c r="B103" t="s">
        <v>247</v>
      </c>
      <c r="C103" t="s">
        <v>112</v>
      </c>
      <c r="D103" s="10">
        <v>22.015999999999998</v>
      </c>
      <c r="E103" s="10">
        <f t="shared" ref="E103" si="105">AVERAGE(D101:D103)</f>
        <v>22.204666666666668</v>
      </c>
      <c r="F103" t="s">
        <v>247</v>
      </c>
      <c r="G103" t="s">
        <v>264</v>
      </c>
      <c r="H103" s="10">
        <v>27.544</v>
      </c>
      <c r="I103" s="10">
        <f t="shared" ref="I103" si="106">H103-E103</f>
        <v>5.3393333333333324</v>
      </c>
      <c r="J103" s="10">
        <f t="shared" si="83"/>
        <v>2.4700202276006496E-2</v>
      </c>
      <c r="K103" s="10">
        <f t="shared" ref="K103" si="107">AVERAGE(J101:J103)</f>
        <v>2.8160449949151081E-2</v>
      </c>
      <c r="M103">
        <f t="shared" ref="M103" si="108">K103/0.00129415023432741</f>
        <v>21.759799752913931</v>
      </c>
    </row>
    <row r="104" spans="2:13">
      <c r="B104" t="s">
        <v>248</v>
      </c>
      <c r="C104" t="s">
        <v>112</v>
      </c>
      <c r="D104">
        <v>19.827999999999999</v>
      </c>
      <c r="F104" t="s">
        <v>248</v>
      </c>
      <c r="G104" t="s">
        <v>264</v>
      </c>
      <c r="H104">
        <v>27.239000000000001</v>
      </c>
      <c r="I104">
        <f>H104-E106</f>
        <v>7.7233333333333363</v>
      </c>
      <c r="J104">
        <f t="shared" si="83"/>
        <v>4.7320028786721462E-3</v>
      </c>
    </row>
    <row r="105" spans="2:13">
      <c r="B105" t="s">
        <v>248</v>
      </c>
      <c r="C105" t="s">
        <v>112</v>
      </c>
      <c r="D105">
        <v>18.899999999999999</v>
      </c>
      <c r="F105" t="s">
        <v>248</v>
      </c>
      <c r="G105" t="s">
        <v>264</v>
      </c>
      <c r="H105">
        <v>27.332000000000001</v>
      </c>
      <c r="I105">
        <f>H105-E106</f>
        <v>7.8163333333333362</v>
      </c>
      <c r="J105">
        <f t="shared" si="83"/>
        <v>4.436589127394845E-3</v>
      </c>
    </row>
    <row r="106" spans="2:13">
      <c r="B106" t="s">
        <v>248</v>
      </c>
      <c r="C106" t="s">
        <v>112</v>
      </c>
      <c r="D106">
        <v>19.818999999999999</v>
      </c>
      <c r="E106">
        <f>AVERAGE(D104:D106)</f>
        <v>19.515666666666664</v>
      </c>
      <c r="F106" t="s">
        <v>248</v>
      </c>
      <c r="G106" t="s">
        <v>264</v>
      </c>
      <c r="H106">
        <v>27.341999999999999</v>
      </c>
      <c r="I106">
        <f>H106-E106</f>
        <v>7.8263333333333343</v>
      </c>
      <c r="J106">
        <f t="shared" si="83"/>
        <v>4.4059433677533753E-3</v>
      </c>
      <c r="K106">
        <f t="shared" ref="K106" si="109">AVERAGE(J104:J106)</f>
        <v>4.5248451246067889E-3</v>
      </c>
      <c r="M106">
        <f t="shared" ref="M106" si="110">K106/0.00129415023432741</f>
        <v>3.4963831899767199</v>
      </c>
    </row>
    <row r="107" spans="2:13">
      <c r="B107" t="s">
        <v>249</v>
      </c>
      <c r="C107" t="s">
        <v>112</v>
      </c>
      <c r="D107">
        <v>21.027000000000001</v>
      </c>
      <c r="F107" t="s">
        <v>249</v>
      </c>
      <c r="G107" t="s">
        <v>264</v>
      </c>
      <c r="H107" s="10">
        <v>28.497</v>
      </c>
      <c r="I107">
        <f>H107-E109</f>
        <v>7.5193333333333356</v>
      </c>
      <c r="J107">
        <f t="shared" si="83"/>
        <v>5.4507356395040339E-3</v>
      </c>
    </row>
    <row r="108" spans="2:13">
      <c r="B108" t="s">
        <v>249</v>
      </c>
      <c r="C108" t="s">
        <v>112</v>
      </c>
      <c r="D108">
        <v>20.870999999999999</v>
      </c>
      <c r="F108" t="s">
        <v>249</v>
      </c>
      <c r="G108" t="s">
        <v>264</v>
      </c>
      <c r="H108" s="10">
        <v>28.667999999999999</v>
      </c>
      <c r="I108">
        <f>H108-E109</f>
        <v>7.690333333333335</v>
      </c>
      <c r="J108">
        <f t="shared" si="83"/>
        <v>4.8414894520606719E-3</v>
      </c>
    </row>
    <row r="109" spans="2:13">
      <c r="B109" t="s">
        <v>249</v>
      </c>
      <c r="C109" t="s">
        <v>112</v>
      </c>
      <c r="D109">
        <v>21.035</v>
      </c>
      <c r="E109">
        <f>AVERAGE(D107:D109)</f>
        <v>20.977666666666664</v>
      </c>
      <c r="F109" t="s">
        <v>249</v>
      </c>
      <c r="G109" t="s">
        <v>264</v>
      </c>
      <c r="H109" s="10">
        <v>28.657</v>
      </c>
      <c r="I109">
        <f>H109-E109</f>
        <v>7.6793333333333358</v>
      </c>
      <c r="J109">
        <f t="shared" si="83"/>
        <v>4.8785450523567255E-3</v>
      </c>
      <c r="K109">
        <f t="shared" ref="K109" si="111">AVERAGE(J107:J109)</f>
        <v>5.0569233813071435E-3</v>
      </c>
      <c r="M109">
        <f t="shared" ref="M109" si="112">K109/0.00129415023432741</f>
        <v>3.9075242171827953</v>
      </c>
    </row>
    <row r="110" spans="2:13">
      <c r="B110" t="s">
        <v>250</v>
      </c>
      <c r="C110" t="s">
        <v>112</v>
      </c>
      <c r="D110">
        <v>21.963999999999999</v>
      </c>
      <c r="F110" t="s">
        <v>265</v>
      </c>
      <c r="G110" t="s">
        <v>264</v>
      </c>
      <c r="H110">
        <v>28.335999999999999</v>
      </c>
      <c r="I110">
        <f>H110-E112</f>
        <v>6.2546666666666653</v>
      </c>
      <c r="J110">
        <f t="shared" si="83"/>
        <v>1.3096574580890613E-2</v>
      </c>
    </row>
    <row r="111" spans="2:13">
      <c r="B111" t="s">
        <v>250</v>
      </c>
      <c r="C111" t="s">
        <v>112</v>
      </c>
      <c r="D111">
        <v>22.25</v>
      </c>
      <c r="F111" t="s">
        <v>265</v>
      </c>
      <c r="G111" t="s">
        <v>264</v>
      </c>
      <c r="H111">
        <v>28.248000000000001</v>
      </c>
      <c r="I111">
        <f>H111-E112</f>
        <v>6.1666666666666679</v>
      </c>
      <c r="J111">
        <f t="shared" si="83"/>
        <v>1.3920292470942791E-2</v>
      </c>
    </row>
    <row r="112" spans="2:13">
      <c r="B112" t="s">
        <v>250</v>
      </c>
      <c r="C112" t="s">
        <v>112</v>
      </c>
      <c r="D112">
        <v>22.03</v>
      </c>
      <c r="E112">
        <f>AVERAGE(D110:D112)</f>
        <v>22.081333333333333</v>
      </c>
      <c r="F112" t="s">
        <v>265</v>
      </c>
      <c r="G112" t="s">
        <v>264</v>
      </c>
      <c r="H112">
        <v>24.603999999999999</v>
      </c>
      <c r="I112">
        <f>H112-E112</f>
        <v>2.5226666666666659</v>
      </c>
      <c r="K112">
        <f t="shared" ref="K112" si="113">AVERAGE(J110:J112)</f>
        <v>1.3508433525916703E-2</v>
      </c>
      <c r="M112">
        <f t="shared" ref="M112" si="114">K112/0.00129415023432741</f>
        <v>10.438072155461338</v>
      </c>
    </row>
    <row r="113" spans="2:13">
      <c r="B113" t="s">
        <v>251</v>
      </c>
      <c r="C113" t="s">
        <v>112</v>
      </c>
      <c r="D113">
        <v>19.716000000000001</v>
      </c>
      <c r="F113" t="s">
        <v>251</v>
      </c>
      <c r="G113" t="s">
        <v>264</v>
      </c>
      <c r="H113">
        <v>30.257000000000001</v>
      </c>
      <c r="I113">
        <f>H113-E115</f>
        <v>10.365000000000002</v>
      </c>
      <c r="J113">
        <f t="shared" ref="J113:J148" si="115">POWER(2,-I113)</f>
        <v>7.5827038574320183E-4</v>
      </c>
    </row>
    <row r="114" spans="2:13">
      <c r="B114" t="s">
        <v>251</v>
      </c>
      <c r="C114" t="s">
        <v>112</v>
      </c>
      <c r="D114">
        <v>20.149000000000001</v>
      </c>
      <c r="F114" t="s">
        <v>251</v>
      </c>
      <c r="G114" t="s">
        <v>264</v>
      </c>
      <c r="H114">
        <v>30.352</v>
      </c>
      <c r="I114">
        <f t="shared" ref="I114:I117" si="116">H114-E115</f>
        <v>10.46</v>
      </c>
      <c r="J114">
        <f t="shared" si="115"/>
        <v>7.0994751822280738E-4</v>
      </c>
    </row>
    <row r="115" spans="2:13">
      <c r="B115" t="s">
        <v>251</v>
      </c>
      <c r="C115" t="s">
        <v>112</v>
      </c>
      <c r="D115">
        <v>19.811</v>
      </c>
      <c r="E115">
        <f t="shared" ref="E115:E136" si="117">AVERAGE(D113:D115)</f>
        <v>19.891999999999999</v>
      </c>
      <c r="F115" t="s">
        <v>251</v>
      </c>
      <c r="G115" t="s">
        <v>264</v>
      </c>
      <c r="H115">
        <v>30.334</v>
      </c>
      <c r="I115">
        <f t="shared" ref="I115:I118" si="118">H115-E115</f>
        <v>10.442</v>
      </c>
      <c r="J115">
        <f t="shared" si="115"/>
        <v>7.1886077254305588E-4</v>
      </c>
      <c r="K115">
        <f t="shared" ref="K115" si="119">AVERAGE(J113:J115)</f>
        <v>7.2902622550302177E-4</v>
      </c>
      <c r="M115">
        <f t="shared" ref="M115" si="120">K115/0.00129415023432741</f>
        <v>0.56332426187127194</v>
      </c>
    </row>
    <row r="116" spans="2:13">
      <c r="B116" t="s">
        <v>252</v>
      </c>
      <c r="C116" t="s">
        <v>112</v>
      </c>
      <c r="D116">
        <v>19.643000000000001</v>
      </c>
      <c r="F116" t="s">
        <v>252</v>
      </c>
      <c r="G116" t="s">
        <v>264</v>
      </c>
      <c r="H116">
        <v>30.286000000000001</v>
      </c>
      <c r="I116">
        <f>H116-E118</f>
        <v>10.642666666666667</v>
      </c>
      <c r="J116">
        <f t="shared" si="115"/>
        <v>6.2551553412134708E-4</v>
      </c>
    </row>
    <row r="117" spans="2:13">
      <c r="B117" t="s">
        <v>252</v>
      </c>
      <c r="C117" t="s">
        <v>112</v>
      </c>
      <c r="D117">
        <v>19.530999999999999</v>
      </c>
      <c r="F117" t="s">
        <v>252</v>
      </c>
      <c r="G117" t="s">
        <v>264</v>
      </c>
      <c r="H117">
        <v>30.792999999999999</v>
      </c>
      <c r="I117">
        <f t="shared" si="116"/>
        <v>11.149666666666665</v>
      </c>
      <c r="J117">
        <f t="shared" si="115"/>
        <v>4.4016539049857988E-4</v>
      </c>
    </row>
    <row r="118" spans="2:13">
      <c r="B118" t="s">
        <v>252</v>
      </c>
      <c r="C118" t="s">
        <v>112</v>
      </c>
      <c r="D118">
        <v>19.756</v>
      </c>
      <c r="E118">
        <f t="shared" si="117"/>
        <v>19.643333333333334</v>
      </c>
      <c r="F118" t="s">
        <v>252</v>
      </c>
      <c r="G118" t="s">
        <v>264</v>
      </c>
      <c r="H118">
        <v>30.428999999999998</v>
      </c>
      <c r="I118">
        <f t="shared" si="118"/>
        <v>10.785666666666664</v>
      </c>
      <c r="J118">
        <f t="shared" si="115"/>
        <v>5.6648812460583734E-4</v>
      </c>
      <c r="K118">
        <f t="shared" ref="K118" si="121">AVERAGE(J116:J118)</f>
        <v>5.4405634974192141E-4</v>
      </c>
      <c r="M118">
        <f t="shared" ref="M118" si="122">K118/0.00129415023432741</f>
        <v>0.42039659330949009</v>
      </c>
    </row>
    <row r="119" spans="2:13">
      <c r="B119" t="s">
        <v>253</v>
      </c>
      <c r="C119" t="s">
        <v>112</v>
      </c>
      <c r="D119">
        <v>19.68</v>
      </c>
      <c r="F119" t="s">
        <v>253</v>
      </c>
      <c r="G119" t="s">
        <v>264</v>
      </c>
      <c r="H119">
        <v>29.596</v>
      </c>
      <c r="I119">
        <f>H119-E121</f>
        <v>9.9266666666666694</v>
      </c>
      <c r="J119">
        <f t="shared" si="115"/>
        <v>1.0274852033210103E-3</v>
      </c>
    </row>
    <row r="120" spans="2:13">
      <c r="B120" t="s">
        <v>253</v>
      </c>
      <c r="C120" t="s">
        <v>112</v>
      </c>
      <c r="D120">
        <v>19.742000000000001</v>
      </c>
      <c r="F120" t="s">
        <v>253</v>
      </c>
      <c r="G120" t="s">
        <v>264</v>
      </c>
      <c r="H120">
        <v>31.295000000000002</v>
      </c>
      <c r="I120">
        <f t="shared" ref="I120:I147" si="123">H120-E121</f>
        <v>11.625666666666671</v>
      </c>
      <c r="J120">
        <f t="shared" si="115"/>
        <v>3.1646494774637582E-4</v>
      </c>
    </row>
    <row r="121" spans="2:13">
      <c r="B121" t="s">
        <v>253</v>
      </c>
      <c r="C121" t="s">
        <v>112</v>
      </c>
      <c r="D121">
        <v>19.585999999999999</v>
      </c>
      <c r="E121">
        <f t="shared" si="117"/>
        <v>19.669333333333331</v>
      </c>
      <c r="F121" t="s">
        <v>253</v>
      </c>
      <c r="G121" t="s">
        <v>264</v>
      </c>
      <c r="H121">
        <v>31.79</v>
      </c>
      <c r="I121">
        <f t="shared" ref="I121:I145" si="124">H121-E121</f>
        <v>12.120666666666668</v>
      </c>
      <c r="J121">
        <f t="shared" si="115"/>
        <v>2.2455139938280845E-4</v>
      </c>
      <c r="K121">
        <f t="shared" ref="K121" si="125">AVERAGE(J119:J121)</f>
        <v>5.2283385015006482E-4</v>
      </c>
      <c r="M121">
        <f t="shared" ref="M121" si="126">K121/0.00129415023432741</f>
        <v>0.40399780201854985</v>
      </c>
    </row>
    <row r="122" spans="2:13">
      <c r="B122" t="s">
        <v>254</v>
      </c>
      <c r="C122" t="s">
        <v>112</v>
      </c>
      <c r="D122">
        <v>20.492000000000001</v>
      </c>
      <c r="F122" t="s">
        <v>254</v>
      </c>
      <c r="G122" t="s">
        <v>264</v>
      </c>
      <c r="H122">
        <v>30.805</v>
      </c>
      <c r="I122">
        <f>H122-E124</f>
        <v>10.500999999999998</v>
      </c>
      <c r="J122">
        <f t="shared" si="115"/>
        <v>6.9005549017711501E-4</v>
      </c>
    </row>
    <row r="123" spans="2:13">
      <c r="B123" t="s">
        <v>254</v>
      </c>
      <c r="C123" t="s">
        <v>112</v>
      </c>
      <c r="D123">
        <v>19.896000000000001</v>
      </c>
      <c r="F123" t="s">
        <v>254</v>
      </c>
      <c r="G123" t="s">
        <v>264</v>
      </c>
      <c r="H123">
        <v>30.602</v>
      </c>
      <c r="I123">
        <f t="shared" si="123"/>
        <v>10.297999999999998</v>
      </c>
      <c r="J123">
        <f t="shared" si="115"/>
        <v>7.9431562317590538E-4</v>
      </c>
    </row>
    <row r="124" spans="2:13">
      <c r="B124" t="s">
        <v>254</v>
      </c>
      <c r="C124" t="s">
        <v>112</v>
      </c>
      <c r="D124">
        <v>20.524000000000001</v>
      </c>
      <c r="E124">
        <f t="shared" si="117"/>
        <v>20.304000000000002</v>
      </c>
      <c r="F124" t="s">
        <v>254</v>
      </c>
      <c r="G124" t="s">
        <v>264</v>
      </c>
      <c r="H124">
        <v>31.148</v>
      </c>
      <c r="I124">
        <f t="shared" si="124"/>
        <v>10.843999999999998</v>
      </c>
      <c r="J124">
        <f t="shared" si="115"/>
        <v>5.4403986856412824E-4</v>
      </c>
      <c r="K124">
        <f t="shared" ref="K124" si="127">AVERAGE(J122:J124)</f>
        <v>6.7613699397238295E-4</v>
      </c>
      <c r="M124">
        <f t="shared" ref="M124" si="128">K124/0.00129415023432741</f>
        <v>0.52245633933202651</v>
      </c>
    </row>
    <row r="125" spans="2:13">
      <c r="B125" t="s">
        <v>255</v>
      </c>
      <c r="C125" t="s">
        <v>112</v>
      </c>
      <c r="D125">
        <v>20.465</v>
      </c>
      <c r="F125" t="s">
        <v>255</v>
      </c>
      <c r="G125" t="s">
        <v>264</v>
      </c>
      <c r="H125">
        <v>31.541</v>
      </c>
      <c r="I125">
        <f>H125-E127</f>
        <v>11.149333333333335</v>
      </c>
      <c r="J125">
        <f t="shared" si="115"/>
        <v>4.4026710204810656E-4</v>
      </c>
    </row>
    <row r="126" spans="2:13">
      <c r="B126" t="s">
        <v>255</v>
      </c>
      <c r="C126" t="s">
        <v>112</v>
      </c>
      <c r="D126">
        <v>20.114999999999998</v>
      </c>
      <c r="F126" t="s">
        <v>255</v>
      </c>
      <c r="G126" t="s">
        <v>264</v>
      </c>
      <c r="H126">
        <v>31.529</v>
      </c>
      <c r="I126">
        <f t="shared" si="123"/>
        <v>11.137333333333334</v>
      </c>
      <c r="J126">
        <f t="shared" si="115"/>
        <v>4.4394441315953771E-4</v>
      </c>
    </row>
    <row r="127" spans="2:13">
      <c r="B127" t="s">
        <v>255</v>
      </c>
      <c r="C127" t="s">
        <v>112</v>
      </c>
      <c r="D127">
        <v>20.594999999999999</v>
      </c>
      <c r="E127">
        <f t="shared" si="117"/>
        <v>20.391666666666666</v>
      </c>
      <c r="F127" t="s">
        <v>255</v>
      </c>
      <c r="G127" t="s">
        <v>264</v>
      </c>
      <c r="H127">
        <v>31.978999999999999</v>
      </c>
      <c r="I127">
        <f t="shared" si="124"/>
        <v>11.587333333333333</v>
      </c>
      <c r="J127">
        <f t="shared" si="115"/>
        <v>3.2498633255092721E-4</v>
      </c>
      <c r="K127">
        <f t="shared" ref="K127" si="129">AVERAGE(J125:J127)</f>
        <v>4.0306594925285723E-4</v>
      </c>
      <c r="M127">
        <f t="shared" ref="M127" si="130">K127/0.00129415023432741</f>
        <v>0.3114522089951457</v>
      </c>
    </row>
    <row r="128" spans="2:13">
      <c r="B128" t="s">
        <v>256</v>
      </c>
      <c r="C128" t="s">
        <v>112</v>
      </c>
      <c r="D128">
        <v>20.128</v>
      </c>
      <c r="F128" t="s">
        <v>256</v>
      </c>
      <c r="G128" t="s">
        <v>264</v>
      </c>
      <c r="H128">
        <v>31.41</v>
      </c>
      <c r="I128">
        <f>H128-E130</f>
        <v>11.142333333333333</v>
      </c>
      <c r="J128">
        <f t="shared" si="115"/>
        <v>4.4240848217096948E-4</v>
      </c>
    </row>
    <row r="129" spans="2:13">
      <c r="B129" t="s">
        <v>256</v>
      </c>
      <c r="C129" t="s">
        <v>112</v>
      </c>
      <c r="D129">
        <v>20.388999999999999</v>
      </c>
      <c r="F129" t="s">
        <v>256</v>
      </c>
      <c r="G129" t="s">
        <v>264</v>
      </c>
      <c r="H129">
        <v>31.747</v>
      </c>
      <c r="I129">
        <f t="shared" si="123"/>
        <v>11.479333333333333</v>
      </c>
      <c r="J129">
        <f t="shared" si="115"/>
        <v>3.5024854227631928E-4</v>
      </c>
    </row>
    <row r="130" spans="2:13">
      <c r="B130" t="s">
        <v>256</v>
      </c>
      <c r="C130" t="s">
        <v>112</v>
      </c>
      <c r="D130">
        <v>20.286000000000001</v>
      </c>
      <c r="E130">
        <f t="shared" si="117"/>
        <v>20.267666666666667</v>
      </c>
      <c r="F130" t="s">
        <v>256</v>
      </c>
      <c r="G130" t="s">
        <v>264</v>
      </c>
      <c r="H130">
        <v>31.495999999999999</v>
      </c>
      <c r="I130">
        <f t="shared" si="124"/>
        <v>11.228333333333332</v>
      </c>
      <c r="J130">
        <f t="shared" si="115"/>
        <v>4.1680686689402893E-4</v>
      </c>
      <c r="K130">
        <f t="shared" ref="K130" si="131">AVERAGE(J128:J130)</f>
        <v>4.0315463044710589E-4</v>
      </c>
      <c r="M130">
        <f t="shared" ref="M130" si="132">K130/0.00129415023432741</f>
        <v>0.31152073364699551</v>
      </c>
    </row>
    <row r="131" spans="2:13">
      <c r="B131" t="s">
        <v>257</v>
      </c>
      <c r="C131" t="s">
        <v>112</v>
      </c>
      <c r="D131">
        <v>20.814</v>
      </c>
      <c r="F131" t="s">
        <v>257</v>
      </c>
      <c r="G131" t="s">
        <v>264</v>
      </c>
      <c r="H131">
        <v>26.629000000000001</v>
      </c>
      <c r="I131">
        <f>H131-E133</f>
        <v>6.0720000000000027</v>
      </c>
      <c r="J131">
        <f t="shared" si="115"/>
        <v>1.4864348067684332E-2</v>
      </c>
    </row>
    <row r="132" spans="2:13">
      <c r="B132" t="s">
        <v>257</v>
      </c>
      <c r="C132" t="s">
        <v>112</v>
      </c>
      <c r="D132">
        <v>20.696999999999999</v>
      </c>
      <c r="F132" t="s">
        <v>257</v>
      </c>
      <c r="G132" t="s">
        <v>264</v>
      </c>
      <c r="H132">
        <v>26.498000000000001</v>
      </c>
      <c r="I132">
        <f t="shared" si="123"/>
        <v>5.9410000000000025</v>
      </c>
      <c r="J132">
        <f t="shared" si="115"/>
        <v>1.6277241078253429E-2</v>
      </c>
    </row>
    <row r="133" spans="2:13">
      <c r="B133" t="s">
        <v>257</v>
      </c>
      <c r="C133" t="s">
        <v>112</v>
      </c>
      <c r="D133">
        <v>20.16</v>
      </c>
      <c r="E133">
        <f t="shared" si="117"/>
        <v>20.556999999999999</v>
      </c>
      <c r="F133" t="s">
        <v>257</v>
      </c>
      <c r="G133" t="s">
        <v>264</v>
      </c>
      <c r="H133">
        <v>26.587</v>
      </c>
      <c r="I133">
        <f t="shared" si="124"/>
        <v>6.0300000000000011</v>
      </c>
      <c r="J133">
        <f t="shared" si="115"/>
        <v>1.5303442149795725E-2</v>
      </c>
      <c r="K133">
        <f t="shared" ref="K133" si="133">AVERAGE(J131:J133)</f>
        <v>1.5481677098577827E-2</v>
      </c>
      <c r="M133">
        <f t="shared" ref="M133" si="134">K133/0.00129415023432741</f>
        <v>11.962812885185542</v>
      </c>
    </row>
    <row r="134" spans="2:13">
      <c r="B134" t="s">
        <v>258</v>
      </c>
      <c r="C134" t="s">
        <v>112</v>
      </c>
      <c r="D134">
        <v>20.677</v>
      </c>
      <c r="F134" t="s">
        <v>258</v>
      </c>
      <c r="G134" t="s">
        <v>264</v>
      </c>
      <c r="H134">
        <v>26.861000000000001</v>
      </c>
      <c r="I134">
        <f>H134-E136</f>
        <v>6.2686666666666682</v>
      </c>
      <c r="J134">
        <f t="shared" si="115"/>
        <v>1.297009928292424E-2</v>
      </c>
    </row>
    <row r="135" spans="2:13">
      <c r="B135" t="s">
        <v>258</v>
      </c>
      <c r="C135" t="s">
        <v>112</v>
      </c>
      <c r="D135">
        <v>20.638000000000002</v>
      </c>
      <c r="F135" t="s">
        <v>258</v>
      </c>
      <c r="G135" t="s">
        <v>264</v>
      </c>
      <c r="H135">
        <v>26.561</v>
      </c>
      <c r="I135">
        <f t="shared" si="123"/>
        <v>5.9686666666666675</v>
      </c>
      <c r="J135">
        <f t="shared" si="115"/>
        <v>1.5968065272701081E-2</v>
      </c>
    </row>
    <row r="136" spans="2:13">
      <c r="B136" t="s">
        <v>258</v>
      </c>
      <c r="C136" t="s">
        <v>112</v>
      </c>
      <c r="D136">
        <v>20.462</v>
      </c>
      <c r="E136">
        <f t="shared" si="117"/>
        <v>20.592333333333332</v>
      </c>
      <c r="F136" t="s">
        <v>258</v>
      </c>
      <c r="G136" t="s">
        <v>264</v>
      </c>
      <c r="H136" t="s">
        <v>115</v>
      </c>
      <c r="I136" t="e">
        <f t="shared" si="124"/>
        <v>#VALUE!</v>
      </c>
      <c r="K136">
        <f t="shared" ref="K136" si="135">AVERAGE(J134:J136)</f>
        <v>1.4469082277812659E-2</v>
      </c>
      <c r="M136">
        <f t="shared" ref="M136" si="136">K136/0.00129415023432741</f>
        <v>11.180372953633523</v>
      </c>
    </row>
    <row r="137" spans="2:13">
      <c r="B137" t="s">
        <v>259</v>
      </c>
      <c r="C137" t="s">
        <v>112</v>
      </c>
      <c r="D137">
        <v>20.132999999999999</v>
      </c>
      <c r="F137" t="s">
        <v>259</v>
      </c>
      <c r="G137" t="s">
        <v>264</v>
      </c>
      <c r="H137">
        <v>24.422999999999998</v>
      </c>
      <c r="I137">
        <f>H137-E139</f>
        <v>3.9736666666666665</v>
      </c>
      <c r="J137">
        <f t="shared" si="115"/>
        <v>6.3651279854840412E-2</v>
      </c>
    </row>
    <row r="138" spans="2:13">
      <c r="B138" t="s">
        <v>259</v>
      </c>
      <c r="C138" t="s">
        <v>112</v>
      </c>
      <c r="D138">
        <v>20.600999999999999</v>
      </c>
      <c r="F138" t="s">
        <v>259</v>
      </c>
      <c r="G138" t="s">
        <v>264</v>
      </c>
      <c r="H138">
        <v>24.364000000000001</v>
      </c>
      <c r="I138">
        <f t="shared" si="123"/>
        <v>3.914666666666669</v>
      </c>
      <c r="J138">
        <f t="shared" si="115"/>
        <v>6.6308302536743247E-2</v>
      </c>
    </row>
    <row r="139" spans="2:13">
      <c r="B139" t="s">
        <v>259</v>
      </c>
      <c r="C139" t="s">
        <v>112</v>
      </c>
      <c r="D139">
        <v>20.614000000000001</v>
      </c>
      <c r="E139">
        <f t="shared" ref="E139:E145" si="137">AVERAGE(D137:D139)</f>
        <v>20.449333333333332</v>
      </c>
      <c r="F139" t="s">
        <v>259</v>
      </c>
      <c r="G139" t="s">
        <v>264</v>
      </c>
      <c r="H139">
        <v>24.338999999999999</v>
      </c>
      <c r="I139">
        <f t="shared" si="124"/>
        <v>3.8896666666666668</v>
      </c>
      <c r="J139">
        <f t="shared" si="115"/>
        <v>6.7467351248937393E-2</v>
      </c>
      <c r="K139">
        <f t="shared" ref="K139" si="138">AVERAGE(J137:J139)</f>
        <v>6.5808977880173689E-2</v>
      </c>
      <c r="M139">
        <f t="shared" ref="M139" si="139">K139/0.00129415023432741</f>
        <v>50.851111512857429</v>
      </c>
    </row>
    <row r="140" spans="2:13">
      <c r="B140" t="s">
        <v>260</v>
      </c>
      <c r="C140" t="s">
        <v>112</v>
      </c>
      <c r="D140">
        <v>20.042999999999999</v>
      </c>
      <c r="F140" t="s">
        <v>260</v>
      </c>
      <c r="G140" t="s">
        <v>264</v>
      </c>
      <c r="H140">
        <v>24.68</v>
      </c>
      <c r="I140">
        <f>H140-E142</f>
        <v>4.4946666666666673</v>
      </c>
      <c r="J140">
        <f t="shared" si="115"/>
        <v>4.4357852537501359E-2</v>
      </c>
    </row>
    <row r="141" spans="2:13">
      <c r="B141" t="s">
        <v>260</v>
      </c>
      <c r="C141" t="s">
        <v>112</v>
      </c>
      <c r="D141">
        <v>20.355</v>
      </c>
      <c r="F141" t="s">
        <v>260</v>
      </c>
      <c r="G141" t="s">
        <v>264</v>
      </c>
      <c r="H141">
        <v>24.323</v>
      </c>
      <c r="I141">
        <f t="shared" si="123"/>
        <v>4.1376666666666679</v>
      </c>
      <c r="J141">
        <f t="shared" si="115"/>
        <v>5.6811757064816636E-2</v>
      </c>
    </row>
    <row r="142" spans="2:13">
      <c r="B142" t="s">
        <v>260</v>
      </c>
      <c r="C142" t="s">
        <v>112</v>
      </c>
      <c r="D142">
        <v>20.158000000000001</v>
      </c>
      <c r="E142">
        <f t="shared" si="137"/>
        <v>20.185333333333332</v>
      </c>
      <c r="F142" t="s">
        <v>260</v>
      </c>
      <c r="G142" t="s">
        <v>264</v>
      </c>
      <c r="H142">
        <v>24.468</v>
      </c>
      <c r="I142">
        <f t="shared" si="124"/>
        <v>4.2826666666666675</v>
      </c>
      <c r="J142">
        <f t="shared" si="115"/>
        <v>5.1379381492430626E-2</v>
      </c>
      <c r="K142">
        <f t="shared" ref="K142" si="140">AVERAGE(J140:J142)</f>
        <v>5.0849663698249538E-2</v>
      </c>
      <c r="M142">
        <f t="shared" ref="M142" si="141">K142/0.00129415023432741</f>
        <v>39.291932535697377</v>
      </c>
    </row>
    <row r="143" spans="2:13">
      <c r="B143" t="s">
        <v>261</v>
      </c>
      <c r="C143" t="s">
        <v>112</v>
      </c>
      <c r="D143">
        <v>20.242000000000001</v>
      </c>
      <c r="F143" t="s">
        <v>261</v>
      </c>
      <c r="G143" t="s">
        <v>264</v>
      </c>
      <c r="H143">
        <v>24.475999999999999</v>
      </c>
      <c r="I143">
        <f>H143-E145</f>
        <v>4.3873333333333306</v>
      </c>
      <c r="J143">
        <f t="shared" si="115"/>
        <v>4.7783841996514559E-2</v>
      </c>
    </row>
    <row r="144" spans="2:13">
      <c r="B144" t="s">
        <v>261</v>
      </c>
      <c r="C144" t="s">
        <v>112</v>
      </c>
      <c r="D144">
        <v>19.954999999999998</v>
      </c>
      <c r="F144" t="s">
        <v>261</v>
      </c>
      <c r="G144" t="s">
        <v>264</v>
      </c>
      <c r="H144">
        <v>24.308</v>
      </c>
      <c r="I144">
        <f t="shared" si="123"/>
        <v>4.2193333333333314</v>
      </c>
      <c r="J144">
        <f t="shared" si="115"/>
        <v>5.3685141849563522E-2</v>
      </c>
    </row>
    <row r="145" spans="2:13">
      <c r="B145" t="s">
        <v>261</v>
      </c>
      <c r="C145" t="s">
        <v>112</v>
      </c>
      <c r="D145">
        <v>20.068999999999999</v>
      </c>
      <c r="E145">
        <f t="shared" si="137"/>
        <v>20.088666666666668</v>
      </c>
      <c r="F145" t="s">
        <v>261</v>
      </c>
      <c r="G145" t="s">
        <v>264</v>
      </c>
      <c r="H145">
        <v>24.414000000000001</v>
      </c>
      <c r="I145">
        <f t="shared" si="124"/>
        <v>4.325333333333333</v>
      </c>
      <c r="J145">
        <f t="shared" si="115"/>
        <v>4.988212259819632E-2</v>
      </c>
      <c r="K145">
        <f t="shared" ref="K145" si="142">AVERAGE(J143:J145)</f>
        <v>5.0450368814758138E-2</v>
      </c>
      <c r="M145">
        <f t="shared" ref="M145" si="143">K145/0.00129415023432741</f>
        <v>38.983394258687426</v>
      </c>
    </row>
    <row r="146" spans="2:13">
      <c r="B146" t="s">
        <v>262</v>
      </c>
      <c r="C146" t="s">
        <v>112</v>
      </c>
      <c r="D146">
        <v>20.015000000000001</v>
      </c>
      <c r="F146" t="s">
        <v>262</v>
      </c>
      <c r="G146" t="s">
        <v>264</v>
      </c>
      <c r="H146">
        <v>23.832999999999998</v>
      </c>
      <c r="I146">
        <f>H146-E148</f>
        <v>4.0193333333333321</v>
      </c>
      <c r="J146">
        <f t="shared" si="115"/>
        <v>6.1668034130376082E-2</v>
      </c>
    </row>
    <row r="147" spans="2:13">
      <c r="B147" t="s">
        <v>262</v>
      </c>
      <c r="C147" t="s">
        <v>112</v>
      </c>
      <c r="D147">
        <v>19.367999999999999</v>
      </c>
      <c r="F147" t="s">
        <v>262</v>
      </c>
      <c r="G147" t="s">
        <v>264</v>
      </c>
      <c r="H147">
        <v>23.552</v>
      </c>
      <c r="I147">
        <f t="shared" si="123"/>
        <v>3.7383333333333333</v>
      </c>
      <c r="J147">
        <f t="shared" si="115"/>
        <v>7.4928930352861134E-2</v>
      </c>
    </row>
    <row r="148" spans="2:13">
      <c r="B148" t="s">
        <v>262</v>
      </c>
      <c r="C148" t="s">
        <v>112</v>
      </c>
      <c r="D148">
        <v>20.058</v>
      </c>
      <c r="E148">
        <f t="shared" ref="E148" si="144">AVERAGE(D146:D148)</f>
        <v>19.813666666666666</v>
      </c>
      <c r="F148" t="s">
        <v>262</v>
      </c>
      <c r="G148" t="s">
        <v>264</v>
      </c>
      <c r="H148">
        <v>23.785</v>
      </c>
      <c r="I148">
        <f t="shared" ref="I148" si="145">H148-E148</f>
        <v>3.9713333333333338</v>
      </c>
      <c r="J148">
        <f t="shared" si="115"/>
        <v>6.3754309127971226E-2</v>
      </c>
      <c r="K148">
        <f t="shared" ref="K148" si="146">AVERAGE(J146:J148)</f>
        <v>6.6783757870402818E-2</v>
      </c>
      <c r="M148">
        <f t="shared" ref="M148" si="147">K148/0.00129415023432741</f>
        <v>51.604331629326929</v>
      </c>
    </row>
  </sheetData>
  <phoneticPr fontId="2" type="noConversion"/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A8C4AD-7DC2-CC4B-935F-5E4E0A60EB8E}">
  <dimension ref="A1:U28"/>
  <sheetViews>
    <sheetView topLeftCell="A4" zoomScale="75" workbookViewId="0">
      <selection activeCell="C26" sqref="C26:U27"/>
    </sheetView>
  </sheetViews>
  <sheetFormatPr baseColWidth="10" defaultRowHeight="16"/>
  <sheetData>
    <row r="1" spans="1:14">
      <c r="A1" t="s">
        <v>269</v>
      </c>
    </row>
    <row r="5" spans="1:14">
      <c r="C5" s="1">
        <v>497</v>
      </c>
      <c r="D5" s="1">
        <v>2150619</v>
      </c>
      <c r="E5" s="1">
        <v>2.0000000000000001E-4</v>
      </c>
      <c r="F5" s="116">
        <v>0</v>
      </c>
      <c r="G5" s="1"/>
      <c r="H5" s="1"/>
      <c r="I5" s="1"/>
      <c r="J5" s="1"/>
      <c r="K5" s="1"/>
      <c r="L5" s="1"/>
      <c r="M5" s="1"/>
      <c r="N5" s="1"/>
    </row>
    <row r="6" spans="1:14">
      <c r="C6" s="1">
        <v>468</v>
      </c>
      <c r="D6" s="1">
        <v>2370426</v>
      </c>
      <c r="E6" s="1">
        <v>2.0000000000000001E-4</v>
      </c>
      <c r="F6" s="116"/>
      <c r="G6" s="1"/>
      <c r="H6" s="1"/>
      <c r="I6" s="1"/>
      <c r="J6" s="1"/>
      <c r="K6" s="1"/>
      <c r="L6" s="1"/>
      <c r="M6" s="1"/>
      <c r="N6" s="1"/>
    </row>
    <row r="7" spans="1:14">
      <c r="C7" s="1">
        <v>493</v>
      </c>
      <c r="D7" s="1">
        <v>2379297</v>
      </c>
      <c r="E7" s="1">
        <v>2.0000000000000001E-4</v>
      </c>
      <c r="F7" s="116"/>
      <c r="G7" s="1"/>
      <c r="H7" s="1"/>
      <c r="I7" s="1"/>
      <c r="J7" s="1"/>
      <c r="K7" s="1"/>
      <c r="L7" s="1"/>
      <c r="M7" s="1"/>
      <c r="N7" s="1"/>
    </row>
    <row r="8" spans="1:14">
      <c r="C8" s="1">
        <v>13028</v>
      </c>
      <c r="D8" s="1">
        <v>2792453</v>
      </c>
      <c r="E8" s="1">
        <v>4.7000000000000002E-3</v>
      </c>
      <c r="F8" s="116" t="s">
        <v>270</v>
      </c>
      <c r="G8" s="1"/>
      <c r="H8" s="1"/>
      <c r="I8" s="1"/>
      <c r="J8" s="1"/>
      <c r="K8" s="1"/>
      <c r="L8" s="1"/>
      <c r="M8" s="1"/>
      <c r="N8" s="1"/>
    </row>
    <row r="9" spans="1:14">
      <c r="C9" s="1">
        <v>13061</v>
      </c>
      <c r="D9" s="1">
        <v>2911712</v>
      </c>
      <c r="E9" s="1">
        <v>4.4999999999999997E-3</v>
      </c>
      <c r="F9" s="116"/>
      <c r="G9" s="1"/>
      <c r="H9" s="1"/>
      <c r="I9" s="1"/>
      <c r="J9" s="1"/>
      <c r="K9" s="1"/>
      <c r="L9" s="1"/>
      <c r="M9" s="1"/>
      <c r="N9" s="1"/>
    </row>
    <row r="10" spans="1:14">
      <c r="C10" s="1">
        <v>12774</v>
      </c>
      <c r="D10" s="1">
        <v>2964095</v>
      </c>
      <c r="E10" s="1">
        <v>4.3E-3</v>
      </c>
      <c r="F10" s="116"/>
      <c r="G10" s="1"/>
      <c r="H10" s="1"/>
      <c r="I10" s="1"/>
      <c r="J10" s="1"/>
      <c r="K10" s="1"/>
      <c r="L10" s="1"/>
      <c r="M10" s="1"/>
      <c r="N10" s="1"/>
    </row>
    <row r="11" spans="1:14">
      <c r="C11" s="1">
        <v>30282</v>
      </c>
      <c r="D11" s="1">
        <v>7703587</v>
      </c>
      <c r="E11" s="1">
        <v>3.8999999999999998E-3</v>
      </c>
      <c r="F11" s="116" t="s">
        <v>271</v>
      </c>
      <c r="G11" s="1"/>
      <c r="H11" s="1"/>
      <c r="I11" s="1"/>
      <c r="J11" s="1"/>
      <c r="K11" s="1"/>
      <c r="L11" s="1"/>
      <c r="M11" s="1"/>
      <c r="N11" s="1"/>
    </row>
    <row r="12" spans="1:14">
      <c r="C12" s="1">
        <v>31481</v>
      </c>
      <c r="D12" s="1">
        <v>8501239</v>
      </c>
      <c r="E12" s="1">
        <v>3.7000000000000002E-3</v>
      </c>
      <c r="F12" s="116"/>
      <c r="G12" s="1"/>
      <c r="H12" s="1"/>
      <c r="I12" s="1"/>
      <c r="J12" s="1"/>
      <c r="K12" s="1"/>
      <c r="L12" s="1"/>
      <c r="M12" s="1"/>
      <c r="N12" s="1"/>
    </row>
    <row r="13" spans="1:14">
      <c r="C13" s="1">
        <v>29857</v>
      </c>
      <c r="D13" s="1">
        <v>8303973</v>
      </c>
      <c r="E13" s="1">
        <v>3.5999999999999999E-3</v>
      </c>
      <c r="F13" s="116"/>
      <c r="G13" s="1"/>
      <c r="H13" s="1"/>
      <c r="I13" s="1"/>
      <c r="J13" s="1"/>
      <c r="K13" s="1"/>
      <c r="L13" s="1"/>
      <c r="M13" s="1"/>
      <c r="N13" s="1"/>
    </row>
    <row r="14" spans="1:14"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</row>
    <row r="15" spans="1:14"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</row>
    <row r="16" spans="1:14"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</row>
    <row r="17" spans="3:21"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</row>
    <row r="18" spans="3:21">
      <c r="C18" s="1">
        <f>AVERAGE(C22:E22)</f>
        <v>2.0000000000000001E-4</v>
      </c>
      <c r="D18" s="1">
        <v>2.0000000000000001E-4</v>
      </c>
      <c r="E18" s="1"/>
      <c r="F18" s="1"/>
      <c r="G18" s="1"/>
      <c r="H18" s="1"/>
      <c r="I18" s="1"/>
      <c r="J18" s="1"/>
      <c r="K18" s="1"/>
      <c r="L18" s="1"/>
      <c r="M18" s="1"/>
      <c r="N18" s="1"/>
    </row>
    <row r="19" spans="3:21"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</row>
    <row r="20" spans="3:21"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</row>
    <row r="21" spans="3:21">
      <c r="C21" s="1">
        <v>0</v>
      </c>
      <c r="D21" s="1"/>
      <c r="E21" s="1"/>
      <c r="F21" s="1" t="s">
        <v>273</v>
      </c>
      <c r="G21" s="1"/>
      <c r="H21" s="1"/>
      <c r="I21" s="1" t="s">
        <v>272</v>
      </c>
      <c r="J21" s="1"/>
      <c r="K21" s="1"/>
    </row>
    <row r="22" spans="3:21">
      <c r="C22" s="1">
        <v>2.0000000000000001E-4</v>
      </c>
      <c r="D22" s="1">
        <v>2.0000000000000001E-4</v>
      </c>
      <c r="E22" s="1">
        <v>2.0000000000000001E-4</v>
      </c>
      <c r="F22" s="1">
        <v>4.7000000000000002E-3</v>
      </c>
      <c r="G22" s="1">
        <v>4.4999999999999997E-3</v>
      </c>
      <c r="H22" s="1">
        <v>4.3E-3</v>
      </c>
      <c r="I22" s="1">
        <v>3.8999999999999998E-3</v>
      </c>
      <c r="J22" s="1">
        <v>3.7000000000000002E-3</v>
      </c>
      <c r="K22" s="1">
        <v>3.5999999999999999E-3</v>
      </c>
    </row>
    <row r="23" spans="3:21">
      <c r="C23" s="1">
        <f t="shared" ref="C23:K23" si="0">C22/0.0002</f>
        <v>1</v>
      </c>
      <c r="D23" s="1">
        <f t="shared" si="0"/>
        <v>1</v>
      </c>
      <c r="E23" s="1">
        <f t="shared" si="0"/>
        <v>1</v>
      </c>
      <c r="F23" s="1">
        <f t="shared" si="0"/>
        <v>23.5</v>
      </c>
      <c r="G23" s="1">
        <f t="shared" si="0"/>
        <v>22.499999999999996</v>
      </c>
      <c r="H23" s="1">
        <f t="shared" si="0"/>
        <v>21.5</v>
      </c>
      <c r="I23" s="1">
        <f t="shared" si="0"/>
        <v>19.499999999999996</v>
      </c>
      <c r="J23" s="1">
        <f t="shared" si="0"/>
        <v>18.5</v>
      </c>
      <c r="K23" s="1">
        <f t="shared" si="0"/>
        <v>18</v>
      </c>
    </row>
    <row r="26" spans="3:21">
      <c r="C26" s="91">
        <v>0</v>
      </c>
      <c r="D26" s="91"/>
      <c r="E26" s="91"/>
      <c r="F26" s="91" t="s">
        <v>273</v>
      </c>
      <c r="G26" s="91"/>
      <c r="H26" s="91"/>
      <c r="I26" s="91" t="s">
        <v>272</v>
      </c>
      <c r="J26" s="91"/>
      <c r="K26" s="90"/>
      <c r="L26" s="90" t="s">
        <v>663</v>
      </c>
      <c r="M26" s="90" t="s">
        <v>396</v>
      </c>
      <c r="N26" s="90" t="s">
        <v>664</v>
      </c>
      <c r="O26" s="90" t="s">
        <v>663</v>
      </c>
      <c r="P26" s="90" t="s">
        <v>396</v>
      </c>
      <c r="Q26" s="90" t="s">
        <v>664</v>
      </c>
      <c r="R26" s="90" t="s">
        <v>663</v>
      </c>
      <c r="S26" s="90" t="s">
        <v>396</v>
      </c>
      <c r="T26" s="90" t="s">
        <v>664</v>
      </c>
      <c r="U26" s="101" t="s">
        <v>665</v>
      </c>
    </row>
    <row r="27" spans="3:21">
      <c r="C27" s="90">
        <v>1</v>
      </c>
      <c r="D27" s="90">
        <v>1</v>
      </c>
      <c r="E27" s="90">
        <v>1</v>
      </c>
      <c r="F27" s="90">
        <v>23.5</v>
      </c>
      <c r="G27" s="90">
        <v>22.499999999999996</v>
      </c>
      <c r="H27" s="90">
        <v>21.5</v>
      </c>
      <c r="I27" s="90">
        <v>19.499999999999996</v>
      </c>
      <c r="J27" s="90">
        <v>18.5</v>
      </c>
      <c r="K27" s="90">
        <v>18</v>
      </c>
      <c r="L27" s="90">
        <f>AVERAGE(C27:E27)</f>
        <v>1</v>
      </c>
      <c r="M27" s="90">
        <f>STDEV(C27:E27)</f>
        <v>0</v>
      </c>
      <c r="N27" s="90">
        <f>M27/SQRT(3)</f>
        <v>0</v>
      </c>
      <c r="O27" s="90">
        <f>AVERAGE(F27:H27)</f>
        <v>22.5</v>
      </c>
      <c r="P27" s="90">
        <f>STDEV(F27:H27)</f>
        <v>1</v>
      </c>
      <c r="Q27" s="90">
        <f>P27/SQRT(3)</f>
        <v>0.57735026918962584</v>
      </c>
      <c r="R27" s="90">
        <f>AVERAGE(I27:K27)</f>
        <v>18.666666666666668</v>
      </c>
      <c r="S27" s="90">
        <f>STDEV(I27:K27)</f>
        <v>0.76376261582597138</v>
      </c>
      <c r="T27" s="90">
        <f>S27/SQRT(3)</f>
        <v>0.44095855184409732</v>
      </c>
      <c r="U27" s="94">
        <v>0.1</v>
      </c>
    </row>
    <row r="28" spans="3:21">
      <c r="L28" s="90"/>
      <c r="M28" s="90"/>
      <c r="N28" s="90"/>
      <c r="O28" s="90"/>
      <c r="P28" s="90"/>
      <c r="Q28" s="90"/>
      <c r="R28" s="94"/>
    </row>
  </sheetData>
  <mergeCells count="3">
    <mergeCell ref="F5:F7"/>
    <mergeCell ref="F8:F10"/>
    <mergeCell ref="F11:F13"/>
  </mergeCells>
  <phoneticPr fontId="2" type="noConversion"/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5041FD-B88A-B24F-9D78-195B58EED6C3}">
  <dimension ref="A1:M27"/>
  <sheetViews>
    <sheetView topLeftCell="B1" workbookViewId="0">
      <selection activeCell="G22" sqref="G22:M27"/>
    </sheetView>
  </sheetViews>
  <sheetFormatPr baseColWidth="10" defaultRowHeight="16"/>
  <sheetData>
    <row r="1" spans="1:13">
      <c r="A1" t="s">
        <v>274</v>
      </c>
    </row>
    <row r="4" spans="1:13">
      <c r="C4" t="s">
        <v>275</v>
      </c>
      <c r="D4" t="s">
        <v>34</v>
      </c>
      <c r="E4">
        <v>15.643000000000001</v>
      </c>
      <c r="G4" t="s">
        <v>275</v>
      </c>
      <c r="H4" t="s">
        <v>29</v>
      </c>
      <c r="I4">
        <v>20.847000000000001</v>
      </c>
      <c r="J4">
        <f>I4-F6</f>
        <v>5.2780000000000005</v>
      </c>
      <c r="K4">
        <f>POWER(2,-J4)</f>
        <v>2.5772923394065037E-2</v>
      </c>
      <c r="M4">
        <f>K4/L6</f>
        <v>0.95878111017039958</v>
      </c>
    </row>
    <row r="5" spans="1:13">
      <c r="C5" t="s">
        <v>275</v>
      </c>
      <c r="D5" t="s">
        <v>34</v>
      </c>
      <c r="E5">
        <v>15.63</v>
      </c>
      <c r="G5" t="s">
        <v>275</v>
      </c>
      <c r="H5" t="s">
        <v>29</v>
      </c>
      <c r="I5">
        <v>20.728000000000002</v>
      </c>
      <c r="J5">
        <f>I5-F6</f>
        <v>5.1590000000000007</v>
      </c>
      <c r="K5">
        <f t="shared" ref="K5:K14" si="0">POWER(2,-J5)</f>
        <v>2.798892719033903E-2</v>
      </c>
      <c r="M5">
        <f>K5/L6</f>
        <v>1.0412188898296004</v>
      </c>
    </row>
    <row r="6" spans="1:13">
      <c r="C6" t="s">
        <v>275</v>
      </c>
      <c r="D6" t="s">
        <v>34</v>
      </c>
      <c r="E6">
        <v>15.433999999999999</v>
      </c>
      <c r="F6">
        <f>AVERAGE(E4:E6)</f>
        <v>15.569000000000001</v>
      </c>
      <c r="G6" t="s">
        <v>275</v>
      </c>
      <c r="H6" t="s">
        <v>29</v>
      </c>
      <c r="L6">
        <f>AVERAGE(K4:K6)</f>
        <v>2.6880925292202033E-2</v>
      </c>
    </row>
    <row r="7" spans="1:13">
      <c r="C7" t="s">
        <v>276</v>
      </c>
      <c r="D7" t="s">
        <v>34</v>
      </c>
      <c r="E7">
        <v>15.753</v>
      </c>
      <c r="G7" t="s">
        <v>276</v>
      </c>
      <c r="H7" t="s">
        <v>29</v>
      </c>
      <c r="I7">
        <v>20.783999999999999</v>
      </c>
      <c r="J7">
        <f t="shared" ref="J7" si="1">I7-F9</f>
        <v>5.161999999999999</v>
      </c>
      <c r="K7">
        <f t="shared" si="0"/>
        <v>2.7930786323649613E-2</v>
      </c>
      <c r="M7">
        <f>K7/L6</f>
        <v>1.039055985611929</v>
      </c>
    </row>
    <row r="8" spans="1:13">
      <c r="C8" t="s">
        <v>276</v>
      </c>
      <c r="D8" t="s">
        <v>34</v>
      </c>
      <c r="E8">
        <v>15.722</v>
      </c>
      <c r="G8" t="s">
        <v>276</v>
      </c>
      <c r="H8" t="s">
        <v>29</v>
      </c>
      <c r="I8">
        <v>20.692</v>
      </c>
      <c r="J8">
        <f t="shared" ref="J8" si="2">I8-F9</f>
        <v>5.07</v>
      </c>
      <c r="K8">
        <f t="shared" si="0"/>
        <v>2.9769937438873042E-2</v>
      </c>
      <c r="M8">
        <f>K8/L6</f>
        <v>1.1074744308563325</v>
      </c>
    </row>
    <row r="9" spans="1:13">
      <c r="C9" t="s">
        <v>276</v>
      </c>
      <c r="D9" t="s">
        <v>34</v>
      </c>
      <c r="E9">
        <v>15.391</v>
      </c>
      <c r="F9">
        <f t="shared" ref="F9" si="3">AVERAGE(E7:E9)</f>
        <v>15.622</v>
      </c>
      <c r="G9" t="s">
        <v>276</v>
      </c>
      <c r="H9" t="s">
        <v>29</v>
      </c>
      <c r="L9">
        <f t="shared" ref="L9" si="4">AVERAGE(K7:K9)</f>
        <v>2.8850361881261326E-2</v>
      </c>
    </row>
    <row r="10" spans="1:13">
      <c r="C10" t="s">
        <v>277</v>
      </c>
      <c r="D10" t="s">
        <v>34</v>
      </c>
      <c r="E10">
        <v>15.571999999999999</v>
      </c>
      <c r="G10" t="s">
        <v>277</v>
      </c>
      <c r="H10" t="s">
        <v>29</v>
      </c>
      <c r="I10">
        <v>20.681999999999999</v>
      </c>
      <c r="J10">
        <f t="shared" ref="J10" si="5">I10-F12</f>
        <v>5.1873333333333314</v>
      </c>
      <c r="K10">
        <f t="shared" si="0"/>
        <v>2.7444610348417241E-2</v>
      </c>
      <c r="M10">
        <f>K10/L6</f>
        <v>1.0209697043568187</v>
      </c>
    </row>
    <row r="11" spans="1:13">
      <c r="C11" t="s">
        <v>277</v>
      </c>
      <c r="D11" t="s">
        <v>34</v>
      </c>
      <c r="E11">
        <v>15.596</v>
      </c>
      <c r="G11" t="s">
        <v>277</v>
      </c>
      <c r="H11" t="s">
        <v>29</v>
      </c>
      <c r="I11">
        <v>20.344000000000001</v>
      </c>
      <c r="J11">
        <f t="shared" ref="J11" si="6">I11-F12</f>
        <v>4.8493333333333339</v>
      </c>
      <c r="K11">
        <f t="shared" si="0"/>
        <v>3.4690072516229298E-2</v>
      </c>
      <c r="M11">
        <f>K11/L6</f>
        <v>1.2905088697334628</v>
      </c>
    </row>
    <row r="12" spans="1:13">
      <c r="C12" t="s">
        <v>277</v>
      </c>
      <c r="D12" t="s">
        <v>34</v>
      </c>
      <c r="E12">
        <v>15.316000000000001</v>
      </c>
      <c r="F12">
        <f t="shared" ref="F12" si="7">AVERAGE(E10:E12)</f>
        <v>15.494666666666667</v>
      </c>
      <c r="G12" t="s">
        <v>277</v>
      </c>
      <c r="H12" t="s">
        <v>29</v>
      </c>
    </row>
    <row r="13" spans="1:13">
      <c r="C13" t="s">
        <v>278</v>
      </c>
      <c r="D13" t="s">
        <v>34</v>
      </c>
      <c r="E13">
        <v>15.885</v>
      </c>
      <c r="G13" t="s">
        <v>278</v>
      </c>
      <c r="H13" t="s">
        <v>29</v>
      </c>
      <c r="I13">
        <v>20.010999999999999</v>
      </c>
      <c r="J13">
        <f t="shared" ref="J13" si="8">I13-F15</f>
        <v>4.2499999999999982</v>
      </c>
      <c r="K13">
        <f t="shared" si="0"/>
        <v>5.2556025953357233E-2</v>
      </c>
      <c r="M13">
        <f>K13/L6</f>
        <v>1.9551419968643478</v>
      </c>
    </row>
    <row r="14" spans="1:13">
      <c r="C14" t="s">
        <v>278</v>
      </c>
      <c r="D14" t="s">
        <v>34</v>
      </c>
      <c r="E14">
        <v>15.833</v>
      </c>
      <c r="G14" t="s">
        <v>278</v>
      </c>
      <c r="H14" t="s">
        <v>29</v>
      </c>
      <c r="I14">
        <v>19.998000000000001</v>
      </c>
      <c r="J14">
        <f t="shared" ref="J14" si="9">I14-F15</f>
        <v>4.2370000000000001</v>
      </c>
      <c r="K14">
        <f t="shared" si="0"/>
        <v>5.3031743856618511E-2</v>
      </c>
      <c r="M14">
        <f>K14/L6</f>
        <v>1.97283922633432</v>
      </c>
    </row>
    <row r="15" spans="1:13">
      <c r="C15" t="s">
        <v>278</v>
      </c>
      <c r="D15" t="s">
        <v>34</v>
      </c>
      <c r="E15">
        <v>15.565</v>
      </c>
      <c r="F15">
        <f t="shared" ref="F15" si="10">AVERAGE(E13:E15)</f>
        <v>15.761000000000001</v>
      </c>
      <c r="G15" t="s">
        <v>278</v>
      </c>
      <c r="H15" t="s">
        <v>29</v>
      </c>
      <c r="L15">
        <f t="shared" ref="L15" si="11">AVERAGE(K13:K15)</f>
        <v>5.2793884904987876E-2</v>
      </c>
    </row>
    <row r="16" spans="1:13">
      <c r="C16" t="s">
        <v>279</v>
      </c>
      <c r="D16" t="s">
        <v>34</v>
      </c>
      <c r="E16">
        <v>15.877000000000001</v>
      </c>
      <c r="G16" t="s">
        <v>279</v>
      </c>
      <c r="H16" t="s">
        <v>29</v>
      </c>
      <c r="I16">
        <v>20.202000000000002</v>
      </c>
      <c r="J16">
        <f t="shared" ref="J16" si="12">I16-F18</f>
        <v>4.4779999999999998</v>
      </c>
      <c r="K16">
        <f>POWER(2,-J16)</f>
        <v>4.4873265956982371E-2</v>
      </c>
      <c r="M16">
        <f>K16/L6</f>
        <v>1.66933487107305</v>
      </c>
    </row>
    <row r="17" spans="3:13">
      <c r="C17" t="s">
        <v>279</v>
      </c>
      <c r="D17" t="s">
        <v>34</v>
      </c>
      <c r="E17">
        <v>15.79</v>
      </c>
      <c r="G17" t="s">
        <v>279</v>
      </c>
      <c r="H17" t="s">
        <v>29</v>
      </c>
      <c r="I17">
        <v>20.184999999999999</v>
      </c>
      <c r="J17">
        <f t="shared" ref="J17" si="13">I17-F18</f>
        <v>4.4609999999999967</v>
      </c>
      <c r="K17">
        <f>POWER(2,-J17)</f>
        <v>4.5405157799105408E-2</v>
      </c>
      <c r="M17">
        <f>K17/L6</f>
        <v>1.6891218328811444</v>
      </c>
    </row>
    <row r="18" spans="3:13">
      <c r="C18" t="s">
        <v>279</v>
      </c>
      <c r="D18" t="s">
        <v>34</v>
      </c>
      <c r="E18">
        <v>15.505000000000001</v>
      </c>
      <c r="F18">
        <f t="shared" ref="F18" si="14">AVERAGE(E16:E18)</f>
        <v>15.724000000000002</v>
      </c>
      <c r="G18" t="s">
        <v>279</v>
      </c>
      <c r="H18" t="s">
        <v>29</v>
      </c>
    </row>
    <row r="22" spans="3:13">
      <c r="G22" s="90"/>
      <c r="H22" s="90"/>
      <c r="I22" s="90"/>
      <c r="J22" s="90" t="s">
        <v>663</v>
      </c>
      <c r="K22" s="90" t="s">
        <v>396</v>
      </c>
      <c r="L22" s="90" t="s">
        <v>664</v>
      </c>
      <c r="M22" s="90" t="s">
        <v>690</v>
      </c>
    </row>
    <row r="23" spans="3:13">
      <c r="G23" s="90">
        <v>0</v>
      </c>
      <c r="H23" s="90">
        <v>0.95878111017039958</v>
      </c>
      <c r="I23" s="90">
        <v>1.0412188898296004</v>
      </c>
      <c r="J23" s="90">
        <f>AVERAGE(H23:I23)</f>
        <v>1</v>
      </c>
      <c r="K23" s="90">
        <f>STDEV(H23:I23)</f>
        <v>5.8292313022983357E-2</v>
      </c>
      <c r="L23" s="90">
        <f>K23/SQRT(2)</f>
        <v>4.1218889829600425E-2</v>
      </c>
      <c r="M23" s="90"/>
    </row>
    <row r="24" spans="3:13">
      <c r="G24" s="90">
        <v>6</v>
      </c>
      <c r="H24" s="90">
        <v>1.039055985611929</v>
      </c>
      <c r="I24" s="90">
        <v>1.1074744308563325</v>
      </c>
      <c r="J24" s="90">
        <f t="shared" ref="J24:J27" si="15">AVERAGE(H24:I24)</f>
        <v>1.0732652082341307</v>
      </c>
      <c r="K24" s="90">
        <f t="shared" ref="K24:K27" si="16">STDEV(H24:I24)</f>
        <v>4.8379146590558163E-2</v>
      </c>
      <c r="L24" s="90">
        <f t="shared" ref="L24:L27" si="17">K24/SQRT(2)</f>
        <v>3.4209222622201718E-2</v>
      </c>
      <c r="M24" s="94">
        <v>0.83899999999999997</v>
      </c>
    </row>
    <row r="25" spans="3:13">
      <c r="G25" s="90">
        <v>12</v>
      </c>
      <c r="H25" s="90">
        <v>1.0209697043568187</v>
      </c>
      <c r="I25" s="90">
        <v>1.2905088697334628</v>
      </c>
      <c r="J25" s="90">
        <f t="shared" si="15"/>
        <v>1.1557392870451406</v>
      </c>
      <c r="K25" s="90">
        <f t="shared" si="16"/>
        <v>0.19059297163318889</v>
      </c>
      <c r="L25" s="90">
        <f t="shared" si="17"/>
        <v>0.13476958268832315</v>
      </c>
      <c r="M25" s="94">
        <v>0.36680000000000001</v>
      </c>
    </row>
    <row r="26" spans="3:13">
      <c r="G26" s="90">
        <v>24</v>
      </c>
      <c r="H26" s="90">
        <v>1.9551419968643478</v>
      </c>
      <c r="I26" s="90">
        <v>1.97283922633432</v>
      </c>
      <c r="J26" s="90">
        <f t="shared" si="15"/>
        <v>1.9639906115993337</v>
      </c>
      <c r="K26" s="90">
        <f t="shared" si="16"/>
        <v>1.2513830966431759E-2</v>
      </c>
      <c r="L26" s="90">
        <f t="shared" si="17"/>
        <v>8.8486147349861044E-3</v>
      </c>
      <c r="M26" s="94">
        <v>4.0000000000000002E-4</v>
      </c>
    </row>
    <row r="27" spans="3:13">
      <c r="G27" s="90">
        <v>48</v>
      </c>
      <c r="H27" s="90">
        <v>1.66933487107305</v>
      </c>
      <c r="I27" s="90">
        <v>1.6891218328811444</v>
      </c>
      <c r="J27" s="90">
        <f t="shared" si="15"/>
        <v>1.6792283519770972</v>
      </c>
      <c r="K27" s="90">
        <f t="shared" si="16"/>
        <v>1.3991494873582751E-2</v>
      </c>
      <c r="L27" s="90">
        <f t="shared" si="17"/>
        <v>9.8934809040471788E-3</v>
      </c>
      <c r="M27" s="94">
        <v>2.2000000000000001E-3</v>
      </c>
    </row>
  </sheetData>
  <phoneticPr fontId="2" type="noConversion"/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5BB401-E2B3-8E41-8FB9-3FF1E378447B}">
  <dimension ref="A1:AX78"/>
  <sheetViews>
    <sheetView topLeftCell="AH39" zoomScale="75" workbookViewId="0">
      <selection activeCell="AI44" sqref="AI44"/>
    </sheetView>
  </sheetViews>
  <sheetFormatPr baseColWidth="10" defaultRowHeight="16"/>
  <sheetData>
    <row r="1" spans="1:50">
      <c r="A1" t="s">
        <v>280</v>
      </c>
    </row>
    <row r="2" spans="1:50">
      <c r="B2" s="12"/>
      <c r="C2" s="13" t="s">
        <v>281</v>
      </c>
      <c r="D2" s="13" t="s">
        <v>282</v>
      </c>
      <c r="E2" s="12"/>
      <c r="F2" s="12"/>
      <c r="G2" s="12"/>
      <c r="H2" s="12"/>
      <c r="I2" s="12"/>
      <c r="J2" s="12"/>
      <c r="K2" s="12"/>
      <c r="AA2" s="12"/>
      <c r="AB2" s="13" t="s">
        <v>295</v>
      </c>
      <c r="AC2" s="13" t="s">
        <v>296</v>
      </c>
      <c r="AD2" s="12"/>
      <c r="AE2" s="12"/>
      <c r="AF2" s="12"/>
      <c r="AG2" s="12"/>
      <c r="AH2" s="12"/>
      <c r="AI2" s="12"/>
      <c r="AJ2" s="12"/>
    </row>
    <row r="3" spans="1:50">
      <c r="B3" s="12" t="s">
        <v>283</v>
      </c>
      <c r="C3" s="12">
        <v>35.645000000000003</v>
      </c>
      <c r="D3" s="12">
        <v>21.32</v>
      </c>
      <c r="E3" s="12">
        <f>AVERAGE(D3:D5)</f>
        <v>21.351333333333333</v>
      </c>
      <c r="F3" s="12">
        <f>C3-E3</f>
        <v>14.29366666666667</v>
      </c>
      <c r="G3" s="12">
        <f>POWER(2,-F3)</f>
        <v>4.9794065392323864E-5</v>
      </c>
      <c r="H3" s="12">
        <f>AVERAGE(G3:G5)</f>
        <v>8.0109550817554628E-5</v>
      </c>
      <c r="I3" s="12">
        <v>8.0109550817554628E-5</v>
      </c>
      <c r="J3" s="12">
        <f t="shared" ref="J3:J38" si="0">G3/I3</f>
        <v>0.62157464227614112</v>
      </c>
      <c r="K3" s="12">
        <f>AVERAGE(J3:J5)</f>
        <v>1</v>
      </c>
      <c r="AA3" s="12" t="s">
        <v>283</v>
      </c>
      <c r="AB3" s="12">
        <v>25.774000000000001</v>
      </c>
      <c r="AC3" s="12">
        <v>18.844000000000001</v>
      </c>
      <c r="AD3" s="12">
        <f>AVERAGE(AC3:AC5)</f>
        <v>19.014666666666667</v>
      </c>
      <c r="AE3" s="12">
        <f>AB3-AD3</f>
        <v>6.7593333333333341</v>
      </c>
      <c r="AF3" s="12">
        <f>POWER(2,-AE3)</f>
        <v>9.2307697033548203E-3</v>
      </c>
      <c r="AG3" s="12">
        <f>AVERAGE(AF3:AF5)</f>
        <v>8.9645839525141144E-3</v>
      </c>
      <c r="AH3" s="12">
        <v>8.9645839525141144E-3</v>
      </c>
      <c r="AI3" s="12">
        <f>AF3/AH3</f>
        <v>1.0296930401065689</v>
      </c>
      <c r="AJ3" s="12">
        <f>AVERAGE(AI3:AI5)</f>
        <v>1.0000000000000002</v>
      </c>
      <c r="AK3" s="105" t="s">
        <v>295</v>
      </c>
      <c r="AL3" s="90"/>
      <c r="AM3" s="90"/>
      <c r="AN3" s="90"/>
      <c r="AO3" s="90"/>
      <c r="AP3" s="90"/>
      <c r="AQ3" s="90"/>
      <c r="AR3" s="90"/>
      <c r="AS3" s="90"/>
      <c r="AT3" s="90"/>
      <c r="AU3" s="90"/>
      <c r="AV3" s="90"/>
      <c r="AW3" s="90"/>
      <c r="AX3" s="90"/>
    </row>
    <row r="4" spans="1:50">
      <c r="B4" s="12" t="s">
        <v>283</v>
      </c>
      <c r="C4" s="12">
        <v>34.411000000000001</v>
      </c>
      <c r="D4" s="12">
        <v>21.318999999999999</v>
      </c>
      <c r="E4" s="12"/>
      <c r="F4" s="12">
        <f>C4-E3</f>
        <v>13.059666666666669</v>
      </c>
      <c r="G4" s="12">
        <f t="shared" ref="G4:G38" si="1">POWER(2,-F4)</f>
        <v>1.1712472924865662E-4</v>
      </c>
      <c r="H4" s="12"/>
      <c r="I4" s="12">
        <v>8.0109550817554628E-5</v>
      </c>
      <c r="J4" s="12">
        <f t="shared" si="0"/>
        <v>1.4620569963674137</v>
      </c>
      <c r="K4" s="12"/>
      <c r="L4" s="105" t="s">
        <v>281</v>
      </c>
      <c r="M4" s="90"/>
      <c r="N4" s="90"/>
      <c r="O4" s="90"/>
      <c r="P4" s="90"/>
      <c r="Q4" s="90"/>
      <c r="R4" s="90"/>
      <c r="S4" s="90"/>
      <c r="T4" s="90"/>
      <c r="U4" s="90"/>
      <c r="V4" s="90"/>
      <c r="W4" s="90"/>
      <c r="X4" s="90"/>
      <c r="Y4" s="90"/>
      <c r="AA4" s="12" t="s">
        <v>283</v>
      </c>
      <c r="AB4" s="12">
        <v>25.898</v>
      </c>
      <c r="AC4" s="12">
        <v>19.026</v>
      </c>
      <c r="AD4" s="12"/>
      <c r="AE4" s="12">
        <f>AB4-AD3</f>
        <v>6.8833333333333329</v>
      </c>
      <c r="AF4" s="12">
        <f t="shared" ref="AF4:AF38" si="2">POWER(2,-AE4)</f>
        <v>8.470522424229833E-3</v>
      </c>
      <c r="AG4" s="12"/>
      <c r="AH4" s="12">
        <v>8.9645839525141144E-3</v>
      </c>
      <c r="AI4" s="12">
        <f t="shared" ref="AI4:AI38" si="3">AF4/AH4</f>
        <v>0.94488740014022377</v>
      </c>
      <c r="AJ4" s="12"/>
      <c r="AK4" s="107"/>
      <c r="AL4" s="90" t="s">
        <v>97</v>
      </c>
      <c r="AM4" s="90"/>
      <c r="AN4" s="90"/>
      <c r="AO4" s="90" t="s">
        <v>99</v>
      </c>
      <c r="AP4" s="107"/>
      <c r="AQ4" s="107"/>
      <c r="AR4" s="90" t="s">
        <v>663</v>
      </c>
      <c r="AS4" s="90" t="s">
        <v>396</v>
      </c>
      <c r="AT4" s="90" t="s">
        <v>664</v>
      </c>
      <c r="AU4" s="90" t="s">
        <v>663</v>
      </c>
      <c r="AV4" s="90" t="s">
        <v>396</v>
      </c>
      <c r="AW4" s="90" t="s">
        <v>664</v>
      </c>
      <c r="AX4" s="101" t="s">
        <v>665</v>
      </c>
    </row>
    <row r="5" spans="1:50">
      <c r="B5" s="12" t="s">
        <v>283</v>
      </c>
      <c r="C5" s="12">
        <v>35.085000000000001</v>
      </c>
      <c r="D5" s="12">
        <v>21.414999999999999</v>
      </c>
      <c r="E5" s="12"/>
      <c r="F5" s="12">
        <f>C5-E3</f>
        <v>13.733666666666668</v>
      </c>
      <c r="G5" s="12">
        <f t="shared" si="1"/>
        <v>7.3409857811683395E-5</v>
      </c>
      <c r="H5" s="12"/>
      <c r="I5" s="12">
        <v>8.0109550817554628E-5</v>
      </c>
      <c r="J5" s="12">
        <f t="shared" si="0"/>
        <v>0.91636836135644506</v>
      </c>
      <c r="K5" s="12"/>
      <c r="L5" s="90"/>
      <c r="M5" s="90" t="s">
        <v>97</v>
      </c>
      <c r="N5" s="90"/>
      <c r="O5" s="90"/>
      <c r="P5" s="90" t="s">
        <v>99</v>
      </c>
      <c r="Q5" s="90"/>
      <c r="R5" s="90"/>
      <c r="S5" s="90" t="s">
        <v>663</v>
      </c>
      <c r="T5" s="90" t="s">
        <v>396</v>
      </c>
      <c r="U5" s="90" t="s">
        <v>664</v>
      </c>
      <c r="V5" s="90" t="s">
        <v>663</v>
      </c>
      <c r="W5" s="90" t="s">
        <v>396</v>
      </c>
      <c r="X5" s="90" t="s">
        <v>664</v>
      </c>
      <c r="Y5" s="101" t="s">
        <v>665</v>
      </c>
      <c r="AA5" s="12" t="s">
        <v>283</v>
      </c>
      <c r="AB5" s="12">
        <v>25.78</v>
      </c>
      <c r="AC5" s="12">
        <v>19.173999999999999</v>
      </c>
      <c r="AD5" s="12"/>
      <c r="AE5" s="12">
        <f>AB5-AD3</f>
        <v>6.7653333333333343</v>
      </c>
      <c r="AF5" s="12">
        <f t="shared" si="2"/>
        <v>9.1924597299576933E-3</v>
      </c>
      <c r="AG5" s="12"/>
      <c r="AH5" s="12">
        <v>8.9645839525141144E-3</v>
      </c>
      <c r="AI5" s="12">
        <f t="shared" si="3"/>
        <v>1.0254195597532076</v>
      </c>
      <c r="AJ5" s="12"/>
      <c r="AK5" s="107">
        <v>0</v>
      </c>
      <c r="AL5" s="107">
        <v>1.0296930401065689</v>
      </c>
      <c r="AM5" s="107">
        <v>0.94488740014022377</v>
      </c>
      <c r="AN5" s="107">
        <v>1.0254195597532076</v>
      </c>
      <c r="AO5" s="107">
        <v>1.4252493290836947</v>
      </c>
      <c r="AP5" s="107">
        <v>1.5222595062377047</v>
      </c>
      <c r="AQ5" s="107">
        <v>1.4461471137607524</v>
      </c>
      <c r="AR5" s="90">
        <f>AVERAGE(AL5:AN5)</f>
        <v>1.0000000000000002</v>
      </c>
      <c r="AS5" s="90">
        <f>STDEV(AL5:AN5)</f>
        <v>4.7776716673087805E-2</v>
      </c>
      <c r="AT5" s="90">
        <f>AS5/SQRT(3)</f>
        <v>2.7583900232203726E-2</v>
      </c>
      <c r="AU5" s="90">
        <f>AVERAGE(AO5:AQ5)</f>
        <v>1.4645519830273841</v>
      </c>
      <c r="AV5" s="90">
        <f>STDEV(AO5:AQ5)</f>
        <v>5.1056811763019884E-2</v>
      </c>
      <c r="AW5" s="90">
        <f>AV5/SQRT(3)</f>
        <v>2.9477664015343581E-2</v>
      </c>
      <c r="AX5" s="94"/>
    </row>
    <row r="6" spans="1:50">
      <c r="B6" s="12" t="s">
        <v>284</v>
      </c>
      <c r="C6" s="12">
        <v>35.369</v>
      </c>
      <c r="D6" s="12">
        <v>20.468</v>
      </c>
      <c r="E6" s="12">
        <f t="shared" ref="E6" si="4">AVERAGE(D6:D8)</f>
        <v>20.553999999999998</v>
      </c>
      <c r="F6" s="12">
        <f>C6-E6</f>
        <v>14.815000000000001</v>
      </c>
      <c r="G6" s="12">
        <f t="shared" si="1"/>
        <v>3.4692900794556045E-5</v>
      </c>
      <c r="H6" s="12"/>
      <c r="I6" s="12">
        <v>8.0109550817554628E-5</v>
      </c>
      <c r="J6" s="12">
        <f t="shared" si="0"/>
        <v>0.4330682227087671</v>
      </c>
      <c r="K6" s="12">
        <f>AVERAGE(J6:J8)</f>
        <v>0.41549849051456184</v>
      </c>
      <c r="L6" s="90">
        <v>0</v>
      </c>
      <c r="M6" s="90">
        <v>0.62157464227614112</v>
      </c>
      <c r="N6" s="90">
        <v>1.4620569963674137</v>
      </c>
      <c r="O6" s="90">
        <v>0.91636836135644506</v>
      </c>
      <c r="P6" s="90">
        <v>0.93605565819479708</v>
      </c>
      <c r="Q6" s="90">
        <v>2.0023112066415045</v>
      </c>
      <c r="R6" s="90">
        <v>3.4789844260186507</v>
      </c>
      <c r="S6" s="90">
        <f>AVERAGE(M6:O6)</f>
        <v>1</v>
      </c>
      <c r="T6" s="90">
        <f>STDEV(M6:O6)</f>
        <v>0.42643678912748162</v>
      </c>
      <c r="U6" s="90">
        <f>T6/SQRT(3)</f>
        <v>0.24620339499511121</v>
      </c>
      <c r="V6" s="90">
        <f>AVERAGE(P6:R6)</f>
        <v>2.1391170969516509</v>
      </c>
      <c r="W6" s="90">
        <f>STDEV(P6:R6)</f>
        <v>1.2769724226756816</v>
      </c>
      <c r="X6" s="90">
        <f>W6/SQRT(3)</f>
        <v>0.73726037197953331</v>
      </c>
      <c r="Y6" s="94"/>
      <c r="AA6" s="12" t="s">
        <v>284</v>
      </c>
      <c r="AB6" s="12">
        <v>25.599</v>
      </c>
      <c r="AC6" s="12">
        <v>18.736999999999998</v>
      </c>
      <c r="AD6" s="12">
        <f t="shared" ref="AD6" si="5">AVERAGE(AC6:AC8)</f>
        <v>18.686666666666664</v>
      </c>
      <c r="AE6" s="12">
        <f>AB6-AD6</f>
        <v>6.9123333333333363</v>
      </c>
      <c r="AF6" s="12">
        <f t="shared" si="2"/>
        <v>8.3019540756278445E-3</v>
      </c>
      <c r="AG6" s="12"/>
      <c r="AH6" s="12">
        <v>8.9645839525141092E-3</v>
      </c>
      <c r="AI6" s="12">
        <f t="shared" si="3"/>
        <v>0.92608358844133187</v>
      </c>
      <c r="AJ6" s="12">
        <f t="shared" ref="AJ6" si="6">AVERAGE(AI6:AI8)</f>
        <v>0.99058252120976265</v>
      </c>
      <c r="AK6" s="107">
        <v>3</v>
      </c>
      <c r="AL6" s="107">
        <v>0.92608358844133187</v>
      </c>
      <c r="AM6" s="107">
        <v>1.000148567962561</v>
      </c>
      <c r="AN6" s="107">
        <v>1.0455154072253949</v>
      </c>
      <c r="AO6" s="107">
        <v>1.6364251960281746</v>
      </c>
      <c r="AP6" s="107">
        <v>1.6793244491188732</v>
      </c>
      <c r="AQ6" s="107">
        <v>1.6863231063728406</v>
      </c>
      <c r="AR6" s="90">
        <f t="shared" ref="AR6:AR10" si="7">AVERAGE(AL6:AN6)</f>
        <v>0.99058252120976265</v>
      </c>
      <c r="AS6" s="90">
        <f t="shared" ref="AS6:AS10" si="8">STDEV(AL6:AN6)</f>
        <v>6.02878244123543E-2</v>
      </c>
      <c r="AT6" s="90">
        <f t="shared" ref="AT6:AT10" si="9">AS6/SQRT(3)</f>
        <v>3.4807191653329649E-2</v>
      </c>
      <c r="AU6" s="90">
        <f t="shared" ref="AU6:AU10" si="10">AVERAGE(AO6:AQ6)</f>
        <v>1.6673575838399628</v>
      </c>
      <c r="AV6" s="90">
        <f t="shared" ref="AV6:AV10" si="11">STDEV(AO6:AQ6)</f>
        <v>2.7015824300653395E-2</v>
      </c>
      <c r="AW6" s="90">
        <f t="shared" ref="AW6:AW10" si="12">AV6/SQRT(3)</f>
        <v>1.5597593432361872E-2</v>
      </c>
      <c r="AX6" s="94"/>
    </row>
    <row r="7" spans="1:50">
      <c r="B7" s="12" t="s">
        <v>284</v>
      </c>
      <c r="C7" s="12">
        <v>35.408999999999999</v>
      </c>
      <c r="D7" s="12">
        <v>20.59</v>
      </c>
      <c r="E7" s="12"/>
      <c r="F7" s="12">
        <f t="shared" ref="F7" si="13">C7-E6</f>
        <v>14.855</v>
      </c>
      <c r="G7" s="12">
        <f t="shared" si="1"/>
        <v>3.3744221597908576E-5</v>
      </c>
      <c r="H7" s="12"/>
      <c r="I7" s="12">
        <v>8.0109550817554628E-5</v>
      </c>
      <c r="J7" s="12">
        <f t="shared" si="0"/>
        <v>0.42122594938472818</v>
      </c>
      <c r="K7" s="12"/>
      <c r="L7" s="90">
        <v>3</v>
      </c>
      <c r="M7" s="90">
        <v>0.4330682227087671</v>
      </c>
      <c r="N7" s="90">
        <v>0.42122594938472818</v>
      </c>
      <c r="O7" s="90">
        <v>0.39220129945019028</v>
      </c>
      <c r="P7" s="90">
        <v>2.4788418330572055</v>
      </c>
      <c r="Q7" s="90">
        <v>2.7965850776350933</v>
      </c>
      <c r="R7" s="90">
        <v>3.7676533171515412</v>
      </c>
      <c r="S7" s="90">
        <f t="shared" ref="S7:S11" si="14">AVERAGE(M7:O7)</f>
        <v>0.41549849051456184</v>
      </c>
      <c r="T7" s="90">
        <f t="shared" ref="T7:T11" si="15">STDEV(M7:O7)</f>
        <v>2.1026868359023107E-2</v>
      </c>
      <c r="U7" s="90">
        <f t="shared" ref="U7:U11" si="16">T7/SQRT(3)</f>
        <v>1.2139868107296815E-2</v>
      </c>
      <c r="V7" s="90">
        <f t="shared" ref="V7:V11" si="17">AVERAGE(P7:R7)</f>
        <v>3.0143600759479465</v>
      </c>
      <c r="W7" s="90">
        <f t="shared" ref="W7:W11" si="18">STDEV(P7:R7)</f>
        <v>0.67143743029487446</v>
      </c>
      <c r="X7" s="90">
        <f t="shared" ref="X7:X11" si="19">W7/SQRT(3)</f>
        <v>0.38765458112473639</v>
      </c>
      <c r="Y7" s="94"/>
      <c r="AA7" s="12" t="s">
        <v>284</v>
      </c>
      <c r="AB7" s="12">
        <v>25.488</v>
      </c>
      <c r="AC7" s="12">
        <v>18.704999999999998</v>
      </c>
      <c r="AD7" s="12"/>
      <c r="AE7" s="12">
        <f>AB7-AD6</f>
        <v>6.8013333333333357</v>
      </c>
      <c r="AF7" s="12">
        <f t="shared" si="2"/>
        <v>8.9659158024871424E-3</v>
      </c>
      <c r="AG7" s="12"/>
      <c r="AH7" s="12">
        <v>8.9645839525141092E-3</v>
      </c>
      <c r="AI7" s="12">
        <f t="shared" si="3"/>
        <v>1.000148567962561</v>
      </c>
      <c r="AJ7" s="12"/>
      <c r="AK7" s="107">
        <v>6</v>
      </c>
      <c r="AL7" s="107">
        <v>1.2330354878219425</v>
      </c>
      <c r="AM7" s="107">
        <v>1.2589441844934883</v>
      </c>
      <c r="AN7" s="107">
        <v>1.1649066285643255</v>
      </c>
      <c r="AO7" s="107">
        <v>1.7209609028977126</v>
      </c>
      <c r="AP7" s="107">
        <v>1.4282161353268585</v>
      </c>
      <c r="AQ7" s="107">
        <v>1.5488681337071259</v>
      </c>
      <c r="AR7" s="90">
        <f t="shared" si="7"/>
        <v>1.218962100293252</v>
      </c>
      <c r="AS7" s="90">
        <f t="shared" si="8"/>
        <v>4.8572735754558151E-2</v>
      </c>
      <c r="AT7" s="90">
        <f t="shared" si="9"/>
        <v>2.804348206317071E-2</v>
      </c>
      <c r="AU7" s="90">
        <f t="shared" si="10"/>
        <v>1.5660150573105656</v>
      </c>
      <c r="AV7" s="90">
        <f t="shared" si="11"/>
        <v>0.14712371486889869</v>
      </c>
      <c r="AW7" s="90">
        <f t="shared" si="12"/>
        <v>8.494191638373641E-2</v>
      </c>
      <c r="AX7" s="94"/>
    </row>
    <row r="8" spans="1:50">
      <c r="B8" s="12" t="s">
        <v>284</v>
      </c>
      <c r="C8" s="12">
        <v>35.512</v>
      </c>
      <c r="D8" s="12">
        <v>20.603999999999999</v>
      </c>
      <c r="E8" s="12"/>
      <c r="F8" s="12">
        <f t="shared" ref="F8" si="20">C8-E6</f>
        <v>14.958000000000002</v>
      </c>
      <c r="G8" s="12">
        <f t="shared" si="1"/>
        <v>3.1419069929015979E-5</v>
      </c>
      <c r="H8" s="12"/>
      <c r="I8" s="12">
        <v>8.0109550817554628E-5</v>
      </c>
      <c r="J8" s="12">
        <f t="shared" si="0"/>
        <v>0.39220129945019028</v>
      </c>
      <c r="K8" s="12"/>
      <c r="L8" s="90">
        <v>6</v>
      </c>
      <c r="M8" s="90">
        <v>2315.8609013034234</v>
      </c>
      <c r="N8" s="90">
        <v>2265.0589571497121</v>
      </c>
      <c r="O8" s="90">
        <v>2317.4666902174695</v>
      </c>
      <c r="P8" s="90">
        <v>95.648220349045758</v>
      </c>
      <c r="Q8" s="90">
        <v>112.49103505841505</v>
      </c>
      <c r="R8" s="90">
        <v>103.65646007475249</v>
      </c>
      <c r="S8" s="90">
        <f t="shared" si="14"/>
        <v>2299.4621828902013</v>
      </c>
      <c r="T8" s="90">
        <f t="shared" si="15"/>
        <v>29.804883752875632</v>
      </c>
      <c r="U8" s="90">
        <f t="shared" si="16"/>
        <v>17.207857657888251</v>
      </c>
      <c r="V8" s="90">
        <f t="shared" si="17"/>
        <v>103.93190516073776</v>
      </c>
      <c r="W8" s="90">
        <f t="shared" si="18"/>
        <v>8.4247851207067423</v>
      </c>
      <c r="X8" s="90">
        <f t="shared" si="19"/>
        <v>4.8640519573047918</v>
      </c>
      <c r="Y8" s="94"/>
      <c r="AA8" s="12" t="s">
        <v>284</v>
      </c>
      <c r="AB8" s="12">
        <v>25.423999999999999</v>
      </c>
      <c r="AC8" s="12">
        <v>18.617999999999999</v>
      </c>
      <c r="AD8" s="12"/>
      <c r="AE8" s="12">
        <f>AB8-AD6</f>
        <v>6.7373333333333356</v>
      </c>
      <c r="AF8" s="12">
        <f t="shared" si="2"/>
        <v>9.3726106417190303E-3</v>
      </c>
      <c r="AG8" s="12"/>
      <c r="AH8" s="12">
        <v>8.9645839525141092E-3</v>
      </c>
      <c r="AI8" s="12">
        <f t="shared" si="3"/>
        <v>1.0455154072253949</v>
      </c>
      <c r="AJ8" s="12"/>
      <c r="AK8" s="107">
        <v>9</v>
      </c>
      <c r="AL8" s="107">
        <v>1.4059523068341637</v>
      </c>
      <c r="AM8" s="107">
        <v>1.5427963690023354</v>
      </c>
      <c r="AN8" s="107">
        <v>1.4871474073553868</v>
      </c>
      <c r="AO8" s="107">
        <v>1.4144236692006831</v>
      </c>
      <c r="AP8" s="107">
        <v>1.5054703788534813</v>
      </c>
      <c r="AQ8" s="107">
        <v>1.3344213924956903</v>
      </c>
      <c r="AR8" s="90">
        <f t="shared" si="7"/>
        <v>1.4786320277306286</v>
      </c>
      <c r="AS8" s="90">
        <f t="shared" si="8"/>
        <v>6.8818297750575894E-2</v>
      </c>
      <c r="AT8" s="90">
        <f t="shared" si="9"/>
        <v>3.9732262731466815E-2</v>
      </c>
      <c r="AU8" s="90">
        <f t="shared" si="10"/>
        <v>1.4181051468499515</v>
      </c>
      <c r="AV8" s="90">
        <f t="shared" si="11"/>
        <v>8.5583899722836296E-2</v>
      </c>
      <c r="AW8" s="90">
        <f t="shared" si="12"/>
        <v>4.9411887543277473E-2</v>
      </c>
      <c r="AX8" s="94"/>
    </row>
    <row r="9" spans="1:50">
      <c r="B9" s="12" t="s">
        <v>285</v>
      </c>
      <c r="C9" s="12">
        <v>23.212</v>
      </c>
      <c r="D9" s="12">
        <v>20.824999999999999</v>
      </c>
      <c r="E9" s="12">
        <f t="shared" ref="E9" si="21">AVERAGE(D9:D11)</f>
        <v>20.781666666666666</v>
      </c>
      <c r="F9" s="12">
        <f t="shared" ref="F9" si="22">C9-E9</f>
        <v>2.4303333333333335</v>
      </c>
      <c r="G9" s="12">
        <f t="shared" si="1"/>
        <v>0.18552257655935447</v>
      </c>
      <c r="H9" s="12"/>
      <c r="I9" s="12">
        <v>8.0109550817554628E-5</v>
      </c>
      <c r="J9" s="12">
        <f t="shared" si="0"/>
        <v>2315.8609013034234</v>
      </c>
      <c r="K9" s="12">
        <f t="shared" ref="K9" si="23">AVERAGE(J9:J11)</f>
        <v>2299.4621828902013</v>
      </c>
      <c r="L9" s="90">
        <v>9</v>
      </c>
      <c r="M9" s="90">
        <v>6776.5388717028227</v>
      </c>
      <c r="N9" s="90">
        <v>7272.9900502001437</v>
      </c>
      <c r="O9" s="90">
        <v>7005.7941709454872</v>
      </c>
      <c r="P9" s="90">
        <v>285.2993969654251</v>
      </c>
      <c r="Q9" s="90">
        <v>321.20106970522505</v>
      </c>
      <c r="R9" s="90">
        <v>263.2578767085019</v>
      </c>
      <c r="S9" s="90">
        <f t="shared" si="14"/>
        <v>7018.4410309494842</v>
      </c>
      <c r="T9" s="90">
        <f t="shared" si="15"/>
        <v>248.46710136115658</v>
      </c>
      <c r="U9" s="90">
        <f t="shared" si="16"/>
        <v>143.4525478556298</v>
      </c>
      <c r="V9" s="90">
        <f t="shared" si="17"/>
        <v>289.91944779305072</v>
      </c>
      <c r="W9" s="90">
        <f t="shared" si="18"/>
        <v>29.24657340443936</v>
      </c>
      <c r="X9" s="90">
        <f t="shared" si="19"/>
        <v>16.885517027927214</v>
      </c>
      <c r="Y9" s="94"/>
      <c r="AA9" s="12" t="s">
        <v>285</v>
      </c>
      <c r="AB9" s="12">
        <v>23.727</v>
      </c>
      <c r="AC9" s="12">
        <v>17.158999999999999</v>
      </c>
      <c r="AD9" s="12">
        <f t="shared" ref="AD9" si="24">AVERAGE(AC9:AC11)</f>
        <v>17.227666666666668</v>
      </c>
      <c r="AE9" s="12">
        <f t="shared" ref="AE9" si="25">AB9-AD9</f>
        <v>6.4993333333333325</v>
      </c>
      <c r="AF9" s="12">
        <f t="shared" si="2"/>
        <v>1.1053650147008992E-2</v>
      </c>
      <c r="AG9" s="12"/>
      <c r="AH9" s="12">
        <v>8.9645839525141092E-3</v>
      </c>
      <c r="AI9" s="12">
        <f t="shared" si="3"/>
        <v>1.2330354878219425</v>
      </c>
      <c r="AJ9" s="12">
        <f t="shared" ref="AJ9" si="26">AVERAGE(AI9:AI11)</f>
        <v>1.218962100293252</v>
      </c>
      <c r="AK9" s="107">
        <v>12</v>
      </c>
      <c r="AL9" s="107">
        <v>1.3615163641641705</v>
      </c>
      <c r="AM9" s="107">
        <v>1.4734665632235142</v>
      </c>
      <c r="AN9" s="107">
        <v>1.398823872280281</v>
      </c>
      <c r="AO9" s="107">
        <v>2.3683478455839202</v>
      </c>
      <c r="AP9" s="107">
        <v>2.3798670642059023</v>
      </c>
      <c r="AQ9" s="107">
        <v>2.3003940144655437</v>
      </c>
      <c r="AR9" s="90">
        <f t="shared" si="7"/>
        <v>1.4112689332226553</v>
      </c>
      <c r="AS9" s="90">
        <f t="shared" si="8"/>
        <v>5.7003258009970137E-2</v>
      </c>
      <c r="AT9" s="90">
        <f t="shared" si="9"/>
        <v>3.2910846356741949E-2</v>
      </c>
      <c r="AU9" s="90">
        <f t="shared" si="10"/>
        <v>2.3495363080851224</v>
      </c>
      <c r="AV9" s="90">
        <f t="shared" si="11"/>
        <v>4.2946441832355506E-2</v>
      </c>
      <c r="AW9" s="90">
        <f t="shared" si="12"/>
        <v>2.4795139752647057E-2</v>
      </c>
      <c r="AX9" s="94"/>
    </row>
    <row r="10" spans="1:50">
      <c r="B10" s="12" t="s">
        <v>285</v>
      </c>
      <c r="C10" s="12">
        <v>23.244</v>
      </c>
      <c r="D10" s="12">
        <v>20.751000000000001</v>
      </c>
      <c r="E10" s="12"/>
      <c r="F10" s="12">
        <f t="shared" ref="F10" si="27">C10-E9</f>
        <v>2.4623333333333335</v>
      </c>
      <c r="G10" s="12">
        <f t="shared" si="1"/>
        <v>0.18145285563254215</v>
      </c>
      <c r="H10" s="12"/>
      <c r="I10" s="12">
        <v>8.0109550817554628E-5</v>
      </c>
      <c r="J10" s="12">
        <f t="shared" si="0"/>
        <v>2265.0589571497121</v>
      </c>
      <c r="K10" s="12"/>
      <c r="L10" s="90">
        <v>12</v>
      </c>
      <c r="M10" s="90">
        <v>23668.263158477243</v>
      </c>
      <c r="N10" s="90">
        <v>23849.414374024971</v>
      </c>
      <c r="O10" s="90">
        <v>25174.33800599047</v>
      </c>
      <c r="P10" s="90">
        <v>424.41530934003157</v>
      </c>
      <c r="Q10" s="90">
        <v>409.95816584341264</v>
      </c>
      <c r="R10" s="90">
        <v>388.65139579423692</v>
      </c>
      <c r="S10" s="90">
        <f t="shared" si="14"/>
        <v>24230.67184616423</v>
      </c>
      <c r="T10" s="90">
        <f t="shared" si="15"/>
        <v>822.24285136722858</v>
      </c>
      <c r="U10" s="90">
        <f t="shared" si="16"/>
        <v>474.72213157611492</v>
      </c>
      <c r="V10" s="90">
        <f t="shared" si="17"/>
        <v>407.67495699256034</v>
      </c>
      <c r="W10" s="90">
        <f t="shared" si="18"/>
        <v>17.990946612677895</v>
      </c>
      <c r="X10" s="90">
        <f t="shared" si="19"/>
        <v>10.387077869805768</v>
      </c>
      <c r="Y10" s="94"/>
      <c r="AA10" s="12" t="s">
        <v>285</v>
      </c>
      <c r="AB10" s="12">
        <v>23.696999999999999</v>
      </c>
      <c r="AC10" s="12">
        <v>17.259</v>
      </c>
      <c r="AD10" s="12"/>
      <c r="AE10" s="12">
        <f t="shared" ref="AE10" si="28">AB10-AD9</f>
        <v>6.4693333333333314</v>
      </c>
      <c r="AF10" s="12">
        <f t="shared" si="2"/>
        <v>1.1285910833421287E-2</v>
      </c>
      <c r="AG10" s="12"/>
      <c r="AH10" s="12">
        <v>8.9645839525141092E-3</v>
      </c>
      <c r="AI10" s="12">
        <f t="shared" si="3"/>
        <v>1.2589441844934883</v>
      </c>
      <c r="AJ10" s="12"/>
      <c r="AK10" s="107">
        <v>24</v>
      </c>
      <c r="AL10" s="107">
        <v>1.2540089594098567</v>
      </c>
      <c r="AM10" s="107">
        <v>1.2522717382887742</v>
      </c>
      <c r="AN10" s="107">
        <v>1.1871873755662785</v>
      </c>
      <c r="AO10" s="107">
        <v>1.620247628395584</v>
      </c>
      <c r="AP10" s="107">
        <v>1.7209609028977095</v>
      </c>
      <c r="AQ10" s="107">
        <v>1.7461945723003212</v>
      </c>
      <c r="AR10" s="90">
        <f t="shared" si="7"/>
        <v>1.2311560244216364</v>
      </c>
      <c r="AS10" s="90">
        <f t="shared" si="8"/>
        <v>3.8087872688432105E-2</v>
      </c>
      <c r="AT10" s="90">
        <f t="shared" si="9"/>
        <v>2.1990043549526474E-2</v>
      </c>
      <c r="AU10" s="90">
        <f t="shared" si="10"/>
        <v>1.6958010345312049</v>
      </c>
      <c r="AV10" s="90">
        <f t="shared" si="11"/>
        <v>6.6636494519899767E-2</v>
      </c>
      <c r="AW10" s="90">
        <f t="shared" si="12"/>
        <v>3.8472598048917152E-2</v>
      </c>
      <c r="AX10" s="94">
        <v>1.52E-2</v>
      </c>
    </row>
    <row r="11" spans="1:50">
      <c r="B11" s="12" t="s">
        <v>285</v>
      </c>
      <c r="C11" s="12">
        <v>23.210999999999999</v>
      </c>
      <c r="D11" s="12">
        <v>20.768999999999998</v>
      </c>
      <c r="E11" s="12"/>
      <c r="F11" s="12">
        <f t="shared" ref="F11" si="29">C11-E9</f>
        <v>2.4293333333333322</v>
      </c>
      <c r="G11" s="12">
        <f t="shared" si="1"/>
        <v>0.18565121558796652</v>
      </c>
      <c r="H11" s="12"/>
      <c r="I11" s="12">
        <v>8.0109550817554628E-5</v>
      </c>
      <c r="J11" s="12">
        <f t="shared" si="0"/>
        <v>2317.4666902174695</v>
      </c>
      <c r="K11" s="12"/>
      <c r="L11" s="90">
        <v>24</v>
      </c>
      <c r="M11" s="90">
        <v>31593.340942919858</v>
      </c>
      <c r="N11" s="90">
        <v>29682.662539547666</v>
      </c>
      <c r="O11" s="90">
        <v>28911.040015247982</v>
      </c>
      <c r="P11" s="90">
        <v>935.33080123626837</v>
      </c>
      <c r="Q11" s="90">
        <v>1064.0372092765574</v>
      </c>
      <c r="R11" s="90">
        <v>919.26237790883954</v>
      </c>
      <c r="S11" s="90">
        <f t="shared" si="14"/>
        <v>30062.347832571835</v>
      </c>
      <c r="T11" s="90">
        <f t="shared" si="15"/>
        <v>1380.8711952790852</v>
      </c>
      <c r="U11" s="90">
        <f t="shared" si="16"/>
        <v>797.24635631058015</v>
      </c>
      <c r="V11" s="90">
        <f t="shared" si="17"/>
        <v>972.87679614055514</v>
      </c>
      <c r="W11" s="90">
        <f t="shared" si="18"/>
        <v>79.354988812313053</v>
      </c>
      <c r="X11" s="90">
        <f t="shared" si="19"/>
        <v>45.815624152328688</v>
      </c>
      <c r="Y11" s="94" t="s">
        <v>666</v>
      </c>
      <c r="AA11" s="12" t="s">
        <v>285</v>
      </c>
      <c r="AB11" s="12">
        <v>23.809000000000001</v>
      </c>
      <c r="AC11" s="12">
        <v>17.265000000000001</v>
      </c>
      <c r="AD11" s="12"/>
      <c r="AE11" s="12">
        <f t="shared" ref="AE11" si="30">AB11-AD9</f>
        <v>6.5813333333333333</v>
      </c>
      <c r="AF11" s="12">
        <f t="shared" si="2"/>
        <v>1.0442903268605065E-2</v>
      </c>
      <c r="AG11" s="12"/>
      <c r="AH11" s="12">
        <v>8.9645839525141092E-3</v>
      </c>
      <c r="AI11" s="12">
        <f t="shared" si="3"/>
        <v>1.1649066285643255</v>
      </c>
      <c r="AJ11" s="12"/>
      <c r="AK11" s="90"/>
      <c r="AL11" s="90"/>
      <c r="AM11" s="90"/>
      <c r="AN11" s="90"/>
      <c r="AO11" s="90"/>
      <c r="AP11" s="90"/>
      <c r="AQ11" s="90"/>
      <c r="AR11" s="90"/>
      <c r="AS11" s="90"/>
      <c r="AT11" s="90"/>
      <c r="AU11" s="90"/>
      <c r="AV11" s="90"/>
      <c r="AW11" s="90"/>
      <c r="AX11" s="90"/>
    </row>
    <row r="12" spans="1:50">
      <c r="B12" s="12" t="s">
        <v>286</v>
      </c>
      <c r="C12" s="12">
        <v>20.126000000000001</v>
      </c>
      <c r="D12" s="12">
        <v>19.265999999999998</v>
      </c>
      <c r="E12" s="12">
        <f t="shared" ref="E12" si="31">AVERAGE(D12:D14)</f>
        <v>19.244666666666664</v>
      </c>
      <c r="F12" s="12">
        <f t="shared" ref="F12" si="32">C12-E12</f>
        <v>0.88133333333333752</v>
      </c>
      <c r="G12" s="12">
        <f t="shared" si="1"/>
        <v>0.54286548510981159</v>
      </c>
      <c r="H12" s="12"/>
      <c r="I12" s="12">
        <v>8.0109550817554628E-5</v>
      </c>
      <c r="J12" s="12">
        <f t="shared" si="0"/>
        <v>6776.5388717028227</v>
      </c>
      <c r="K12" s="12">
        <f t="shared" ref="K12" si="33">AVERAGE(J12:J14)</f>
        <v>7018.4410309494842</v>
      </c>
      <c r="L12" s="90"/>
      <c r="M12" s="90"/>
      <c r="N12" s="90"/>
      <c r="O12" s="90"/>
      <c r="P12" s="90"/>
      <c r="Q12" s="90"/>
      <c r="R12" s="90"/>
      <c r="S12" s="90"/>
      <c r="T12" s="90"/>
      <c r="U12" s="90"/>
      <c r="V12" s="90"/>
      <c r="W12" s="90"/>
      <c r="X12" s="90"/>
      <c r="Y12" s="90"/>
      <c r="AA12" s="12" t="s">
        <v>286</v>
      </c>
      <c r="AB12" s="12">
        <v>23.960999999999999</v>
      </c>
      <c r="AC12" s="12">
        <v>17.635000000000002</v>
      </c>
      <c r="AD12" s="12">
        <f t="shared" ref="AD12" si="34">AVERAGE(AC12:AC14)</f>
        <v>17.651</v>
      </c>
      <c r="AE12" s="12">
        <f t="shared" ref="AE12" si="35">AB12-AD12</f>
        <v>6.3099999999999987</v>
      </c>
      <c r="AF12" s="12">
        <f t="shared" si="2"/>
        <v>1.2603777487845736E-2</v>
      </c>
      <c r="AG12" s="12"/>
      <c r="AH12" s="12">
        <v>8.9645839525141092E-3</v>
      </c>
      <c r="AI12" s="12">
        <f t="shared" si="3"/>
        <v>1.4059523068341637</v>
      </c>
      <c r="AJ12" s="12">
        <f t="shared" ref="AJ12" si="36">AVERAGE(AI12:AI14)</f>
        <v>1.4786320277306286</v>
      </c>
    </row>
    <row r="13" spans="1:50">
      <c r="B13" s="12" t="s">
        <v>286</v>
      </c>
      <c r="C13" s="12">
        <v>20.024000000000001</v>
      </c>
      <c r="D13" s="12">
        <v>19.268999999999998</v>
      </c>
      <c r="E13" s="12"/>
      <c r="F13" s="12">
        <f t="shared" ref="F13" si="37">C13-E12</f>
        <v>0.77933333333333721</v>
      </c>
      <c r="G13" s="12">
        <f t="shared" si="1"/>
        <v>0.58263596602207757</v>
      </c>
      <c r="H13" s="12"/>
      <c r="I13" s="12">
        <v>8.0109550817554628E-5</v>
      </c>
      <c r="J13" s="12">
        <f t="shared" si="0"/>
        <v>7272.9900502001437</v>
      </c>
      <c r="K13" s="12"/>
      <c r="AA13" s="12" t="s">
        <v>286</v>
      </c>
      <c r="AB13" s="12">
        <v>23.827000000000002</v>
      </c>
      <c r="AC13" s="12">
        <v>17.632000000000001</v>
      </c>
      <c r="AD13" s="12"/>
      <c r="AE13" s="12">
        <f t="shared" ref="AE13" si="38">AB13-AD12</f>
        <v>6.1760000000000019</v>
      </c>
      <c r="AF13" s="12">
        <f t="shared" si="2"/>
        <v>1.3830527571555371E-2</v>
      </c>
      <c r="AG13" s="12"/>
      <c r="AH13" s="12">
        <v>8.9645839525141092E-3</v>
      </c>
      <c r="AI13" s="12">
        <f t="shared" si="3"/>
        <v>1.5427963690023354</v>
      </c>
      <c r="AJ13" s="12"/>
    </row>
    <row r="14" spans="1:50">
      <c r="B14" s="12" t="s">
        <v>286</v>
      </c>
      <c r="C14" s="12">
        <v>20.077999999999999</v>
      </c>
      <c r="D14" s="12">
        <v>19.199000000000002</v>
      </c>
      <c r="E14" s="12"/>
      <c r="F14" s="12">
        <f t="shared" ref="F14" si="39">C14-E12</f>
        <v>0.8333333333333357</v>
      </c>
      <c r="G14" s="12">
        <f t="shared" si="1"/>
        <v>0.56123102415468551</v>
      </c>
      <c r="H14" s="12"/>
      <c r="I14" s="12">
        <v>8.0109550817554628E-5</v>
      </c>
      <c r="J14" s="12">
        <f t="shared" si="0"/>
        <v>7005.7941709454872</v>
      </c>
      <c r="K14" s="12"/>
      <c r="AA14" s="12" t="s">
        <v>286</v>
      </c>
      <c r="AB14" s="12">
        <v>23.88</v>
      </c>
      <c r="AC14" s="12">
        <v>17.686</v>
      </c>
      <c r="AD14" s="12"/>
      <c r="AE14" s="12">
        <f t="shared" ref="AE14" si="40">AB14-AD12</f>
        <v>6.2289999999999992</v>
      </c>
      <c r="AF14" s="12">
        <f t="shared" si="2"/>
        <v>1.3331657783001064E-2</v>
      </c>
      <c r="AG14" s="12"/>
      <c r="AH14" s="12">
        <v>8.9645839525141092E-3</v>
      </c>
      <c r="AI14" s="12">
        <f t="shared" si="3"/>
        <v>1.4871474073553868</v>
      </c>
      <c r="AJ14" s="12"/>
    </row>
    <row r="15" spans="1:50">
      <c r="B15" s="12" t="s">
        <v>287</v>
      </c>
      <c r="C15" s="12">
        <v>18.358000000000001</v>
      </c>
      <c r="D15" s="12">
        <v>19.213999999999999</v>
      </c>
      <c r="E15" s="12">
        <f t="shared" ref="E15" si="41">AVERAGE(D15:D17)</f>
        <v>19.280999999999999</v>
      </c>
      <c r="F15" s="12">
        <f t="shared" ref="F15" si="42">C15-E15</f>
        <v>-0.92299999999999827</v>
      </c>
      <c r="G15" s="12">
        <f t="shared" si="1"/>
        <v>1.8960539302572885</v>
      </c>
      <c r="H15" s="12"/>
      <c r="I15" s="12">
        <v>8.0109550817554628E-5</v>
      </c>
      <c r="J15" s="12">
        <f t="shared" si="0"/>
        <v>23668.263158477243</v>
      </c>
      <c r="K15" s="12">
        <f t="shared" ref="K15" si="43">AVERAGE(J15:J17)</f>
        <v>24230.67184616423</v>
      </c>
      <c r="AA15" s="12" t="s">
        <v>287</v>
      </c>
      <c r="AB15" s="12">
        <v>23.731999999999999</v>
      </c>
      <c r="AC15" s="12">
        <v>17.346</v>
      </c>
      <c r="AD15" s="12">
        <f t="shared" ref="AD15" si="44">AVERAGE(AC15:AC17)</f>
        <v>17.375666666666667</v>
      </c>
      <c r="AE15" s="12">
        <f t="shared" ref="AE15" si="45">AB15-AD15</f>
        <v>6.3563333333333318</v>
      </c>
      <c r="AF15" s="12">
        <f t="shared" si="2"/>
        <v>1.220542774927148E-2</v>
      </c>
      <c r="AG15" s="12"/>
      <c r="AH15" s="12">
        <v>8.9645839525141092E-3</v>
      </c>
      <c r="AI15" s="12">
        <f t="shared" si="3"/>
        <v>1.3615163641641705</v>
      </c>
      <c r="AJ15" s="12">
        <f t="shared" ref="AJ15" si="46">AVERAGE(AI15:AI17)</f>
        <v>1.4112689332226553</v>
      </c>
    </row>
    <row r="16" spans="1:50">
      <c r="B16" s="12" t="s">
        <v>287</v>
      </c>
      <c r="C16" s="12">
        <v>18.347000000000001</v>
      </c>
      <c r="D16" s="12">
        <v>19.306000000000001</v>
      </c>
      <c r="E16" s="12"/>
      <c r="F16" s="12">
        <f t="shared" ref="F16" si="47">C16-E15</f>
        <v>-0.9339999999999975</v>
      </c>
      <c r="G16" s="12">
        <f t="shared" si="1"/>
        <v>1.9105658727648713</v>
      </c>
      <c r="H16" s="12"/>
      <c r="I16" s="12">
        <v>8.0109550817554628E-5</v>
      </c>
      <c r="J16" s="12">
        <f t="shared" si="0"/>
        <v>23849.414374024971</v>
      </c>
      <c r="K16" s="12"/>
      <c r="AA16" s="12" t="s">
        <v>287</v>
      </c>
      <c r="AB16" s="12">
        <v>23.617999999999999</v>
      </c>
      <c r="AC16" s="12">
        <v>17.361000000000001</v>
      </c>
      <c r="AD16" s="12"/>
      <c r="AE16" s="12">
        <f t="shared" ref="AE16" si="48">AB16-AD15</f>
        <v>6.2423333333333311</v>
      </c>
      <c r="AF16" s="12">
        <f t="shared" si="2"/>
        <v>1.3209014707239631E-2</v>
      </c>
      <c r="AG16" s="12"/>
      <c r="AH16" s="12">
        <v>8.9645839525141092E-3</v>
      </c>
      <c r="AI16" s="12">
        <f t="shared" si="3"/>
        <v>1.4734665632235142</v>
      </c>
      <c r="AJ16" s="12"/>
    </row>
    <row r="17" spans="2:36">
      <c r="B17" s="12" t="s">
        <v>287</v>
      </c>
      <c r="C17" s="12">
        <v>18.268999999999998</v>
      </c>
      <c r="D17" s="12">
        <v>19.323</v>
      </c>
      <c r="E17" s="12"/>
      <c r="F17" s="12">
        <f t="shared" ref="F17" si="49">C17-E15</f>
        <v>-1.0120000000000005</v>
      </c>
      <c r="G17" s="12">
        <f t="shared" si="1"/>
        <v>2.0167049097891905</v>
      </c>
      <c r="H17" s="12"/>
      <c r="I17" s="12">
        <v>8.0109550817554628E-5</v>
      </c>
      <c r="J17" s="12">
        <f t="shared" si="0"/>
        <v>25174.33800599047</v>
      </c>
      <c r="K17" s="12"/>
      <c r="AA17" s="12" t="s">
        <v>287</v>
      </c>
      <c r="AB17" s="12">
        <v>23.693000000000001</v>
      </c>
      <c r="AC17" s="12">
        <v>17.420000000000002</v>
      </c>
      <c r="AD17" s="12"/>
      <c r="AE17" s="12">
        <f t="shared" ref="AE17" si="50">AB17-AD15</f>
        <v>6.3173333333333339</v>
      </c>
      <c r="AF17" s="12">
        <f t="shared" si="2"/>
        <v>1.2539874037837453E-2</v>
      </c>
      <c r="AG17" s="12"/>
      <c r="AH17" s="12">
        <v>8.9645839525141092E-3</v>
      </c>
      <c r="AI17" s="12">
        <f t="shared" si="3"/>
        <v>1.398823872280281</v>
      </c>
      <c r="AJ17" s="12"/>
    </row>
    <row r="18" spans="2:36">
      <c r="B18" s="13" t="s">
        <v>288</v>
      </c>
      <c r="C18" s="12">
        <v>19.088999999999999</v>
      </c>
      <c r="D18" s="12">
        <v>20.411000000000001</v>
      </c>
      <c r="E18" s="12">
        <f t="shared" ref="E18" si="51">AVERAGE(D18:D20)</f>
        <v>20.428666666666668</v>
      </c>
      <c r="F18" s="12">
        <f t="shared" ref="F18" si="52">C18-E18</f>
        <v>-1.3396666666666697</v>
      </c>
      <c r="G18" s="12">
        <f t="shared" si="1"/>
        <v>2.5309283517631678</v>
      </c>
      <c r="H18" s="12"/>
      <c r="I18" s="12">
        <v>8.0109550817554628E-5</v>
      </c>
      <c r="J18" s="12">
        <f t="shared" si="0"/>
        <v>31593.340942919858</v>
      </c>
      <c r="K18" s="12">
        <f t="shared" ref="K18" si="53">AVERAGE(J18:J20)</f>
        <v>30062.347832571835</v>
      </c>
      <c r="AA18" s="13" t="s">
        <v>288</v>
      </c>
      <c r="AB18" s="12">
        <v>24.341000000000001</v>
      </c>
      <c r="AC18" s="12">
        <v>17.856999999999999</v>
      </c>
      <c r="AD18" s="12">
        <f t="shared" ref="AD18" si="54">AVERAGE(AC18:AC20)</f>
        <v>17.866</v>
      </c>
      <c r="AE18" s="12">
        <f t="shared" ref="AE18" si="55">AB18-AD18</f>
        <v>6.4750000000000014</v>
      </c>
      <c r="AF18" s="12">
        <f t="shared" si="2"/>
        <v>1.1241668593834518E-2</v>
      </c>
      <c r="AG18" s="12"/>
      <c r="AH18" s="12">
        <v>8.9645839525141092E-3</v>
      </c>
      <c r="AI18" s="12">
        <f t="shared" si="3"/>
        <v>1.2540089594098567</v>
      </c>
      <c r="AJ18" s="12">
        <f t="shared" ref="AJ18" si="56">AVERAGE(AI18:AI20)</f>
        <v>1.2311560244216364</v>
      </c>
    </row>
    <row r="19" spans="2:36">
      <c r="B19" s="13" t="s">
        <v>288</v>
      </c>
      <c r="C19" s="12">
        <v>19.178999999999998</v>
      </c>
      <c r="D19" s="12">
        <v>20.433</v>
      </c>
      <c r="E19" s="12"/>
      <c r="F19" s="12">
        <f t="shared" ref="F19" si="57">C19-E18</f>
        <v>-1.2496666666666698</v>
      </c>
      <c r="G19" s="12">
        <f t="shared" si="1"/>
        <v>2.3778647631122189</v>
      </c>
      <c r="H19" s="12"/>
      <c r="I19" s="12">
        <v>8.0109550817554628E-5</v>
      </c>
      <c r="J19" s="12">
        <f t="shared" si="0"/>
        <v>29682.662539547666</v>
      </c>
      <c r="K19" s="12"/>
      <c r="AA19" s="13" t="s">
        <v>288</v>
      </c>
      <c r="AB19" s="12">
        <v>24.343</v>
      </c>
      <c r="AC19" s="12">
        <v>17.913</v>
      </c>
      <c r="AD19" s="12"/>
      <c r="AE19" s="12">
        <f t="shared" ref="AE19" si="58">AB19-AD18</f>
        <v>6.4770000000000003</v>
      </c>
      <c r="AF19" s="12">
        <f t="shared" si="2"/>
        <v>1.1226095129250494E-2</v>
      </c>
      <c r="AG19" s="12"/>
      <c r="AH19" s="12">
        <v>8.9645839525141092E-3</v>
      </c>
      <c r="AI19" s="12">
        <f t="shared" si="3"/>
        <v>1.2522717382887742</v>
      </c>
      <c r="AJ19" s="12"/>
    </row>
    <row r="20" spans="2:36">
      <c r="B20" s="13" t="s">
        <v>288</v>
      </c>
      <c r="C20" s="12">
        <v>19.216999999999999</v>
      </c>
      <c r="D20" s="12">
        <v>20.442</v>
      </c>
      <c r="E20" s="12"/>
      <c r="F20" s="12">
        <f t="shared" ref="F20" si="59">C20-E18</f>
        <v>-1.2116666666666696</v>
      </c>
      <c r="G20" s="12">
        <f t="shared" si="1"/>
        <v>2.3160504292898634</v>
      </c>
      <c r="H20" s="12"/>
      <c r="I20" s="12">
        <v>8.0109550817554628E-5</v>
      </c>
      <c r="J20" s="12">
        <f t="shared" si="0"/>
        <v>28911.040015247982</v>
      </c>
      <c r="K20" s="12"/>
      <c r="AA20" s="13" t="s">
        <v>288</v>
      </c>
      <c r="AB20" s="12">
        <v>24.42</v>
      </c>
      <c r="AC20" s="12">
        <v>17.827999999999999</v>
      </c>
      <c r="AD20" s="12"/>
      <c r="AE20" s="12">
        <f t="shared" ref="AE20" si="60">AB20-AD18</f>
        <v>6.554000000000002</v>
      </c>
      <c r="AF20" s="12">
        <f t="shared" si="2"/>
        <v>1.06426408956288E-2</v>
      </c>
      <c r="AG20" s="12"/>
      <c r="AH20" s="12">
        <v>8.9645839525141092E-3</v>
      </c>
      <c r="AI20" s="12">
        <f t="shared" si="3"/>
        <v>1.1871873755662785</v>
      </c>
      <c r="AJ20" s="12"/>
    </row>
    <row r="21" spans="2:36">
      <c r="B21" s="12" t="s">
        <v>289</v>
      </c>
      <c r="C21" s="12">
        <v>37.264000000000003</v>
      </c>
      <c r="D21" s="12">
        <v>23.492999999999999</v>
      </c>
      <c r="E21" s="12">
        <f t="shared" ref="E21" si="61">AVERAGE(D21:D23)</f>
        <v>23.560999999999996</v>
      </c>
      <c r="F21" s="12">
        <f>C21-E21</f>
        <v>13.703000000000007</v>
      </c>
      <c r="G21" s="12">
        <f t="shared" si="1"/>
        <v>7.4986998318215642E-5</v>
      </c>
      <c r="H21" s="12"/>
      <c r="I21" s="12">
        <v>8.0109550817554628E-5</v>
      </c>
      <c r="J21" s="12">
        <f t="shared" si="0"/>
        <v>0.93605565819479708</v>
      </c>
      <c r="K21" s="12">
        <f>AVERAGE(J21:J23)</f>
        <v>2.1391170969516509</v>
      </c>
      <c r="AA21" s="12" t="s">
        <v>289</v>
      </c>
      <c r="AB21" s="12">
        <v>25.332000000000001</v>
      </c>
      <c r="AC21" s="12">
        <v>18.992999999999999</v>
      </c>
      <c r="AD21" s="12">
        <f t="shared" ref="AD21" si="62">AVERAGE(AC21:AC23)</f>
        <v>19.041666666666668</v>
      </c>
      <c r="AE21" s="12">
        <f t="shared" ref="AE21" si="63">AB21-AD21</f>
        <v>6.2903333333333329</v>
      </c>
      <c r="AF21" s="12">
        <f t="shared" si="2"/>
        <v>1.2776767263835189E-2</v>
      </c>
      <c r="AG21" s="12"/>
      <c r="AH21" s="12">
        <v>8.9645839525141092E-3</v>
      </c>
      <c r="AI21" s="12">
        <f t="shared" si="3"/>
        <v>1.4252493290836947</v>
      </c>
      <c r="AJ21" s="12">
        <f t="shared" ref="AJ21" si="64">AVERAGE(AI21:AI23)</f>
        <v>1.4645519830273841</v>
      </c>
    </row>
    <row r="22" spans="2:36">
      <c r="B22" s="12" t="s">
        <v>289</v>
      </c>
      <c r="C22" s="12">
        <v>36.167000000000002</v>
      </c>
      <c r="D22" s="12">
        <v>23.818000000000001</v>
      </c>
      <c r="E22" s="12"/>
      <c r="F22" s="12">
        <f>C22-E21</f>
        <v>12.606000000000005</v>
      </c>
      <c r="G22" s="12">
        <f t="shared" si="1"/>
        <v>1.6040425136100675E-4</v>
      </c>
      <c r="H22" s="12"/>
      <c r="I22" s="12">
        <v>8.0109550817554628E-5</v>
      </c>
      <c r="J22" s="12">
        <f t="shared" si="0"/>
        <v>2.0023112066415045</v>
      </c>
      <c r="K22" s="12"/>
      <c r="AA22" s="12" t="s">
        <v>289</v>
      </c>
      <c r="AB22" s="12">
        <v>25.236999999999998</v>
      </c>
      <c r="AC22" s="12">
        <v>19.074000000000002</v>
      </c>
      <c r="AD22" s="12"/>
      <c r="AE22" s="12">
        <f t="shared" ref="AE22" si="65">AB22-AD21</f>
        <v>6.1953333333333305</v>
      </c>
      <c r="AF22" s="12">
        <f t="shared" si="2"/>
        <v>1.3646423141180579E-2</v>
      </c>
      <c r="AG22" s="12"/>
      <c r="AH22" s="12">
        <v>8.9645839525141092E-3</v>
      </c>
      <c r="AI22" s="12">
        <f t="shared" si="3"/>
        <v>1.5222595062377047</v>
      </c>
      <c r="AJ22" s="12"/>
    </row>
    <row r="23" spans="2:36">
      <c r="B23" s="12" t="s">
        <v>289</v>
      </c>
      <c r="C23" s="12">
        <v>35.369999999999997</v>
      </c>
      <c r="D23" s="12">
        <v>23.372</v>
      </c>
      <c r="E23" s="12"/>
      <c r="F23" s="12">
        <f t="shared" ref="F23" si="66">C23-E21</f>
        <v>11.809000000000001</v>
      </c>
      <c r="G23" s="12">
        <f t="shared" si="1"/>
        <v>2.7869987966962223E-4</v>
      </c>
      <c r="H23" s="12"/>
      <c r="I23" s="12">
        <v>8.0109550817554628E-5</v>
      </c>
      <c r="J23" s="12">
        <f t="shared" si="0"/>
        <v>3.4789844260186507</v>
      </c>
      <c r="K23" s="12"/>
      <c r="AA23" s="12" t="s">
        <v>289</v>
      </c>
      <c r="AB23" s="12">
        <v>25.311</v>
      </c>
      <c r="AC23" s="12">
        <v>19.058</v>
      </c>
      <c r="AD23" s="12"/>
      <c r="AE23" s="12">
        <f t="shared" ref="AE23" si="67">AB23-AD21</f>
        <v>6.2693333333333321</v>
      </c>
      <c r="AF23" s="12">
        <f t="shared" si="2"/>
        <v>1.2964107208994238E-2</v>
      </c>
      <c r="AG23" s="12"/>
      <c r="AH23" s="12">
        <v>8.9645839525141092E-3</v>
      </c>
      <c r="AI23" s="12">
        <f t="shared" si="3"/>
        <v>1.4461471137607524</v>
      </c>
      <c r="AJ23" s="12"/>
    </row>
    <row r="24" spans="2:36">
      <c r="B24" s="12" t="s">
        <v>290</v>
      </c>
      <c r="C24" s="12">
        <v>33.933999999999997</v>
      </c>
      <c r="D24" s="12">
        <v>21.54</v>
      </c>
      <c r="E24" s="12">
        <f t="shared" ref="E24" si="68">AVERAGE(D24:D26)</f>
        <v>21.635999999999999</v>
      </c>
      <c r="F24" s="12">
        <f t="shared" ref="F24" si="69">C24-E24</f>
        <v>12.297999999999998</v>
      </c>
      <c r="G24" s="12">
        <f t="shared" si="1"/>
        <v>1.9857890579397648E-4</v>
      </c>
      <c r="H24" s="12"/>
      <c r="I24" s="12">
        <v>8.0109550817554628E-5</v>
      </c>
      <c r="J24" s="12">
        <f t="shared" si="0"/>
        <v>2.4788418330572055</v>
      </c>
      <c r="K24" s="12">
        <f t="shared" ref="K24" si="70">AVERAGE(J24:J26)</f>
        <v>3.0143600759479465</v>
      </c>
      <c r="AA24" s="12" t="s">
        <v>290</v>
      </c>
      <c r="AB24" s="12">
        <v>25.535</v>
      </c>
      <c r="AC24" s="12">
        <v>19.443999999999999</v>
      </c>
      <c r="AD24" s="12">
        <f t="shared" ref="AD24" si="71">AVERAGE(AC24:AC26)</f>
        <v>19.478333333333332</v>
      </c>
      <c r="AE24" s="12">
        <f t="shared" ref="AE24" si="72">AB24-AC24</f>
        <v>6.0910000000000011</v>
      </c>
      <c r="AF24" s="12">
        <f t="shared" si="2"/>
        <v>1.466987105180393E-2</v>
      </c>
      <c r="AG24" s="12"/>
      <c r="AH24" s="12">
        <v>8.9645839525141092E-3</v>
      </c>
      <c r="AI24" s="12">
        <f t="shared" si="3"/>
        <v>1.6364251960281746</v>
      </c>
      <c r="AJ24" s="12">
        <f t="shared" ref="AJ24" si="73">AVERAGE(AI24:AI26)</f>
        <v>1.6673575838399628</v>
      </c>
    </row>
    <row r="25" spans="2:36">
      <c r="B25" s="12" t="s">
        <v>290</v>
      </c>
      <c r="C25" s="12">
        <v>33.76</v>
      </c>
      <c r="D25" s="12">
        <v>21.643000000000001</v>
      </c>
      <c r="E25" s="12"/>
      <c r="F25" s="12">
        <f t="shared" ref="F25" si="74">C25-E24</f>
        <v>12.123999999999999</v>
      </c>
      <c r="G25" s="12">
        <f t="shared" si="1"/>
        <v>2.2403317439242346E-4</v>
      </c>
      <c r="H25" s="12"/>
      <c r="I25" s="12">
        <v>8.0109550817554628E-5</v>
      </c>
      <c r="J25" s="12">
        <f t="shared" si="0"/>
        <v>2.7965850776350933</v>
      </c>
      <c r="K25" s="12"/>
      <c r="AA25" s="12" t="s">
        <v>290</v>
      </c>
      <c r="AB25" s="12">
        <v>25.532</v>
      </c>
      <c r="AC25" s="12">
        <v>19.579000000000001</v>
      </c>
      <c r="AD25" s="12"/>
      <c r="AE25" s="12">
        <f t="shared" ref="AE25" si="75">AB25-AD24</f>
        <v>6.0536666666666683</v>
      </c>
      <c r="AF25" s="12">
        <f t="shared" si="2"/>
        <v>1.5054445007635647E-2</v>
      </c>
      <c r="AG25" s="12"/>
      <c r="AH25" s="12">
        <v>8.9645839525141092E-3</v>
      </c>
      <c r="AI25" s="12">
        <f t="shared" si="3"/>
        <v>1.6793244491188732</v>
      </c>
      <c r="AJ25" s="12"/>
    </row>
    <row r="26" spans="2:36">
      <c r="B26" s="12" t="s">
        <v>290</v>
      </c>
      <c r="C26" s="12">
        <v>33.33</v>
      </c>
      <c r="D26" s="12">
        <v>21.725000000000001</v>
      </c>
      <c r="E26" s="12"/>
      <c r="F26" s="12">
        <f t="shared" ref="F26" si="76">C26-E24</f>
        <v>11.693999999999999</v>
      </c>
      <c r="G26" s="12">
        <f t="shared" si="1"/>
        <v>3.0182501487327967E-4</v>
      </c>
      <c r="H26" s="12"/>
      <c r="I26" s="12">
        <v>8.0109550817554628E-5</v>
      </c>
      <c r="J26" s="12">
        <f t="shared" si="0"/>
        <v>3.7676533171515412</v>
      </c>
      <c r="K26" s="12"/>
      <c r="AA26" s="12" t="s">
        <v>290</v>
      </c>
      <c r="AB26" s="12">
        <v>25.526</v>
      </c>
      <c r="AC26" s="12">
        <v>19.411999999999999</v>
      </c>
      <c r="AD26" s="12"/>
      <c r="AE26" s="12">
        <f t="shared" ref="AE26" si="77">AB26-AD24</f>
        <v>6.0476666666666681</v>
      </c>
      <c r="AF26" s="12">
        <f t="shared" si="2"/>
        <v>1.5117185058143709E-2</v>
      </c>
      <c r="AG26" s="12"/>
      <c r="AH26" s="12">
        <v>8.9645839525141092E-3</v>
      </c>
      <c r="AI26" s="12">
        <f t="shared" si="3"/>
        <v>1.6863231063728406</v>
      </c>
      <c r="AJ26" s="12"/>
    </row>
    <row r="27" spans="2:36">
      <c r="B27" s="12" t="s">
        <v>291</v>
      </c>
      <c r="C27" s="12">
        <v>29.414000000000001</v>
      </c>
      <c r="D27" s="12">
        <v>22.413</v>
      </c>
      <c r="E27" s="12">
        <f t="shared" ref="E27" si="78">AVERAGE(D27:D29)</f>
        <v>22.385999999999999</v>
      </c>
      <c r="F27" s="12">
        <f t="shared" ref="F27" si="79">C27-E27</f>
        <v>7.0280000000000022</v>
      </c>
      <c r="G27" s="12">
        <f t="shared" si="1"/>
        <v>7.6623359686605434E-3</v>
      </c>
      <c r="H27" s="12"/>
      <c r="I27" s="12">
        <v>8.0109550817554628E-5</v>
      </c>
      <c r="J27" s="12">
        <f t="shared" si="0"/>
        <v>95.648220349045758</v>
      </c>
      <c r="K27" s="12">
        <f t="shared" ref="K27" si="80">AVERAGE(J27:J29)</f>
        <v>103.93190516073776</v>
      </c>
      <c r="AA27" s="12" t="s">
        <v>291</v>
      </c>
      <c r="AB27" s="12">
        <v>26.234999999999999</v>
      </c>
      <c r="AC27" s="12">
        <v>20.155000000000001</v>
      </c>
      <c r="AD27" s="12">
        <f t="shared" ref="AD27" si="81">AVERAGE(AC27:AC29)</f>
        <v>20.216666666666669</v>
      </c>
      <c r="AE27" s="12">
        <f t="shared" ref="AE27" si="82">AB27-AD27</f>
        <v>6.0183333333333309</v>
      </c>
      <c r="AF27" s="12">
        <f t="shared" si="2"/>
        <v>1.5427698493021027E-2</v>
      </c>
      <c r="AG27" s="12"/>
      <c r="AH27" s="12">
        <v>8.9645839525141092E-3</v>
      </c>
      <c r="AI27" s="12">
        <f t="shared" si="3"/>
        <v>1.7209609028977126</v>
      </c>
      <c r="AJ27" s="12">
        <f t="shared" ref="AJ27" si="83">AVERAGE(AI27:AI29)</f>
        <v>1.5660150573105656</v>
      </c>
    </row>
    <row r="28" spans="2:36">
      <c r="B28" s="12" t="s">
        <v>291</v>
      </c>
      <c r="C28" s="12">
        <v>29.18</v>
      </c>
      <c r="D28" s="12">
        <v>22.295000000000002</v>
      </c>
      <c r="E28" s="12"/>
      <c r="F28" s="12">
        <f t="shared" ref="F28" si="84">C28-E27</f>
        <v>6.7940000000000005</v>
      </c>
      <c r="G28" s="12">
        <f t="shared" si="1"/>
        <v>9.0116062895314198E-3</v>
      </c>
      <c r="H28" s="12"/>
      <c r="I28" s="12">
        <v>8.0109550817554628E-5</v>
      </c>
      <c r="J28" s="12">
        <f t="shared" si="0"/>
        <v>112.49103505841505</v>
      </c>
      <c r="K28" s="12"/>
      <c r="AA28" s="12" t="s">
        <v>291</v>
      </c>
      <c r="AB28" s="12">
        <v>26.504000000000001</v>
      </c>
      <c r="AC28" s="12">
        <v>20.23</v>
      </c>
      <c r="AD28" s="12"/>
      <c r="AE28" s="12">
        <f t="shared" ref="AE28" si="85">AB28-AD27</f>
        <v>6.2873333333333328</v>
      </c>
      <c r="AF28" s="12">
        <f t="shared" si="2"/>
        <v>1.2803363447472875E-2</v>
      </c>
      <c r="AG28" s="12"/>
      <c r="AH28" s="12">
        <v>8.9645839525141092E-3</v>
      </c>
      <c r="AI28" s="12">
        <f t="shared" si="3"/>
        <v>1.4282161353268585</v>
      </c>
      <c r="AJ28" s="12"/>
    </row>
    <row r="29" spans="2:36">
      <c r="B29" s="12" t="s">
        <v>291</v>
      </c>
      <c r="C29" s="12">
        <v>29.297999999999998</v>
      </c>
      <c r="D29" s="12">
        <v>22.45</v>
      </c>
      <c r="E29" s="12"/>
      <c r="F29" s="12">
        <f t="shared" ref="F29" si="86">C29-E27</f>
        <v>6.911999999999999</v>
      </c>
      <c r="G29" s="12">
        <f t="shared" si="1"/>
        <v>8.3038724559262068E-3</v>
      </c>
      <c r="H29" s="12"/>
      <c r="I29" s="12">
        <v>8.0109550817554628E-5</v>
      </c>
      <c r="J29" s="12">
        <f t="shared" si="0"/>
        <v>103.65646007475249</v>
      </c>
      <c r="K29" s="12"/>
      <c r="AA29" s="12" t="s">
        <v>291</v>
      </c>
      <c r="AB29" s="12">
        <v>26.387</v>
      </c>
      <c r="AC29" s="12">
        <v>20.265000000000001</v>
      </c>
      <c r="AD29" s="12"/>
      <c r="AE29" s="12">
        <f t="shared" ref="AE29" si="87">AB29-AD27</f>
        <v>6.1703333333333319</v>
      </c>
      <c r="AF29" s="12">
        <f t="shared" si="2"/>
        <v>1.388495841599138E-2</v>
      </c>
      <c r="AG29" s="12"/>
      <c r="AH29" s="12">
        <v>8.9645839525141092E-3</v>
      </c>
      <c r="AI29" s="12">
        <f t="shared" si="3"/>
        <v>1.5488681337071259</v>
      </c>
      <c r="AJ29" s="12"/>
    </row>
    <row r="30" spans="2:36">
      <c r="B30" s="12" t="s">
        <v>292</v>
      </c>
      <c r="C30" s="12">
        <v>27.741</v>
      </c>
      <c r="D30" s="12">
        <v>22.289000000000001</v>
      </c>
      <c r="E30" s="12">
        <f t="shared" ref="E30" si="88">AVERAGE(D30:D32)</f>
        <v>22.289666666666665</v>
      </c>
      <c r="F30" s="12">
        <f t="shared" ref="F30" si="89">C30-E30</f>
        <v>5.4513333333333343</v>
      </c>
      <c r="G30" s="12">
        <f t="shared" si="1"/>
        <v>2.2855206539419415E-2</v>
      </c>
      <c r="H30" s="12"/>
      <c r="I30" s="12">
        <v>8.0109550817554628E-5</v>
      </c>
      <c r="J30" s="12">
        <f t="shared" si="0"/>
        <v>285.2993969654251</v>
      </c>
      <c r="K30" s="12">
        <f t="shared" ref="K30" si="90">AVERAGE(J30:J32)</f>
        <v>289.91944779305072</v>
      </c>
      <c r="AA30" s="12" t="s">
        <v>292</v>
      </c>
      <c r="AB30" s="12">
        <v>24.933</v>
      </c>
      <c r="AC30" s="12">
        <v>18.577999999999999</v>
      </c>
      <c r="AD30" s="12">
        <f t="shared" ref="AD30" si="91">AVERAGE(AC30:AC32)</f>
        <v>18.631666666666664</v>
      </c>
      <c r="AE30" s="12">
        <f t="shared" ref="AE30" si="92">AB30-AD30</f>
        <v>6.3013333333333357</v>
      </c>
      <c r="AF30" s="12">
        <f t="shared" si="2"/>
        <v>1.2679719726972568E-2</v>
      </c>
      <c r="AG30" s="12"/>
      <c r="AH30" s="12">
        <v>8.9645839525141092E-3</v>
      </c>
      <c r="AI30" s="12">
        <f t="shared" si="3"/>
        <v>1.4144236692006831</v>
      </c>
      <c r="AJ30" s="12">
        <f t="shared" ref="AJ30" si="93">AVERAGE(AI30:AI32)</f>
        <v>1.4181051468499515</v>
      </c>
    </row>
    <row r="31" spans="2:36">
      <c r="B31" s="12" t="s">
        <v>292</v>
      </c>
      <c r="C31" s="12">
        <v>27.57</v>
      </c>
      <c r="D31" s="12">
        <v>22.247</v>
      </c>
      <c r="E31" s="12"/>
      <c r="F31" s="12">
        <f t="shared" ref="F31" si="94">C31-E30</f>
        <v>5.2803333333333349</v>
      </c>
      <c r="G31" s="12">
        <f t="shared" si="1"/>
        <v>2.5731273416203633E-2</v>
      </c>
      <c r="H31" s="12"/>
      <c r="I31" s="12">
        <v>8.0109550817554628E-5</v>
      </c>
      <c r="J31" s="12">
        <f t="shared" si="0"/>
        <v>321.20106970522505</v>
      </c>
      <c r="K31" s="12"/>
      <c r="AA31" s="12" t="s">
        <v>292</v>
      </c>
      <c r="AB31" s="12">
        <v>24.843</v>
      </c>
      <c r="AC31" s="12">
        <v>18.66</v>
      </c>
      <c r="AD31" s="12"/>
      <c r="AE31" s="12">
        <f t="shared" ref="AE31" si="95">AB31-AD30</f>
        <v>6.2113333333333358</v>
      </c>
      <c r="AF31" s="12">
        <f t="shared" si="2"/>
        <v>1.3495915599255255E-2</v>
      </c>
      <c r="AG31" s="12"/>
      <c r="AH31" s="12">
        <v>8.9645839525141092E-3</v>
      </c>
      <c r="AI31" s="12">
        <f t="shared" si="3"/>
        <v>1.5054703788534813</v>
      </c>
      <c r="AJ31" s="12"/>
    </row>
    <row r="32" spans="2:36">
      <c r="B32" s="12" t="s">
        <v>292</v>
      </c>
      <c r="C32" s="12">
        <v>27.856999999999999</v>
      </c>
      <c r="D32" s="12">
        <v>22.332999999999998</v>
      </c>
      <c r="E32" s="12"/>
      <c r="F32" s="12">
        <f t="shared" ref="F32" si="96">C32-E30</f>
        <v>5.5673333333333339</v>
      </c>
      <c r="G32" s="12">
        <f t="shared" si="1"/>
        <v>2.1089470252301266E-2</v>
      </c>
      <c r="H32" s="12"/>
      <c r="I32" s="12">
        <v>8.0109550817554628E-5</v>
      </c>
      <c r="J32" s="12">
        <f t="shared" si="0"/>
        <v>263.2578767085019</v>
      </c>
      <c r="K32" s="12"/>
      <c r="AA32" s="12" t="s">
        <v>292</v>
      </c>
      <c r="AB32" s="12">
        <v>25.016999999999999</v>
      </c>
      <c r="AC32" s="12">
        <v>18.657</v>
      </c>
      <c r="AD32" s="12"/>
      <c r="AE32" s="12">
        <f t="shared" ref="AE32" si="97">AB32-AD30</f>
        <v>6.3853333333333353</v>
      </c>
      <c r="AF32" s="12">
        <f t="shared" si="2"/>
        <v>1.1962532601058395E-2</v>
      </c>
      <c r="AG32" s="12"/>
      <c r="AH32" s="12">
        <v>8.9645839525141092E-3</v>
      </c>
      <c r="AI32" s="12">
        <f t="shared" si="3"/>
        <v>1.3344213924956903</v>
      </c>
      <c r="AJ32" s="12"/>
    </row>
    <row r="33" spans="2:50">
      <c r="B33" s="12" t="s">
        <v>293</v>
      </c>
      <c r="C33" s="12">
        <v>25.02</v>
      </c>
      <c r="D33" s="12">
        <v>20.07</v>
      </c>
      <c r="E33" s="12">
        <f t="shared" ref="E33" si="98">AVERAGE(D33:D35)</f>
        <v>20.141666666666666</v>
      </c>
      <c r="F33" s="12">
        <f t="shared" ref="F33" si="99">C33-E33</f>
        <v>4.8783333333333339</v>
      </c>
      <c r="G33" s="12">
        <f t="shared" si="1"/>
        <v>3.3999719791323428E-2</v>
      </c>
      <c r="H33" s="12"/>
      <c r="I33" s="12">
        <v>8.0109550817554628E-5</v>
      </c>
      <c r="J33" s="12">
        <f t="shared" si="0"/>
        <v>424.41530934003157</v>
      </c>
      <c r="K33" s="12">
        <f t="shared" ref="K33" si="100">AVERAGE(J33:J35)</f>
        <v>407.67495699256034</v>
      </c>
      <c r="AA33" s="12" t="s">
        <v>293</v>
      </c>
      <c r="AB33" s="12">
        <v>23.524000000000001</v>
      </c>
      <c r="AC33" s="12">
        <v>17.917999999999999</v>
      </c>
      <c r="AD33" s="12">
        <f t="shared" ref="AD33" si="101">AVERAGE(AC33:AC35)</f>
        <v>17.966333333333335</v>
      </c>
      <c r="AE33" s="12">
        <f t="shared" ref="AE33" si="102">AB33-AD33</f>
        <v>5.5576666666666661</v>
      </c>
      <c r="AF33" s="12">
        <f t="shared" si="2"/>
        <v>2.1231253090492973E-2</v>
      </c>
      <c r="AG33" s="12"/>
      <c r="AH33" s="12">
        <v>8.9645839525141092E-3</v>
      </c>
      <c r="AI33" s="12">
        <f t="shared" si="3"/>
        <v>2.3683478455839202</v>
      </c>
      <c r="AJ33" s="12">
        <f t="shared" ref="AJ33" si="103">AVERAGE(AI33:AI35)</f>
        <v>2.3495363080851224</v>
      </c>
    </row>
    <row r="34" spans="2:50">
      <c r="B34" s="12" t="s">
        <v>293</v>
      </c>
      <c r="C34" s="12">
        <v>25.07</v>
      </c>
      <c r="D34" s="12">
        <v>20.2</v>
      </c>
      <c r="E34" s="12"/>
      <c r="F34" s="12">
        <f t="shared" ref="F34" si="104">C34-E33</f>
        <v>4.9283333333333346</v>
      </c>
      <c r="G34" s="12">
        <f t="shared" si="1"/>
        <v>3.2841564519704353E-2</v>
      </c>
      <c r="H34" s="12"/>
      <c r="I34" s="12">
        <v>8.0109550817554628E-5</v>
      </c>
      <c r="J34" s="12">
        <f t="shared" si="0"/>
        <v>409.95816584341264</v>
      </c>
      <c r="K34" s="12"/>
      <c r="AA34" s="12" t="s">
        <v>293</v>
      </c>
      <c r="AB34" s="12">
        <v>23.516999999999999</v>
      </c>
      <c r="AC34" s="12">
        <v>17.989000000000001</v>
      </c>
      <c r="AD34" s="12"/>
      <c r="AE34" s="12">
        <f t="shared" ref="AE34" si="105">AB34-AD33</f>
        <v>5.5506666666666646</v>
      </c>
      <c r="AF34" s="12">
        <f t="shared" si="2"/>
        <v>2.1334518092897096E-2</v>
      </c>
      <c r="AG34" s="12"/>
      <c r="AH34" s="12">
        <v>8.9645839525141092E-3</v>
      </c>
      <c r="AI34" s="12">
        <f t="shared" si="3"/>
        <v>2.3798670642059023</v>
      </c>
      <c r="AJ34" s="12"/>
    </row>
    <row r="35" spans="2:50">
      <c r="B35" s="12" t="s">
        <v>293</v>
      </c>
      <c r="C35" s="12">
        <v>25.146999999999998</v>
      </c>
      <c r="D35" s="12">
        <v>20.155000000000001</v>
      </c>
      <c r="E35" s="12"/>
      <c r="F35" s="12">
        <f t="shared" ref="F35" si="106">C35-E33</f>
        <v>5.0053333333333327</v>
      </c>
      <c r="G35" s="12">
        <f t="shared" si="1"/>
        <v>3.1134688741691958E-2</v>
      </c>
      <c r="H35" s="12"/>
      <c r="I35" s="12">
        <v>8.0109550817554628E-5</v>
      </c>
      <c r="J35" s="12">
        <f t="shared" si="0"/>
        <v>388.65139579423692</v>
      </c>
      <c r="K35" s="12"/>
      <c r="AA35" s="12" t="s">
        <v>293</v>
      </c>
      <c r="AB35" s="12">
        <v>23.565999999999999</v>
      </c>
      <c r="AC35" s="12">
        <v>17.992000000000001</v>
      </c>
      <c r="AD35" s="12"/>
      <c r="AE35" s="12">
        <f t="shared" ref="AE35" si="107">AB35-AD33</f>
        <v>5.5996666666666641</v>
      </c>
      <c r="AF35" s="12">
        <f t="shared" si="2"/>
        <v>2.0622075266537324E-2</v>
      </c>
      <c r="AG35" s="12"/>
      <c r="AH35" s="12">
        <v>8.9645839525141092E-3</v>
      </c>
      <c r="AI35" s="12">
        <f t="shared" si="3"/>
        <v>2.3003940144655437</v>
      </c>
      <c r="AJ35" s="12"/>
    </row>
    <row r="36" spans="2:50">
      <c r="B36" s="12" t="s">
        <v>294</v>
      </c>
      <c r="C36" s="12">
        <v>26.849</v>
      </c>
      <c r="D36" s="12">
        <v>23.07</v>
      </c>
      <c r="E36" s="12">
        <f t="shared" ref="E36" si="108">AVERAGE(D36:D38)</f>
        <v>23.110666666666663</v>
      </c>
      <c r="F36" s="12">
        <f t="shared" ref="F36" si="109">C36-E36</f>
        <v>3.7383333333333368</v>
      </c>
      <c r="G36" s="12">
        <f t="shared" si="1"/>
        <v>7.4928930352860926E-2</v>
      </c>
      <c r="H36" s="12"/>
      <c r="I36" s="12">
        <v>8.0109550817554628E-5</v>
      </c>
      <c r="J36" s="12">
        <f t="shared" si="0"/>
        <v>935.33080123626837</v>
      </c>
      <c r="K36" s="12">
        <f t="shared" ref="K36" si="110">AVERAGE(J36:J38)</f>
        <v>972.87679614055514</v>
      </c>
      <c r="AA36" s="12" t="s">
        <v>294</v>
      </c>
      <c r="AB36" s="12">
        <v>25.971</v>
      </c>
      <c r="AC36" s="12">
        <v>19.742999999999999</v>
      </c>
      <c r="AD36" s="12">
        <f>AVERAGE(AC36:AC38)</f>
        <v>19.865666666666666</v>
      </c>
      <c r="AE36" s="12">
        <f>AB36-AD36</f>
        <v>6.1053333333333342</v>
      </c>
      <c r="AF36" s="12">
        <f>POWER(2,-AE36)</f>
        <v>1.4524845888614095E-2</v>
      </c>
      <c r="AG36" s="12"/>
      <c r="AH36" s="12">
        <v>8.9645839525141092E-3</v>
      </c>
      <c r="AI36" s="12">
        <f t="shared" si="3"/>
        <v>1.620247628395584</v>
      </c>
      <c r="AJ36" s="12">
        <f t="shared" ref="AJ36" si="111">AVERAGE(AI36:AI38)</f>
        <v>1.6958010345312049</v>
      </c>
    </row>
    <row r="37" spans="2:50">
      <c r="B37" s="12" t="s">
        <v>294</v>
      </c>
      <c r="C37" s="12">
        <v>26.663</v>
      </c>
      <c r="D37" s="12">
        <v>23.196999999999999</v>
      </c>
      <c r="E37" s="12"/>
      <c r="F37" s="12">
        <f t="shared" ref="F37" si="112">C37-E36</f>
        <v>3.5523333333333369</v>
      </c>
      <c r="G37" s="12">
        <f t="shared" si="1"/>
        <v>8.5239542888309386E-2</v>
      </c>
      <c r="H37" s="12"/>
      <c r="I37" s="12">
        <v>8.0109550817554628E-5</v>
      </c>
      <c r="J37" s="12">
        <f t="shared" si="0"/>
        <v>1064.0372092765574</v>
      </c>
      <c r="K37" s="12"/>
      <c r="AA37" s="12" t="s">
        <v>294</v>
      </c>
      <c r="AB37" s="12">
        <v>25.884</v>
      </c>
      <c r="AC37" s="12">
        <v>19.893999999999998</v>
      </c>
      <c r="AD37" s="12"/>
      <c r="AE37" s="12">
        <f>AB37-AD36</f>
        <v>6.0183333333333344</v>
      </c>
      <c r="AF37" s="12">
        <f>POWER(2,-AE37)</f>
        <v>1.5427698493020999E-2</v>
      </c>
      <c r="AG37" s="12"/>
      <c r="AH37" s="12">
        <v>8.9645839525141092E-3</v>
      </c>
      <c r="AI37" s="12">
        <f>AF37/AH37</f>
        <v>1.7209609028977095</v>
      </c>
      <c r="AJ37" s="12"/>
    </row>
    <row r="38" spans="2:50">
      <c r="B38" s="12" t="s">
        <v>294</v>
      </c>
      <c r="C38" s="12">
        <v>26.873999999999999</v>
      </c>
      <c r="D38" s="12">
        <v>23.065000000000001</v>
      </c>
      <c r="E38" s="12"/>
      <c r="F38" s="12">
        <f t="shared" ref="F38" si="113">C38-E36</f>
        <v>3.7633333333333354</v>
      </c>
      <c r="G38" s="12">
        <f t="shared" si="1"/>
        <v>7.364169617775429E-2</v>
      </c>
      <c r="H38" s="12"/>
      <c r="I38" s="12">
        <v>8.0109550817554628E-5</v>
      </c>
      <c r="J38" s="12">
        <f t="shared" si="0"/>
        <v>919.26237790883954</v>
      </c>
      <c r="K38" s="12"/>
      <c r="AA38" s="12" t="s">
        <v>294</v>
      </c>
      <c r="AB38" s="12">
        <v>25.863</v>
      </c>
      <c r="AC38" s="12">
        <v>19.96</v>
      </c>
      <c r="AD38" s="12"/>
      <c r="AE38" s="12">
        <f t="shared" ref="AE38" si="114">AB38-AD36</f>
        <v>5.9973333333333336</v>
      </c>
      <c r="AF38" s="12">
        <f t="shared" si="2"/>
        <v>1.5653907840810697E-2</v>
      </c>
      <c r="AG38" s="12"/>
      <c r="AH38" s="12">
        <v>8.9645839525141092E-3</v>
      </c>
      <c r="AI38" s="12">
        <f t="shared" si="3"/>
        <v>1.7461945723003212</v>
      </c>
      <c r="AJ38" s="12"/>
    </row>
    <row r="41" spans="2:50">
      <c r="L41" s="90" t="s">
        <v>126</v>
      </c>
      <c r="M41" s="90"/>
      <c r="N41" s="90"/>
      <c r="O41" s="90"/>
      <c r="P41" s="90"/>
      <c r="Q41" s="90"/>
      <c r="R41" s="90"/>
      <c r="S41" s="90"/>
      <c r="T41" s="90"/>
      <c r="U41" s="90"/>
      <c r="V41" s="90"/>
      <c r="W41" s="90"/>
      <c r="X41" s="90"/>
      <c r="Y41" s="90"/>
    </row>
    <row r="42" spans="2:50">
      <c r="B42" t="s">
        <v>297</v>
      </c>
      <c r="C42" t="s">
        <v>28</v>
      </c>
      <c r="D42">
        <v>19.202000000000002</v>
      </c>
      <c r="F42" t="s">
        <v>126</v>
      </c>
      <c r="G42">
        <v>31.484000000000002</v>
      </c>
      <c r="H42">
        <f>G42-E44</f>
        <v>12.332333333333334</v>
      </c>
      <c r="I42">
        <f>POWER(2,-H42)</f>
        <v>1.9390890331490732E-4</v>
      </c>
      <c r="K42">
        <f t="shared" ref="K42:K77" si="115">I42/0.000193428835493222</f>
        <v>1.0024818834299509</v>
      </c>
      <c r="L42" s="106"/>
      <c r="M42" s="90" t="s">
        <v>97</v>
      </c>
      <c r="N42" s="90"/>
      <c r="O42" s="90"/>
      <c r="P42" s="90" t="s">
        <v>99</v>
      </c>
      <c r="Q42" s="98"/>
      <c r="R42" s="98"/>
      <c r="S42" s="90" t="s">
        <v>663</v>
      </c>
      <c r="T42" s="90" t="s">
        <v>396</v>
      </c>
      <c r="U42" s="90" t="s">
        <v>664</v>
      </c>
      <c r="V42" s="90" t="s">
        <v>663</v>
      </c>
      <c r="W42" s="90" t="s">
        <v>396</v>
      </c>
      <c r="X42" s="90" t="s">
        <v>664</v>
      </c>
      <c r="Y42" s="101" t="s">
        <v>665</v>
      </c>
      <c r="AA42" s="12"/>
      <c r="AB42" s="13" t="s">
        <v>295</v>
      </c>
      <c r="AC42" s="13" t="s">
        <v>296</v>
      </c>
      <c r="AD42" s="12"/>
      <c r="AE42" s="12"/>
      <c r="AF42" s="12"/>
      <c r="AG42" s="12"/>
      <c r="AH42" s="12"/>
      <c r="AI42" s="12"/>
      <c r="AJ42" s="12"/>
      <c r="AK42" s="105" t="s">
        <v>295</v>
      </c>
      <c r="AL42" s="90"/>
      <c r="AM42" s="90"/>
      <c r="AN42" s="90"/>
      <c r="AO42" s="90"/>
      <c r="AP42" s="90"/>
      <c r="AQ42" s="90"/>
      <c r="AR42" s="90"/>
      <c r="AS42" s="90"/>
      <c r="AT42" s="90"/>
      <c r="AU42" s="90"/>
      <c r="AV42" s="90"/>
      <c r="AW42" s="90"/>
      <c r="AX42" s="90"/>
    </row>
    <row r="43" spans="2:50">
      <c r="B43" t="s">
        <v>297</v>
      </c>
      <c r="C43" t="s">
        <v>28</v>
      </c>
      <c r="D43">
        <v>19.116</v>
      </c>
      <c r="F43" t="s">
        <v>126</v>
      </c>
      <c r="G43">
        <v>31.335999999999999</v>
      </c>
      <c r="H43">
        <f>G43-E44</f>
        <v>12.184333333333331</v>
      </c>
      <c r="I43">
        <f t="shared" ref="I43:I77" si="116">POWER(2,-H43)</f>
        <v>2.148573374119302E-4</v>
      </c>
      <c r="K43">
        <f t="shared" si="115"/>
        <v>1.1107823549889442</v>
      </c>
      <c r="L43" s="98">
        <v>0</v>
      </c>
      <c r="M43" s="98">
        <v>1.0024818834299509</v>
      </c>
      <c r="N43" s="98">
        <v>1.1107823549889442</v>
      </c>
      <c r="O43" s="98">
        <v>0.88673576158111189</v>
      </c>
      <c r="P43" s="98">
        <v>0.92652993790078941</v>
      </c>
      <c r="Q43" s="98">
        <v>0.75938820621758985</v>
      </c>
      <c r="R43" s="98">
        <v>0.95920394559761568</v>
      </c>
      <c r="S43" s="90">
        <f>AVERAGE(M43:O43)</f>
        <v>1.0000000000000024</v>
      </c>
      <c r="T43" s="90">
        <f>STDEV(M43:O43)</f>
        <v>0.11204391466489164</v>
      </c>
      <c r="U43" s="90">
        <f>T43/SQRT(3)</f>
        <v>6.4688584292834653E-2</v>
      </c>
      <c r="V43" s="90">
        <f>AVERAGE(P43:R43)</f>
        <v>0.88170736323866494</v>
      </c>
      <c r="W43" s="90">
        <f>STDEV(P43:R43)</f>
        <v>0.10718385991138261</v>
      </c>
      <c r="X43" s="90">
        <f>W43/SQRT(3)</f>
        <v>6.1882630372619894E-2</v>
      </c>
      <c r="Y43" s="94"/>
      <c r="AA43" s="12" t="s">
        <v>297</v>
      </c>
      <c r="AB43" s="12">
        <v>24.526</v>
      </c>
      <c r="AC43" s="12">
        <v>16.419</v>
      </c>
      <c r="AD43" s="12">
        <f>AVERAGE(AC43:AC45)</f>
        <v>16.498333333333335</v>
      </c>
      <c r="AE43" s="12">
        <f t="shared" ref="AE43" si="117">AB43-AD43</f>
        <v>8.027666666666665</v>
      </c>
      <c r="AF43" s="12">
        <f t="shared" ref="AF43:AF78" si="118">POWER(2,-AE43)</f>
        <v>3.8320532743612574E-3</v>
      </c>
      <c r="AG43" s="12">
        <f>AVERAGE(AF43:AF45)</f>
        <v>3.8113738462352332E-3</v>
      </c>
      <c r="AH43" s="12">
        <v>3.8113738462352332E-3</v>
      </c>
      <c r="AI43" s="12">
        <f>AF43/AH43</f>
        <v>1.0054257149679637</v>
      </c>
      <c r="AJ43" s="12">
        <f>AVERAGE(AI43:AI45)</f>
        <v>1.0000000000000002</v>
      </c>
      <c r="AK43" s="106"/>
      <c r="AL43" s="90" t="s">
        <v>97</v>
      </c>
      <c r="AM43" s="90"/>
      <c r="AN43" s="90"/>
      <c r="AO43" s="90" t="s">
        <v>99</v>
      </c>
      <c r="AP43" s="98"/>
      <c r="AQ43" s="98"/>
      <c r="AR43" s="90" t="s">
        <v>663</v>
      </c>
      <c r="AS43" s="90" t="s">
        <v>396</v>
      </c>
      <c r="AT43" s="90" t="s">
        <v>664</v>
      </c>
      <c r="AU43" s="90" t="s">
        <v>663</v>
      </c>
      <c r="AV43" s="90" t="s">
        <v>396</v>
      </c>
      <c r="AW43" s="90" t="s">
        <v>664</v>
      </c>
      <c r="AX43" s="101" t="s">
        <v>665</v>
      </c>
    </row>
    <row r="44" spans="2:50">
      <c r="B44" t="s">
        <v>297</v>
      </c>
      <c r="C44" t="s">
        <v>28</v>
      </c>
      <c r="D44">
        <v>19.137</v>
      </c>
      <c r="E44">
        <f>AVERAGE(D42:D44)</f>
        <v>19.151666666666667</v>
      </c>
      <c r="F44" t="s">
        <v>126</v>
      </c>
      <c r="G44">
        <v>31.661000000000001</v>
      </c>
      <c r="H44">
        <f>G44-E44</f>
        <v>12.509333333333334</v>
      </c>
      <c r="I44">
        <f t="shared" si="116"/>
        <v>1.715202657528298E-4</v>
      </c>
      <c r="J44">
        <f>AVERAGE(I42:I44)</f>
        <v>1.9342883549322242E-4</v>
      </c>
      <c r="K44">
        <f t="shared" si="115"/>
        <v>0.88673576158111189</v>
      </c>
      <c r="L44" s="98" t="s">
        <v>19</v>
      </c>
      <c r="M44" s="98">
        <v>7.6576912757231161</v>
      </c>
      <c r="N44" s="98">
        <v>7.5313552519264064</v>
      </c>
      <c r="O44" s="98">
        <v>6.5382724625516975</v>
      </c>
      <c r="P44" s="98">
        <v>0.82163877073232428</v>
      </c>
      <c r="Q44" s="98">
        <v>0.83484262326715974</v>
      </c>
      <c r="R44" s="98">
        <v>0.87939069050395091</v>
      </c>
      <c r="S44" s="90">
        <f t="shared" ref="S44:S48" si="119">AVERAGE(M44:O44)</f>
        <v>7.2424396634004067</v>
      </c>
      <c r="T44" s="90">
        <f t="shared" ref="T44:T48" si="120">STDEV(M44:O44)</f>
        <v>0.61308953896679763</v>
      </c>
      <c r="U44" s="90">
        <f t="shared" ref="U44:U48" si="121">T44/SQRT(3)</f>
        <v>0.35396741035982421</v>
      </c>
      <c r="V44" s="90">
        <f t="shared" ref="V44:V48" si="122">AVERAGE(P44:R44)</f>
        <v>0.84529069483447827</v>
      </c>
      <c r="W44" s="90">
        <f t="shared" ref="W44:W48" si="123">STDEV(P44:R44)</f>
        <v>3.0260414883705046E-2</v>
      </c>
      <c r="X44" s="90">
        <f t="shared" ref="X44:X48" si="124">W44/SQRT(3)</f>
        <v>1.7470858678896868E-2</v>
      </c>
      <c r="Y44" s="94"/>
      <c r="AA44" s="12" t="s">
        <v>297</v>
      </c>
      <c r="AB44" s="12">
        <v>24.451000000000001</v>
      </c>
      <c r="AC44" s="12">
        <v>16.475000000000001</v>
      </c>
      <c r="AD44" s="12"/>
      <c r="AE44" s="12">
        <f t="shared" ref="AE44" si="125">AB44-AD43</f>
        <v>7.9526666666666657</v>
      </c>
      <c r="AF44" s="12">
        <f t="shared" si="118"/>
        <v>4.0365356069152905E-3</v>
      </c>
      <c r="AG44" s="12"/>
      <c r="AH44" s="12">
        <v>3.8113738462352332E-3</v>
      </c>
      <c r="AI44" s="12">
        <f t="shared" ref="AI44:AI78" si="126">AF44/AH44</f>
        <v>1.0590762726942846</v>
      </c>
      <c r="AJ44" s="12"/>
      <c r="AK44" s="98">
        <v>0</v>
      </c>
      <c r="AL44" s="98">
        <v>1.0054257149679637</v>
      </c>
      <c r="AM44" s="98">
        <v>1.0590762726942846</v>
      </c>
      <c r="AN44" s="98">
        <v>0.93549801233775198</v>
      </c>
      <c r="AO44" s="98">
        <v>1.491888614152588</v>
      </c>
      <c r="AP44" s="98">
        <v>1.4410694111193254</v>
      </c>
      <c r="AQ44" s="98">
        <v>1.4561306709533512</v>
      </c>
      <c r="AR44" s="90">
        <f>AVERAGE(AL44:AN44)</f>
        <v>1.0000000000000002</v>
      </c>
      <c r="AS44" s="90">
        <f>STDEV(AL44:AN44)</f>
        <v>6.1967535011261579E-2</v>
      </c>
      <c r="AT44" s="90">
        <f>AS44/SQRT(3)</f>
        <v>3.5776973019769433E-2</v>
      </c>
      <c r="AU44" s="90">
        <f>AVERAGE(AO44:AQ44)</f>
        <v>1.4630295654084218</v>
      </c>
      <c r="AV44" s="90">
        <f>STDEV(AO44:AQ44)</f>
        <v>2.6102565156716714E-2</v>
      </c>
      <c r="AW44" s="90">
        <f>AV44/SQRT(3)</f>
        <v>1.5070323019770142E-2</v>
      </c>
      <c r="AX44" s="94"/>
    </row>
    <row r="45" spans="2:50">
      <c r="B45" t="s">
        <v>289</v>
      </c>
      <c r="C45" t="s">
        <v>28</v>
      </c>
      <c r="D45">
        <v>19.251999999999999</v>
      </c>
      <c r="F45" t="s">
        <v>126</v>
      </c>
      <c r="G45">
        <v>31.713999999999999</v>
      </c>
      <c r="H45">
        <f>G45-E47</f>
        <v>12.445999999999998</v>
      </c>
      <c r="I45">
        <f t="shared" si="116"/>
        <v>1.7921760693775699E-4</v>
      </c>
      <c r="J45">
        <v>1.9342883549322199E-4</v>
      </c>
      <c r="K45">
        <f t="shared" si="115"/>
        <v>0.92652993790078941</v>
      </c>
      <c r="L45" s="98">
        <v>1</v>
      </c>
      <c r="M45" s="98">
        <v>13.537688285995527</v>
      </c>
      <c r="N45" s="98">
        <v>14.181217556996049</v>
      </c>
      <c r="O45" s="98">
        <v>13.295899694009606</v>
      </c>
      <c r="P45" s="98">
        <v>0.89166652707557947</v>
      </c>
      <c r="Q45" s="98">
        <v>1.0207122167405382</v>
      </c>
      <c r="R45" s="98">
        <v>0.73947647925226079</v>
      </c>
      <c r="S45" s="90">
        <f t="shared" si="119"/>
        <v>13.671601845667061</v>
      </c>
      <c r="T45" s="90">
        <f t="shared" si="120"/>
        <v>0.45759868960547406</v>
      </c>
      <c r="U45" s="90">
        <f t="shared" si="121"/>
        <v>0.26419472662454047</v>
      </c>
      <c r="V45" s="90">
        <f t="shared" si="122"/>
        <v>0.88395174102279273</v>
      </c>
      <c r="W45" s="90">
        <f t="shared" si="123"/>
        <v>0.14077650177861467</v>
      </c>
      <c r="X45" s="90">
        <f t="shared" si="124"/>
        <v>8.1277351197457021E-2</v>
      </c>
      <c r="Y45" s="94"/>
      <c r="AA45" s="12" t="s">
        <v>297</v>
      </c>
      <c r="AB45" s="12">
        <v>24.63</v>
      </c>
      <c r="AC45" s="12">
        <v>16.600999999999999</v>
      </c>
      <c r="AD45" s="12"/>
      <c r="AE45" s="12">
        <f t="shared" ref="AE45" si="127">AB45-AD43</f>
        <v>8.1316666666666642</v>
      </c>
      <c r="AF45" s="12">
        <f t="shared" si="118"/>
        <v>3.5655326574291534E-3</v>
      </c>
      <c r="AG45" s="12"/>
      <c r="AH45" s="12">
        <v>3.8113738462352332E-3</v>
      </c>
      <c r="AI45" s="12">
        <f t="shared" si="126"/>
        <v>0.93549801233775198</v>
      </c>
      <c r="AJ45" s="12"/>
      <c r="AK45" s="98" t="s">
        <v>19</v>
      </c>
      <c r="AL45" s="98">
        <v>1.4669365727604804</v>
      </c>
      <c r="AM45" s="98">
        <v>0.94789981608633245</v>
      </c>
      <c r="AN45" s="98">
        <v>1.8722933498615444</v>
      </c>
      <c r="AO45" s="98">
        <v>1.9107510545815267</v>
      </c>
      <c r="AP45" s="98">
        <v>1.6831220855616942</v>
      </c>
      <c r="AQ45" s="98">
        <v>2.2086117435263533</v>
      </c>
      <c r="AR45" s="90">
        <f t="shared" ref="AR45:AR49" si="128">AVERAGE(AL45:AN45)</f>
        <v>1.4290432462361189</v>
      </c>
      <c r="AS45" s="90">
        <f t="shared" ref="AS45:AS49" si="129">STDEV(AL45:AN45)</f>
        <v>0.46336031278872786</v>
      </c>
      <c r="AT45" s="90">
        <f t="shared" ref="AT45:AT49" si="130">AS45/SQRT(3)</f>
        <v>0.26752120132036122</v>
      </c>
      <c r="AU45" s="90">
        <f t="shared" ref="AU45:AU49" si="131">AVERAGE(AO45:AQ45)</f>
        <v>1.9341616278898581</v>
      </c>
      <c r="AV45" s="90">
        <f t="shared" ref="AV45:AV49" si="132">STDEV(AO45:AQ45)</f>
        <v>0.26352587418301243</v>
      </c>
      <c r="AW45" s="90">
        <f t="shared" ref="AW45:AW49" si="133">AV45/SQRT(3)</f>
        <v>0.1521467343979937</v>
      </c>
      <c r="AX45" s="94"/>
    </row>
    <row r="46" spans="2:50">
      <c r="B46" t="s">
        <v>289</v>
      </c>
      <c r="C46" t="s">
        <v>28</v>
      </c>
      <c r="D46">
        <v>19.286999999999999</v>
      </c>
      <c r="F46" t="s">
        <v>126</v>
      </c>
      <c r="G46">
        <v>32.000999999999998</v>
      </c>
      <c r="H46">
        <f>G46-E47</f>
        <v>12.732999999999997</v>
      </c>
      <c r="I46">
        <f t="shared" si="116"/>
        <v>1.4688757641595512E-4</v>
      </c>
      <c r="K46">
        <f t="shared" si="115"/>
        <v>0.75938820621758985</v>
      </c>
      <c r="L46" s="98">
        <v>3</v>
      </c>
      <c r="M46" s="98">
        <v>26.280293782765355</v>
      </c>
      <c r="N46" s="98">
        <v>42.633319887486991</v>
      </c>
      <c r="O46" s="98">
        <v>30.021194968819149</v>
      </c>
      <c r="P46" s="98">
        <v>1.3653235071250143</v>
      </c>
      <c r="Q46" s="98">
        <v>1.5542761282666884</v>
      </c>
      <c r="R46" s="98">
        <v>1.0390339767444654</v>
      </c>
      <c r="S46" s="90">
        <f t="shared" si="119"/>
        <v>32.978269546357161</v>
      </c>
      <c r="T46" s="90">
        <f t="shared" si="120"/>
        <v>8.5681726895685326</v>
      </c>
      <c r="U46" s="90">
        <f t="shared" si="121"/>
        <v>4.9468368087855925</v>
      </c>
      <c r="V46" s="90">
        <f t="shared" si="122"/>
        <v>1.3195445373787227</v>
      </c>
      <c r="W46" s="90">
        <f t="shared" si="123"/>
        <v>0.26065380148692618</v>
      </c>
      <c r="X46" s="90">
        <f t="shared" si="124"/>
        <v>0.15048854245377613</v>
      </c>
      <c r="Y46" s="94"/>
      <c r="AA46" s="12" t="s">
        <v>306</v>
      </c>
      <c r="AB46" s="12">
        <v>25.300999999999998</v>
      </c>
      <c r="AC46" s="12">
        <v>16.693999999999999</v>
      </c>
      <c r="AD46" s="12">
        <f t="shared" ref="AD46" si="134">AVERAGE(AC46:AC48)</f>
        <v>17.818333333333332</v>
      </c>
      <c r="AE46" s="12">
        <f t="shared" ref="AE46" si="135">AB46-AD46</f>
        <v>7.4826666666666668</v>
      </c>
      <c r="AF46" s="12">
        <f t="shared" si="118"/>
        <v>5.5910436875052432E-3</v>
      </c>
      <c r="AG46" s="12"/>
      <c r="AH46" s="12">
        <v>3.8113738462352332E-3</v>
      </c>
      <c r="AI46" s="12">
        <f t="shared" si="126"/>
        <v>1.4669365727604804</v>
      </c>
      <c r="AJ46" s="12">
        <f t="shared" ref="AJ46" si="136">AVERAGE(AI46:AI48)</f>
        <v>1.4290432462361189</v>
      </c>
      <c r="AK46" s="98">
        <v>1</v>
      </c>
      <c r="AL46" s="98">
        <v>1.0377602344413923</v>
      </c>
      <c r="AM46" s="98">
        <v>1.0544371898020426</v>
      </c>
      <c r="AN46" s="98">
        <v>1.1130150957112763</v>
      </c>
      <c r="AO46" s="98">
        <v>1.9459480017296062</v>
      </c>
      <c r="AP46" s="98">
        <v>2.3270031439652006</v>
      </c>
      <c r="AQ46" s="98">
        <v>1.8219371089700387</v>
      </c>
      <c r="AR46" s="90">
        <f t="shared" si="128"/>
        <v>1.068404173318237</v>
      </c>
      <c r="AS46" s="90">
        <f t="shared" si="129"/>
        <v>3.9523803050739034E-2</v>
      </c>
      <c r="AT46" s="90">
        <f t="shared" si="130"/>
        <v>2.2819078330741933E-2</v>
      </c>
      <c r="AU46" s="90">
        <f t="shared" si="131"/>
        <v>2.0316294182216148</v>
      </c>
      <c r="AV46" s="90">
        <f t="shared" si="132"/>
        <v>0.26320885960676249</v>
      </c>
      <c r="AW46" s="90">
        <f t="shared" si="133"/>
        <v>0.15196370594705874</v>
      </c>
      <c r="AX46" s="94"/>
    </row>
    <row r="47" spans="2:50">
      <c r="B47" t="s">
        <v>289</v>
      </c>
      <c r="C47" t="s">
        <v>28</v>
      </c>
      <c r="D47">
        <v>19.265000000000001</v>
      </c>
      <c r="E47">
        <f t="shared" ref="E47" si="137">AVERAGE(D45:D47)</f>
        <v>19.268000000000001</v>
      </c>
      <c r="F47" t="s">
        <v>126</v>
      </c>
      <c r="G47">
        <v>31.664000000000001</v>
      </c>
      <c r="H47">
        <f>G47-E47</f>
        <v>12.396000000000001</v>
      </c>
      <c r="I47">
        <f t="shared" si="116"/>
        <v>1.8553770219745065E-4</v>
      </c>
      <c r="K47">
        <f t="shared" si="115"/>
        <v>0.95920394559761568</v>
      </c>
      <c r="L47" s="98">
        <v>4</v>
      </c>
      <c r="M47" s="98">
        <v>39.203471270136923</v>
      </c>
      <c r="N47" s="98">
        <v>39.06783756330703</v>
      </c>
      <c r="O47" s="98">
        <v>35.974668762525461</v>
      </c>
      <c r="P47" s="98">
        <v>1.1646605238361702</v>
      </c>
      <c r="Q47" s="98">
        <v>1.2691912658619466</v>
      </c>
      <c r="R47" s="98">
        <v>0.95588535205137359</v>
      </c>
      <c r="S47" s="90">
        <f t="shared" si="119"/>
        <v>38.081992531989805</v>
      </c>
      <c r="T47" s="90">
        <f t="shared" si="120"/>
        <v>1.8262555209003921</v>
      </c>
      <c r="U47" s="90">
        <f t="shared" si="121"/>
        <v>1.0543891166008816</v>
      </c>
      <c r="V47" s="90">
        <f t="shared" si="122"/>
        <v>1.1299123805831635</v>
      </c>
      <c r="W47" s="90">
        <f t="shared" si="123"/>
        <v>0.15951715895732901</v>
      </c>
      <c r="X47" s="90">
        <f t="shared" si="124"/>
        <v>9.209727466437824E-2</v>
      </c>
      <c r="Y47" s="94"/>
      <c r="AA47" s="12" t="s">
        <v>306</v>
      </c>
      <c r="AB47" s="12">
        <v>25.931000000000001</v>
      </c>
      <c r="AC47" s="12">
        <v>18.545999999999999</v>
      </c>
      <c r="AD47" s="12"/>
      <c r="AE47" s="12">
        <f t="shared" ref="AE47" si="138">AB47-AD46</f>
        <v>8.1126666666666694</v>
      </c>
      <c r="AF47" s="12">
        <f t="shared" si="118"/>
        <v>3.6128005678826352E-3</v>
      </c>
      <c r="AG47" s="12"/>
      <c r="AH47" s="12">
        <v>3.8113738462352332E-3</v>
      </c>
      <c r="AI47" s="12">
        <f t="shared" si="126"/>
        <v>0.94789981608633245</v>
      </c>
      <c r="AJ47" s="12"/>
      <c r="AK47" s="98">
        <v>3</v>
      </c>
      <c r="AL47" s="98">
        <v>1.1377154903898747</v>
      </c>
      <c r="AM47" s="98">
        <v>0.87365756706996434</v>
      </c>
      <c r="AN47" s="98">
        <v>1.1004852636892348</v>
      </c>
      <c r="AO47" s="98">
        <v>1.3383664261522727</v>
      </c>
      <c r="AP47" s="98">
        <v>1.1920734741841639</v>
      </c>
      <c r="AQ47" s="98">
        <v>2.1323927171906711</v>
      </c>
      <c r="AR47" s="90">
        <f t="shared" si="128"/>
        <v>1.0372861070496913</v>
      </c>
      <c r="AS47" s="90">
        <f t="shared" si="129"/>
        <v>0.14292391950603708</v>
      </c>
      <c r="AT47" s="90">
        <f t="shared" si="130"/>
        <v>8.2517163400446916E-2</v>
      </c>
      <c r="AU47" s="90">
        <f t="shared" si="131"/>
        <v>1.5542775391757029</v>
      </c>
      <c r="AV47" s="90">
        <f t="shared" si="132"/>
        <v>0.50597754519083504</v>
      </c>
      <c r="AW47" s="90">
        <f t="shared" si="133"/>
        <v>0.29212627191983465</v>
      </c>
      <c r="AX47" s="94"/>
    </row>
    <row r="48" spans="2:50">
      <c r="B48" t="s">
        <v>298</v>
      </c>
      <c r="C48" t="s">
        <v>28</v>
      </c>
      <c r="D48">
        <v>19.173999999999999</v>
      </c>
      <c r="F48" t="s">
        <v>126</v>
      </c>
      <c r="G48">
        <v>28.556000000000001</v>
      </c>
      <c r="H48">
        <f>G48-E50</f>
        <v>9.3990000000000009</v>
      </c>
      <c r="I48">
        <f t="shared" si="116"/>
        <v>1.4812183060297279E-3</v>
      </c>
      <c r="K48">
        <f t="shared" si="115"/>
        <v>7.6576912757231161</v>
      </c>
      <c r="L48" s="98">
        <v>6</v>
      </c>
      <c r="M48" s="98">
        <v>51.992903974123401</v>
      </c>
      <c r="N48" s="98">
        <v>48.950199400596098</v>
      </c>
      <c r="O48" s="98">
        <v>45.451085067228242</v>
      </c>
      <c r="P48" s="98">
        <v>1.3212555193543225</v>
      </c>
      <c r="Q48" s="98">
        <v>1.3831038627757626</v>
      </c>
      <c r="R48" s="98">
        <v>1.32308843861968</v>
      </c>
      <c r="S48" s="90">
        <f t="shared" si="119"/>
        <v>48.798062813982575</v>
      </c>
      <c r="T48" s="90">
        <f t="shared" si="120"/>
        <v>3.2735619450978093</v>
      </c>
      <c r="U48" s="90">
        <f t="shared" si="121"/>
        <v>1.8899918702111351</v>
      </c>
      <c r="V48" s="90">
        <f t="shared" si="122"/>
        <v>1.3424826069165885</v>
      </c>
      <c r="W48" s="90">
        <f t="shared" si="123"/>
        <v>3.5190974964338546E-2</v>
      </c>
      <c r="X48" s="90">
        <f t="shared" si="124"/>
        <v>2.0317518868706242E-2</v>
      </c>
      <c r="Y48" s="94" t="s">
        <v>666</v>
      </c>
      <c r="AA48" s="12" t="s">
        <v>306</v>
      </c>
      <c r="AB48" s="12">
        <v>24.949000000000002</v>
      </c>
      <c r="AC48" s="12">
        <v>18.215</v>
      </c>
      <c r="AD48" s="12"/>
      <c r="AE48" s="12">
        <f t="shared" ref="AE48" si="139">AB48-AD46</f>
        <v>7.13066666666667</v>
      </c>
      <c r="AF48" s="12">
        <f t="shared" si="118"/>
        <v>7.1360099061424436E-3</v>
      </c>
      <c r="AG48" s="12"/>
      <c r="AH48" s="12">
        <v>3.8113738462352332E-3</v>
      </c>
      <c r="AI48" s="12">
        <f t="shared" si="126"/>
        <v>1.8722933498615444</v>
      </c>
      <c r="AJ48" s="12"/>
      <c r="AK48" s="98">
        <v>4</v>
      </c>
      <c r="AL48" s="98">
        <v>0.82443242929204019</v>
      </c>
      <c r="AM48" s="98">
        <v>1.0058904276641858</v>
      </c>
      <c r="AN48" s="98">
        <v>1.2723302238020833</v>
      </c>
      <c r="AO48" s="98">
        <v>1.3202457463691128</v>
      </c>
      <c r="AP48" s="98">
        <v>1.3498569185041718</v>
      </c>
      <c r="AQ48" s="98">
        <v>1.2868166367571818</v>
      </c>
      <c r="AR48" s="90">
        <f t="shared" si="128"/>
        <v>1.0342176935861032</v>
      </c>
      <c r="AS48" s="90">
        <f t="shared" si="129"/>
        <v>0.22528855736077291</v>
      </c>
      <c r="AT48" s="90">
        <f t="shared" si="130"/>
        <v>0.1300704092375847</v>
      </c>
      <c r="AU48" s="90">
        <f t="shared" si="131"/>
        <v>1.3189731005434888</v>
      </c>
      <c r="AV48" s="90">
        <f t="shared" si="132"/>
        <v>3.1539403945431137E-2</v>
      </c>
      <c r="AW48" s="90">
        <f t="shared" si="133"/>
        <v>1.8209283357975014E-2</v>
      </c>
      <c r="AX48" s="94"/>
    </row>
    <row r="49" spans="2:50">
      <c r="B49" t="s">
        <v>298</v>
      </c>
      <c r="C49" t="s">
        <v>28</v>
      </c>
      <c r="D49">
        <v>19.143999999999998</v>
      </c>
      <c r="F49" t="s">
        <v>126</v>
      </c>
      <c r="G49">
        <v>28.58</v>
      </c>
      <c r="H49">
        <f>G49-E50</f>
        <v>9.4229999999999983</v>
      </c>
      <c r="I49">
        <f t="shared" si="116"/>
        <v>1.4567812760658864E-3</v>
      </c>
      <c r="K49">
        <f t="shared" si="115"/>
        <v>7.5313552519264064</v>
      </c>
      <c r="AA49" s="12" t="s">
        <v>307</v>
      </c>
      <c r="AB49" s="12">
        <v>24.600999999999999</v>
      </c>
      <c r="AC49" s="12">
        <v>16.600999999999999</v>
      </c>
      <c r="AD49" s="12">
        <f t="shared" ref="AD49" si="140">AVERAGE(AC49:AC51)</f>
        <v>16.619</v>
      </c>
      <c r="AE49" s="12">
        <f t="shared" ref="AE49" si="141">AB49-AD49</f>
        <v>7.9819999999999993</v>
      </c>
      <c r="AF49" s="12">
        <f t="shared" si="118"/>
        <v>3.9552922162128671E-3</v>
      </c>
      <c r="AG49" s="12"/>
      <c r="AH49" s="12">
        <v>3.8113738462352332E-3</v>
      </c>
      <c r="AI49" s="12">
        <f t="shared" si="126"/>
        <v>1.0377602344413923</v>
      </c>
      <c r="AJ49" s="12">
        <f t="shared" ref="AJ49" si="142">AVERAGE(AI49:AI51)</f>
        <v>1.068404173318237</v>
      </c>
      <c r="AK49" s="98">
        <v>6</v>
      </c>
      <c r="AL49" s="98">
        <v>1.0270263237779316</v>
      </c>
      <c r="AM49" s="98">
        <v>0.99686715121956004</v>
      </c>
      <c r="AN49" s="98">
        <v>1.0334532732397095</v>
      </c>
      <c r="AO49" s="98">
        <v>1.2826609127697777</v>
      </c>
      <c r="AP49" s="98">
        <v>1.1004852636892348</v>
      </c>
      <c r="AQ49" s="98">
        <v>1.2151545594856223</v>
      </c>
      <c r="AR49" s="90">
        <f t="shared" si="128"/>
        <v>1.0191155827457337</v>
      </c>
      <c r="AS49" s="90">
        <f t="shared" si="129"/>
        <v>1.9533841119380238E-2</v>
      </c>
      <c r="AT49" s="90">
        <f t="shared" si="130"/>
        <v>1.1277868428581563E-2</v>
      </c>
      <c r="AU49" s="90">
        <f t="shared" si="131"/>
        <v>1.1994335786482118</v>
      </c>
      <c r="AV49" s="90">
        <f t="shared" si="132"/>
        <v>9.2099694398770665E-2</v>
      </c>
      <c r="AW49" s="90">
        <f t="shared" si="133"/>
        <v>5.3173783353412517E-2</v>
      </c>
      <c r="AX49" s="94">
        <v>9.4999999999999998E-3</v>
      </c>
    </row>
    <row r="50" spans="2:50">
      <c r="B50" t="s">
        <v>298</v>
      </c>
      <c r="C50" t="s">
        <v>28</v>
      </c>
      <c r="D50">
        <v>19.152999999999999</v>
      </c>
      <c r="E50">
        <f t="shared" ref="E50" si="143">AVERAGE(D48:D50)</f>
        <v>19.157</v>
      </c>
      <c r="F50" t="s">
        <v>126</v>
      </c>
      <c r="G50">
        <v>28.783999999999999</v>
      </c>
      <c r="H50">
        <f>G50-E50</f>
        <v>9.6269999999999989</v>
      </c>
      <c r="I50">
        <f t="shared" si="116"/>
        <v>1.2646904285687757E-3</v>
      </c>
      <c r="K50">
        <f t="shared" si="115"/>
        <v>6.5382724625516975</v>
      </c>
      <c r="AA50" s="12" t="s">
        <v>307</v>
      </c>
      <c r="AB50" s="12">
        <v>24.577999999999999</v>
      </c>
      <c r="AC50" s="12">
        <v>16.600000000000001</v>
      </c>
      <c r="AD50" s="12"/>
      <c r="AE50" s="12">
        <f t="shared" ref="AE50" si="144">AB50-AD49</f>
        <v>7.9589999999999996</v>
      </c>
      <c r="AF50" s="12">
        <f t="shared" si="118"/>
        <v>4.0188543277092821E-3</v>
      </c>
      <c r="AG50" s="12"/>
      <c r="AH50" s="12">
        <v>3.8113738462352332E-3</v>
      </c>
      <c r="AI50" s="12">
        <f t="shared" si="126"/>
        <v>1.0544371898020426</v>
      </c>
      <c r="AJ50" s="12"/>
      <c r="AK50" s="90"/>
      <c r="AL50" s="90"/>
      <c r="AM50" s="90"/>
      <c r="AN50" s="90"/>
      <c r="AO50" s="90"/>
      <c r="AP50" s="90"/>
      <c r="AQ50" s="90"/>
      <c r="AR50" s="90"/>
      <c r="AS50" s="90"/>
      <c r="AT50" s="90"/>
      <c r="AU50" s="90"/>
      <c r="AV50" s="90"/>
      <c r="AW50" s="90"/>
      <c r="AX50" s="90"/>
    </row>
    <row r="51" spans="2:50">
      <c r="B51" t="s">
        <v>299</v>
      </c>
      <c r="C51" t="s">
        <v>28</v>
      </c>
      <c r="D51">
        <v>19.46</v>
      </c>
      <c r="F51" t="s">
        <v>126</v>
      </c>
      <c r="G51">
        <v>32.155999999999999</v>
      </c>
      <c r="H51">
        <f>G51-E53</f>
        <v>12.619333333333334</v>
      </c>
      <c r="I51">
        <f t="shared" si="116"/>
        <v>1.589286306188359E-4</v>
      </c>
      <c r="K51">
        <f t="shared" si="115"/>
        <v>0.82163877073232428</v>
      </c>
      <c r="AA51" s="12" t="s">
        <v>307</v>
      </c>
      <c r="AB51" s="12">
        <v>24.5</v>
      </c>
      <c r="AC51" s="12">
        <v>16.655999999999999</v>
      </c>
      <c r="AD51" s="12"/>
      <c r="AE51" s="12">
        <f t="shared" ref="AE51" si="145">AB51-AD49</f>
        <v>7.8810000000000002</v>
      </c>
      <c r="AF51" s="12">
        <f t="shared" si="118"/>
        <v>4.2421166262589637E-3</v>
      </c>
      <c r="AG51" s="12"/>
      <c r="AH51" s="12">
        <v>3.8113738462352332E-3</v>
      </c>
      <c r="AI51" s="12">
        <f t="shared" si="126"/>
        <v>1.1130150957112763</v>
      </c>
      <c r="AJ51" s="12"/>
    </row>
    <row r="52" spans="2:50">
      <c r="B52" t="s">
        <v>299</v>
      </c>
      <c r="C52" t="s">
        <v>28</v>
      </c>
      <c r="D52">
        <v>19.501000000000001</v>
      </c>
      <c r="F52" t="s">
        <v>126</v>
      </c>
      <c r="G52">
        <v>32.133000000000003</v>
      </c>
      <c r="H52">
        <f>G52-E53</f>
        <v>12.596333333333337</v>
      </c>
      <c r="I52">
        <f t="shared" si="116"/>
        <v>1.6148263643867334E-4</v>
      </c>
      <c r="K52">
        <f t="shared" si="115"/>
        <v>0.83484262326715974</v>
      </c>
      <c r="AA52" s="12" t="s">
        <v>308</v>
      </c>
      <c r="AB52" s="12">
        <v>25.041</v>
      </c>
      <c r="AC52" s="12">
        <v>17.324999999999999</v>
      </c>
      <c r="AD52" s="12">
        <f t="shared" ref="AD52" si="146">AVERAGE(AC52:AC54)</f>
        <v>17.191666666666666</v>
      </c>
      <c r="AE52" s="12">
        <f t="shared" ref="AE52" si="147">AB52-AD52</f>
        <v>7.8493333333333339</v>
      </c>
      <c r="AF52" s="12">
        <f t="shared" si="118"/>
        <v>4.3362590645286614E-3</v>
      </c>
      <c r="AG52" s="12"/>
      <c r="AH52" s="12">
        <v>3.8113738462352332E-3</v>
      </c>
      <c r="AI52" s="12">
        <f t="shared" si="126"/>
        <v>1.1377154903898747</v>
      </c>
      <c r="AJ52" s="12">
        <f t="shared" ref="AJ52" si="148">AVERAGE(AI52:AI54)</f>
        <v>1.0372861070496913</v>
      </c>
    </row>
    <row r="53" spans="2:50">
      <c r="B53" t="s">
        <v>299</v>
      </c>
      <c r="C53" t="s">
        <v>28</v>
      </c>
      <c r="D53">
        <v>19.649000000000001</v>
      </c>
      <c r="E53">
        <f t="shared" ref="E53" si="149">AVERAGE(D51:D53)</f>
        <v>19.536666666666665</v>
      </c>
      <c r="F53" t="s">
        <v>126</v>
      </c>
      <c r="G53">
        <v>32.058</v>
      </c>
      <c r="H53">
        <f>G53-E53</f>
        <v>12.521333333333335</v>
      </c>
      <c r="I53">
        <f t="shared" si="116"/>
        <v>1.7009951720775961E-4</v>
      </c>
      <c r="K53">
        <f t="shared" si="115"/>
        <v>0.87939069050395091</v>
      </c>
      <c r="AA53" s="12" t="s">
        <v>308</v>
      </c>
      <c r="AB53" s="12">
        <v>25.422000000000001</v>
      </c>
      <c r="AC53" s="12">
        <v>17.177</v>
      </c>
      <c r="AD53" s="12"/>
      <c r="AE53" s="12">
        <f t="shared" ref="AE53" si="150">AB53-AD52</f>
        <v>8.2303333333333342</v>
      </c>
      <c r="AF53" s="12">
        <f t="shared" si="118"/>
        <v>3.3298356016959662E-3</v>
      </c>
      <c r="AG53" s="12"/>
      <c r="AH53" s="12">
        <v>3.8113738462352332E-3</v>
      </c>
      <c r="AI53" s="12">
        <f t="shared" si="126"/>
        <v>0.87365756706996434</v>
      </c>
      <c r="AJ53" s="12"/>
    </row>
    <row r="54" spans="2:50">
      <c r="B54" t="s">
        <v>300</v>
      </c>
      <c r="C54" t="s">
        <v>28</v>
      </c>
      <c r="D54">
        <v>18.510999999999999</v>
      </c>
      <c r="F54" t="s">
        <v>126</v>
      </c>
      <c r="G54">
        <v>27.065999999999999</v>
      </c>
      <c r="H54">
        <f>G54-E56</f>
        <v>8.5769999999999982</v>
      </c>
      <c r="I54">
        <f t="shared" si="116"/>
        <v>2.6185792804303471E-3</v>
      </c>
      <c r="K54">
        <f t="shared" si="115"/>
        <v>13.537688285995527</v>
      </c>
      <c r="Q54" s="16"/>
      <c r="AA54" s="12" t="s">
        <v>308</v>
      </c>
      <c r="AB54" s="12">
        <v>25.088999999999999</v>
      </c>
      <c r="AC54" s="12">
        <v>17.073</v>
      </c>
      <c r="AD54" s="12"/>
      <c r="AE54" s="12">
        <f t="shared" ref="AE54" si="151">AB54-AD52</f>
        <v>7.8973333333333322</v>
      </c>
      <c r="AF54" s="12">
        <f t="shared" si="118"/>
        <v>4.1943607521924336E-3</v>
      </c>
      <c r="AG54" s="12"/>
      <c r="AH54" s="12">
        <v>3.8113738462352332E-3</v>
      </c>
      <c r="AI54" s="12">
        <f t="shared" si="126"/>
        <v>1.1004852636892348</v>
      </c>
      <c r="AJ54" s="12"/>
    </row>
    <row r="55" spans="2:50">
      <c r="B55" t="s">
        <v>300</v>
      </c>
      <c r="C55" t="s">
        <v>28</v>
      </c>
      <c r="D55">
        <v>18.53</v>
      </c>
      <c r="F55" t="s">
        <v>126</v>
      </c>
      <c r="G55">
        <v>26.998999999999999</v>
      </c>
      <c r="H55">
        <f>G55-E56</f>
        <v>8.509999999999998</v>
      </c>
      <c r="I55">
        <f t="shared" si="116"/>
        <v>2.7430563979257802E-3</v>
      </c>
      <c r="K55">
        <f t="shared" si="115"/>
        <v>14.181217556996049</v>
      </c>
      <c r="AA55" s="12" t="s">
        <v>309</v>
      </c>
      <c r="AB55" s="12">
        <v>24.927</v>
      </c>
      <c r="AC55" s="12">
        <v>16.96</v>
      </c>
      <c r="AD55" s="12">
        <f t="shared" ref="AD55" si="152">AVERAGE(AC55:AC57)</f>
        <v>16.613</v>
      </c>
      <c r="AE55" s="12">
        <f t="shared" ref="AE55" si="153">AB55-AD55</f>
        <v>8.3140000000000001</v>
      </c>
      <c r="AF55" s="12">
        <f t="shared" si="118"/>
        <v>3.1422201989918601E-3</v>
      </c>
      <c r="AG55" s="12"/>
      <c r="AH55" s="12">
        <v>3.8113738462352332E-3</v>
      </c>
      <c r="AI55" s="12">
        <f t="shared" si="126"/>
        <v>0.82443242929204019</v>
      </c>
      <c r="AJ55" s="12">
        <f t="shared" ref="AJ55" si="154">AVERAGE(AI55:AI57)</f>
        <v>1.0342176935861032</v>
      </c>
    </row>
    <row r="56" spans="2:50">
      <c r="B56" t="s">
        <v>300</v>
      </c>
      <c r="C56" t="s">
        <v>28</v>
      </c>
      <c r="D56">
        <v>18.425999999999998</v>
      </c>
      <c r="E56">
        <f t="shared" ref="E56" si="155">AVERAGE(D54:D56)</f>
        <v>18.489000000000001</v>
      </c>
      <c r="F56" t="s">
        <v>126</v>
      </c>
      <c r="G56">
        <v>27.091999999999999</v>
      </c>
      <c r="H56">
        <f>G56-E56</f>
        <v>8.602999999999998</v>
      </c>
      <c r="I56">
        <f t="shared" si="116"/>
        <v>2.5718103946469647E-3</v>
      </c>
      <c r="K56">
        <f t="shared" si="115"/>
        <v>13.295899694009606</v>
      </c>
      <c r="AA56" s="12" t="s">
        <v>309</v>
      </c>
      <c r="AB56" s="12">
        <v>24.64</v>
      </c>
      <c r="AC56" s="12">
        <v>16.609000000000002</v>
      </c>
      <c r="AD56" s="12"/>
      <c r="AE56" s="12">
        <f t="shared" ref="AE56" si="156">AB56-AD55</f>
        <v>8.027000000000001</v>
      </c>
      <c r="AF56" s="12">
        <f t="shared" si="118"/>
        <v>3.8338244681776512E-3</v>
      </c>
      <c r="AG56" s="12"/>
      <c r="AH56" s="12">
        <v>3.8113738462352332E-3</v>
      </c>
      <c r="AI56" s="12">
        <f t="shared" si="126"/>
        <v>1.0058904276641858</v>
      </c>
      <c r="AJ56" s="12"/>
    </row>
    <row r="57" spans="2:50">
      <c r="B57" t="s">
        <v>301</v>
      </c>
      <c r="C57" t="s">
        <v>28</v>
      </c>
      <c r="D57">
        <v>19.468</v>
      </c>
      <c r="F57" t="s">
        <v>126</v>
      </c>
      <c r="G57">
        <v>31.925000000000001</v>
      </c>
      <c r="H57">
        <f>G57-E59</f>
        <v>12.501333333333335</v>
      </c>
      <c r="I57">
        <f t="shared" si="116"/>
        <v>1.7247401798051483E-4</v>
      </c>
      <c r="K57">
        <f t="shared" si="115"/>
        <v>0.89166652707557947</v>
      </c>
      <c r="AA57" s="12" t="s">
        <v>309</v>
      </c>
      <c r="AB57" s="12">
        <v>24.300999999999998</v>
      </c>
      <c r="AC57" s="12">
        <v>16.27</v>
      </c>
      <c r="AD57" s="12"/>
      <c r="AE57" s="12">
        <f t="shared" ref="AE57" si="157">AB57-AD55</f>
        <v>7.6879999999999988</v>
      </c>
      <c r="AF57" s="12">
        <f t="shared" si="118"/>
        <v>4.8493261387738814E-3</v>
      </c>
      <c r="AG57" s="12"/>
      <c r="AH57" s="12">
        <v>3.8113738462352332E-3</v>
      </c>
      <c r="AI57" s="12">
        <f t="shared" si="126"/>
        <v>1.2723302238020833</v>
      </c>
      <c r="AJ57" s="12"/>
    </row>
    <row r="58" spans="2:50">
      <c r="B58" t="s">
        <v>301</v>
      </c>
      <c r="C58" t="s">
        <v>28</v>
      </c>
      <c r="D58">
        <v>19.391999999999999</v>
      </c>
      <c r="F58" t="s">
        <v>126</v>
      </c>
      <c r="G58">
        <v>31.73</v>
      </c>
      <c r="H58">
        <f>G58-E59</f>
        <v>12.306333333333335</v>
      </c>
      <c r="I58">
        <f t="shared" si="116"/>
        <v>1.9743517545782753E-4</v>
      </c>
      <c r="K58">
        <f t="shared" si="115"/>
        <v>1.0207122167405382</v>
      </c>
      <c r="AA58" s="12" t="s">
        <v>310</v>
      </c>
      <c r="AB58" s="12">
        <v>26.07</v>
      </c>
      <c r="AC58" s="12">
        <v>18.102</v>
      </c>
      <c r="AD58" s="12">
        <f t="shared" ref="AD58" si="158">AVERAGE(AC58:AC60)</f>
        <v>18.073000000000004</v>
      </c>
      <c r="AE58" s="12">
        <f t="shared" ref="AE58" si="159">AB58-AD58</f>
        <v>7.9969999999999963</v>
      </c>
      <c r="AF58" s="12">
        <f t="shared" si="118"/>
        <v>3.9143812698423271E-3</v>
      </c>
      <c r="AG58" s="12"/>
      <c r="AH58" s="12">
        <v>3.8113738462352332E-3</v>
      </c>
      <c r="AI58" s="12">
        <f t="shared" si="126"/>
        <v>1.0270263237779316</v>
      </c>
      <c r="AJ58" s="12">
        <f t="shared" ref="AJ58" si="160">AVERAGE(AI58:AI60)</f>
        <v>1.0191155827457337</v>
      </c>
    </row>
    <row r="59" spans="2:50">
      <c r="B59" t="s">
        <v>301</v>
      </c>
      <c r="C59" t="s">
        <v>28</v>
      </c>
      <c r="D59">
        <v>19.411000000000001</v>
      </c>
      <c r="E59">
        <f t="shared" ref="E59" si="161">AVERAGE(D57:D59)</f>
        <v>19.423666666666666</v>
      </c>
      <c r="F59" t="s">
        <v>126</v>
      </c>
      <c r="G59">
        <v>32.195</v>
      </c>
      <c r="H59">
        <f>G59-E59</f>
        <v>12.771333333333335</v>
      </c>
      <c r="I59">
        <f t="shared" si="116"/>
        <v>1.4303607425639254E-4</v>
      </c>
      <c r="K59">
        <f t="shared" si="115"/>
        <v>0.73947647925226079</v>
      </c>
      <c r="AA59" s="12" t="s">
        <v>310</v>
      </c>
      <c r="AB59" s="12">
        <v>26.113</v>
      </c>
      <c r="AC59" s="12">
        <v>18.241</v>
      </c>
      <c r="AD59" s="12"/>
      <c r="AE59" s="12">
        <f t="shared" ref="AE59" si="162">AB59-AD58</f>
        <v>8.0399999999999956</v>
      </c>
      <c r="AF59" s="12">
        <f t="shared" si="118"/>
        <v>3.7994333883292542E-3</v>
      </c>
      <c r="AG59" s="12"/>
      <c r="AH59" s="12">
        <v>3.8113738462352332E-3</v>
      </c>
      <c r="AI59" s="12">
        <f t="shared" si="126"/>
        <v>0.99686715121956004</v>
      </c>
      <c r="AJ59" s="12"/>
    </row>
    <row r="60" spans="2:50">
      <c r="B60" t="s">
        <v>302</v>
      </c>
      <c r="C60" t="s">
        <v>28</v>
      </c>
      <c r="D60">
        <v>18.855</v>
      </c>
      <c r="F60" t="s">
        <v>126</v>
      </c>
      <c r="G60">
        <v>26.413</v>
      </c>
      <c r="H60">
        <f>G60-E62</f>
        <v>7.6199999999999974</v>
      </c>
      <c r="I60">
        <f t="shared" si="116"/>
        <v>5.0833666228200644E-3</v>
      </c>
      <c r="K60">
        <f t="shared" si="115"/>
        <v>26.280293782765355</v>
      </c>
      <c r="AA60" s="12" t="s">
        <v>310</v>
      </c>
      <c r="AB60" s="12">
        <v>26.061</v>
      </c>
      <c r="AC60" s="12">
        <v>17.876000000000001</v>
      </c>
      <c r="AD60" s="12"/>
      <c r="AE60" s="12">
        <f t="shared" ref="AE60" si="163">AB60-AD58</f>
        <v>7.987999999999996</v>
      </c>
      <c r="AF60" s="12">
        <f t="shared" si="118"/>
        <v>3.9388767769320231E-3</v>
      </c>
      <c r="AG60" s="12"/>
      <c r="AH60" s="12">
        <v>3.8113738462352332E-3</v>
      </c>
      <c r="AI60" s="12">
        <f t="shared" si="126"/>
        <v>1.0334532732397095</v>
      </c>
      <c r="AJ60" s="12"/>
    </row>
    <row r="61" spans="2:50">
      <c r="B61" t="s">
        <v>302</v>
      </c>
      <c r="C61" t="s">
        <v>28</v>
      </c>
      <c r="D61">
        <v>18.878</v>
      </c>
      <c r="F61" t="s">
        <v>126</v>
      </c>
      <c r="G61">
        <v>25.715</v>
      </c>
      <c r="H61">
        <f>G61-E62</f>
        <v>6.921999999999997</v>
      </c>
      <c r="I61">
        <f t="shared" si="116"/>
        <v>8.2465134190466312E-3</v>
      </c>
      <c r="K61">
        <f t="shared" si="115"/>
        <v>42.633319887486991</v>
      </c>
      <c r="AA61" s="12" t="s">
        <v>311</v>
      </c>
      <c r="AB61" s="12">
        <v>27.053000000000001</v>
      </c>
      <c r="AC61" s="12">
        <v>19.846</v>
      </c>
      <c r="AD61" s="12">
        <f t="shared" ref="AD61" si="164">AVERAGE(AC61:AC63)</f>
        <v>19.594666666666669</v>
      </c>
      <c r="AE61" s="12">
        <f t="shared" ref="AE61" si="165">AB61-AD61</f>
        <v>7.4583333333333321</v>
      </c>
      <c r="AF61" s="12">
        <f t="shared" si="118"/>
        <v>5.6861452454773009E-3</v>
      </c>
      <c r="AG61" s="12"/>
      <c r="AH61" s="12">
        <v>3.8113738462352332E-3</v>
      </c>
      <c r="AI61" s="12">
        <f t="shared" si="126"/>
        <v>1.491888614152588</v>
      </c>
      <c r="AJ61" s="12">
        <f t="shared" ref="AJ61" si="166">AVERAGE(AI61:AI63)</f>
        <v>1.4630295654084218</v>
      </c>
    </row>
    <row r="62" spans="2:50">
      <c r="B62" t="s">
        <v>302</v>
      </c>
      <c r="C62" t="s">
        <v>28</v>
      </c>
      <c r="D62">
        <v>18.646000000000001</v>
      </c>
      <c r="E62">
        <f t="shared" ref="E62" si="167">AVERAGE(D60:D62)</f>
        <v>18.793000000000003</v>
      </c>
      <c r="F62" t="s">
        <v>126</v>
      </c>
      <c r="G62">
        <v>26.221</v>
      </c>
      <c r="H62">
        <f>G62-E62</f>
        <v>7.4279999999999973</v>
      </c>
      <c r="I62">
        <f t="shared" si="116"/>
        <v>5.8069647829336627E-3</v>
      </c>
      <c r="K62">
        <f t="shared" si="115"/>
        <v>30.021194968819149</v>
      </c>
      <c r="AA62" s="12" t="s">
        <v>311</v>
      </c>
      <c r="AB62">
        <v>27.103000000000002</v>
      </c>
      <c r="AC62" s="12">
        <v>19.966999999999999</v>
      </c>
      <c r="AD62" s="12"/>
      <c r="AE62" s="12">
        <f t="shared" ref="AE62" si="168">AB62-AD61</f>
        <v>7.5083333333333329</v>
      </c>
      <c r="AF62" s="12">
        <f t="shared" si="118"/>
        <v>5.4924542641498061E-3</v>
      </c>
      <c r="AG62" s="12"/>
      <c r="AH62" s="12">
        <v>3.8113738462352332E-3</v>
      </c>
      <c r="AI62" s="12">
        <f t="shared" si="126"/>
        <v>1.4410694111193254</v>
      </c>
      <c r="AJ62" s="12"/>
    </row>
    <row r="63" spans="2:50">
      <c r="B63" t="s">
        <v>290</v>
      </c>
      <c r="C63" t="s">
        <v>28</v>
      </c>
      <c r="D63">
        <v>19.741</v>
      </c>
      <c r="F63" t="s">
        <v>126</v>
      </c>
      <c r="G63">
        <v>31.715</v>
      </c>
      <c r="H63">
        <f>G63-E65</f>
        <v>11.886666666666667</v>
      </c>
      <c r="I63">
        <f t="shared" si="116"/>
        <v>2.6409293605471329E-4</v>
      </c>
      <c r="K63">
        <f t="shared" si="115"/>
        <v>1.3653235071250143</v>
      </c>
      <c r="AA63" s="12" t="s">
        <v>311</v>
      </c>
      <c r="AB63" s="12">
        <v>27.088000000000001</v>
      </c>
      <c r="AC63" s="12">
        <v>18.971</v>
      </c>
      <c r="AD63" s="12"/>
      <c r="AE63" s="12">
        <f t="shared" ref="AE63" si="169">AB63-AD61</f>
        <v>7.4933333333333323</v>
      </c>
      <c r="AF63" s="12">
        <f t="shared" si="118"/>
        <v>5.5498583559725652E-3</v>
      </c>
      <c r="AG63" s="12"/>
      <c r="AH63" s="12">
        <v>3.8113738462352332E-3</v>
      </c>
      <c r="AI63" s="12">
        <f t="shared" si="126"/>
        <v>1.4561306709533512</v>
      </c>
      <c r="AJ63" s="12"/>
    </row>
    <row r="64" spans="2:50">
      <c r="B64" t="s">
        <v>290</v>
      </c>
      <c r="C64" t="s">
        <v>28</v>
      </c>
      <c r="D64">
        <v>19.911999999999999</v>
      </c>
      <c r="F64" t="s">
        <v>126</v>
      </c>
      <c r="G64">
        <v>31.527999999999999</v>
      </c>
      <c r="H64">
        <f>G64-E65</f>
        <v>11.699666666666666</v>
      </c>
      <c r="I64">
        <f t="shared" si="116"/>
        <v>3.0064182152553926E-4</v>
      </c>
      <c r="K64">
        <f t="shared" si="115"/>
        <v>1.5542761282666884</v>
      </c>
      <c r="AA64" s="12" t="s">
        <v>312</v>
      </c>
      <c r="AB64" s="12">
        <v>25.481000000000002</v>
      </c>
      <c r="AC64" s="12">
        <v>18.474</v>
      </c>
      <c r="AD64" s="12">
        <f t="shared" ref="AD64" si="170">AVERAGE(AC64:AC66)</f>
        <v>18.379666666666665</v>
      </c>
      <c r="AE64" s="12">
        <f t="shared" ref="AE64" si="171">AB64-AD64</f>
        <v>7.1013333333333364</v>
      </c>
      <c r="AF64" s="12">
        <f t="shared" si="118"/>
        <v>7.2825865960984212E-3</v>
      </c>
      <c r="AG64" s="12"/>
      <c r="AH64" s="12">
        <v>3.8113738462352332E-3</v>
      </c>
      <c r="AI64" s="12">
        <f t="shared" si="126"/>
        <v>1.9107510545815267</v>
      </c>
      <c r="AJ64" s="12">
        <f t="shared" ref="AJ64" si="172">AVERAGE(AI64:AI66)</f>
        <v>1.9341616278898581</v>
      </c>
    </row>
    <row r="65" spans="2:36">
      <c r="B65" t="s">
        <v>290</v>
      </c>
      <c r="C65" t="s">
        <v>28</v>
      </c>
      <c r="D65">
        <v>19.832000000000001</v>
      </c>
      <c r="E65">
        <f t="shared" ref="E65" si="173">AVERAGE(D63:D65)</f>
        <v>19.828333333333333</v>
      </c>
      <c r="F65" t="s">
        <v>126</v>
      </c>
      <c r="G65">
        <v>32.109000000000002</v>
      </c>
      <c r="H65">
        <f>G65-E65</f>
        <v>12.280666666666669</v>
      </c>
      <c r="I65">
        <f t="shared" si="116"/>
        <v>2.0097913215957346E-4</v>
      </c>
      <c r="K65">
        <f t="shared" si="115"/>
        <v>1.0390339767444654</v>
      </c>
      <c r="AA65" s="12" t="s">
        <v>312</v>
      </c>
      <c r="AB65" s="12">
        <v>25.664000000000001</v>
      </c>
      <c r="AC65" s="12">
        <v>18.195</v>
      </c>
      <c r="AD65" s="12"/>
      <c r="AE65" s="12">
        <f t="shared" ref="AE65" si="174">AB65-AD64</f>
        <v>7.2843333333333362</v>
      </c>
      <c r="AF65" s="12">
        <f t="shared" si="118"/>
        <v>6.4150074969307417E-3</v>
      </c>
      <c r="AG65" s="12"/>
      <c r="AH65" s="12">
        <v>3.8113738462352332E-3</v>
      </c>
      <c r="AI65" s="12">
        <f t="shared" si="126"/>
        <v>1.6831220855616942</v>
      </c>
      <c r="AJ65" s="12"/>
    </row>
    <row r="66" spans="2:36">
      <c r="B66" t="s">
        <v>303</v>
      </c>
      <c r="C66" t="s">
        <v>28</v>
      </c>
      <c r="D66">
        <v>18.132999999999999</v>
      </c>
      <c r="F66" t="s">
        <v>126</v>
      </c>
      <c r="G66">
        <v>25.515000000000001</v>
      </c>
      <c r="H66">
        <f>G66-E68</f>
        <v>7.0430000000000028</v>
      </c>
      <c r="I66">
        <f t="shared" si="116"/>
        <v>7.5830817950745689E-3</v>
      </c>
      <c r="K66">
        <f t="shared" si="115"/>
        <v>39.203471270136923</v>
      </c>
      <c r="AA66" s="12" t="s">
        <v>312</v>
      </c>
      <c r="AB66" s="12">
        <v>25.271999999999998</v>
      </c>
      <c r="AC66" s="12">
        <v>18.47</v>
      </c>
      <c r="AD66" s="12"/>
      <c r="AE66" s="12">
        <f t="shared" ref="AE66" si="175">AB66-AD64</f>
        <v>6.8923333333333332</v>
      </c>
      <c r="AF66" s="12">
        <f t="shared" si="118"/>
        <v>8.4178450357643413E-3</v>
      </c>
      <c r="AG66" s="12"/>
      <c r="AH66" s="12">
        <v>3.8113738462352332E-3</v>
      </c>
      <c r="AI66" s="12">
        <f t="shared" si="126"/>
        <v>2.2086117435263533</v>
      </c>
      <c r="AJ66" s="12"/>
    </row>
    <row r="67" spans="2:36">
      <c r="B67" t="s">
        <v>303</v>
      </c>
      <c r="C67" t="s">
        <v>28</v>
      </c>
      <c r="D67">
        <v>18.667000000000002</v>
      </c>
      <c r="F67" t="s">
        <v>126</v>
      </c>
      <c r="G67">
        <v>25.52</v>
      </c>
      <c r="H67">
        <f>G67-E68</f>
        <v>7.0480000000000018</v>
      </c>
      <c r="I67">
        <f t="shared" si="116"/>
        <v>7.5568463251088338E-3</v>
      </c>
      <c r="K67">
        <f t="shared" si="115"/>
        <v>39.06783756330703</v>
      </c>
      <c r="AA67" s="12" t="s">
        <v>313</v>
      </c>
      <c r="AB67" s="12">
        <v>24.884</v>
      </c>
      <c r="AC67" s="12">
        <v>18.004000000000001</v>
      </c>
      <c r="AD67" s="12">
        <f t="shared" ref="AD67" si="176">AVERAGE(AC67:AC69)</f>
        <v>17.809000000000001</v>
      </c>
      <c r="AE67" s="12">
        <f t="shared" ref="AE67" si="177">AB67-AD67</f>
        <v>7.0749999999999993</v>
      </c>
      <c r="AF67" s="12">
        <f t="shared" si="118"/>
        <v>7.4167353199259354E-3</v>
      </c>
      <c r="AG67" s="12"/>
      <c r="AH67" s="12">
        <v>3.8113738462352332E-3</v>
      </c>
      <c r="AI67" s="12">
        <f t="shared" si="126"/>
        <v>1.9459480017296062</v>
      </c>
      <c r="AJ67" s="12">
        <f t="shared" ref="AJ67" si="178">AVERAGE(AI67:AI69)</f>
        <v>2.0316294182216148</v>
      </c>
    </row>
    <row r="68" spans="2:36">
      <c r="B68" t="s">
        <v>303</v>
      </c>
      <c r="C68" t="s">
        <v>28</v>
      </c>
      <c r="D68">
        <v>18.616</v>
      </c>
      <c r="E68">
        <f t="shared" ref="E68" si="179">AVERAGE(D66:D68)</f>
        <v>18.471999999999998</v>
      </c>
      <c r="F68" t="s">
        <v>126</v>
      </c>
      <c r="G68">
        <v>25.638999999999999</v>
      </c>
      <c r="H68">
        <f>G68-E68</f>
        <v>7.1670000000000016</v>
      </c>
      <c r="I68">
        <f t="shared" si="116"/>
        <v>6.9585382859896896E-3</v>
      </c>
      <c r="K68">
        <f t="shared" si="115"/>
        <v>35.974668762525461</v>
      </c>
      <c r="AA68" s="12" t="s">
        <v>313</v>
      </c>
      <c r="AB68" s="12">
        <v>24.626000000000001</v>
      </c>
      <c r="AC68" s="12">
        <v>17.581</v>
      </c>
      <c r="AD68" s="12"/>
      <c r="AE68" s="12">
        <f t="shared" ref="AE68" si="180">AB68-AD67</f>
        <v>6.8170000000000002</v>
      </c>
      <c r="AF68" s="12">
        <f t="shared" si="118"/>
        <v>8.8690789230161261E-3</v>
      </c>
      <c r="AG68" s="12"/>
      <c r="AH68" s="12">
        <v>3.8113738462352332E-3</v>
      </c>
      <c r="AI68" s="12">
        <f t="shared" si="126"/>
        <v>2.3270031439652006</v>
      </c>
      <c r="AJ68" s="12"/>
    </row>
    <row r="69" spans="2:36">
      <c r="B69" t="s">
        <v>304</v>
      </c>
      <c r="C69" t="s">
        <v>28</v>
      </c>
      <c r="D69">
        <v>19.573</v>
      </c>
      <c r="F69" t="s">
        <v>126</v>
      </c>
      <c r="G69">
        <v>31.741</v>
      </c>
      <c r="H69">
        <f>G69-E71</f>
        <v>12.116</v>
      </c>
      <c r="I69">
        <f t="shared" si="116"/>
        <v>2.2527892887055632E-4</v>
      </c>
      <c r="K69">
        <f t="shared" si="115"/>
        <v>1.1646605238361702</v>
      </c>
      <c r="AA69" s="12" t="s">
        <v>313</v>
      </c>
      <c r="AB69" s="12">
        <v>24.978999999999999</v>
      </c>
      <c r="AC69" s="12">
        <v>17.841999999999999</v>
      </c>
      <c r="AD69" s="12"/>
      <c r="AE69" s="12">
        <f t="shared" ref="AE69" si="181">AB69-AD67</f>
        <v>7.1699999999999982</v>
      </c>
      <c r="AF69" s="12">
        <f t="shared" si="118"/>
        <v>6.9440834466138373E-3</v>
      </c>
      <c r="AG69" s="12"/>
      <c r="AH69" s="12">
        <v>3.8113738462352332E-3</v>
      </c>
      <c r="AI69" s="12">
        <f t="shared" si="126"/>
        <v>1.8219371089700387</v>
      </c>
      <c r="AJ69" s="12"/>
    </row>
    <row r="70" spans="2:36">
      <c r="B70" t="s">
        <v>304</v>
      </c>
      <c r="C70" t="s">
        <v>28</v>
      </c>
      <c r="D70">
        <v>19.559999999999999</v>
      </c>
      <c r="F70" t="s">
        <v>126</v>
      </c>
      <c r="G70">
        <v>31.617000000000001</v>
      </c>
      <c r="H70">
        <f>G70-E71</f>
        <v>11.992000000000001</v>
      </c>
      <c r="I70">
        <f t="shared" si="116"/>
        <v>2.4549818857384466E-4</v>
      </c>
      <c r="K70">
        <f t="shared" si="115"/>
        <v>1.2691912658619466</v>
      </c>
      <c r="AA70" s="12" t="s">
        <v>314</v>
      </c>
      <c r="AB70" s="12">
        <v>26.021999999999998</v>
      </c>
      <c r="AC70" s="12">
        <v>18.492000000000001</v>
      </c>
      <c r="AD70" s="12">
        <f t="shared" ref="AD70" si="182">AVERAGE(AC70:AC72)</f>
        <v>18.407</v>
      </c>
      <c r="AE70" s="12">
        <f t="shared" ref="AE70" si="183">AB70-AD70</f>
        <v>7.6149999999999984</v>
      </c>
      <c r="AF70" s="12">
        <f t="shared" si="118"/>
        <v>5.1010147933160908E-3</v>
      </c>
      <c r="AG70" s="12"/>
      <c r="AH70" s="12">
        <v>3.8113738462352332E-3</v>
      </c>
      <c r="AI70" s="12">
        <f t="shared" si="126"/>
        <v>1.3383664261522727</v>
      </c>
      <c r="AJ70" s="12">
        <f t="shared" ref="AJ70" si="184">AVERAGE(AI70:AI72)</f>
        <v>1.5542775391757029</v>
      </c>
    </row>
    <row r="71" spans="2:36">
      <c r="B71" t="s">
        <v>304</v>
      </c>
      <c r="C71" t="s">
        <v>28</v>
      </c>
      <c r="D71">
        <v>19.742000000000001</v>
      </c>
      <c r="E71">
        <f t="shared" ref="E71" si="185">AVERAGE(D69:D71)</f>
        <v>19.625</v>
      </c>
      <c r="F71" t="s">
        <v>126</v>
      </c>
      <c r="G71">
        <v>32.026000000000003</v>
      </c>
      <c r="H71">
        <f>G71-E71</f>
        <v>12.401000000000003</v>
      </c>
      <c r="I71">
        <f t="shared" si="116"/>
        <v>1.8489579051232574E-4</v>
      </c>
      <c r="K71">
        <f t="shared" si="115"/>
        <v>0.95588535205137359</v>
      </c>
      <c r="AA71" s="12" t="s">
        <v>314</v>
      </c>
      <c r="AB71" s="12">
        <v>26.189</v>
      </c>
      <c r="AC71" s="12">
        <v>18.259</v>
      </c>
      <c r="AD71" s="12"/>
      <c r="AE71" s="12">
        <f t="shared" ref="AE71" si="186">AB71-AD70</f>
        <v>7.782</v>
      </c>
      <c r="AF71" s="12">
        <f t="shared" si="118"/>
        <v>4.5434376622962933E-3</v>
      </c>
      <c r="AG71" s="12"/>
      <c r="AH71" s="12">
        <v>3.8113738462352332E-3</v>
      </c>
      <c r="AI71" s="12">
        <f t="shared" si="126"/>
        <v>1.1920734741841639</v>
      </c>
      <c r="AJ71" s="12"/>
    </row>
    <row r="72" spans="2:36">
      <c r="B72" t="s">
        <v>305</v>
      </c>
      <c r="C72" t="s">
        <v>28</v>
      </c>
      <c r="D72">
        <v>18.707999999999998</v>
      </c>
      <c r="F72" t="s">
        <v>126</v>
      </c>
      <c r="G72">
        <v>25.373000000000001</v>
      </c>
      <c r="H72">
        <f>G72-E74</f>
        <v>6.635666666666669</v>
      </c>
      <c r="I72">
        <f t="shared" si="116"/>
        <v>1.0056926869625603E-2</v>
      </c>
      <c r="K72">
        <f t="shared" si="115"/>
        <v>51.992903974123401</v>
      </c>
      <c r="AA72" s="12" t="s">
        <v>314</v>
      </c>
      <c r="AB72" s="12">
        <v>25.35</v>
      </c>
      <c r="AC72" s="12">
        <v>18.47</v>
      </c>
      <c r="AD72" s="12"/>
      <c r="AE72" s="12">
        <f t="shared" ref="AE72" si="187">AB72-AD70</f>
        <v>6.9430000000000014</v>
      </c>
      <c r="AF72" s="12">
        <f t="shared" si="118"/>
        <v>8.127345832203009E-3</v>
      </c>
      <c r="AG72" s="12"/>
      <c r="AH72" s="12">
        <v>3.8113738462352332E-3</v>
      </c>
      <c r="AI72" s="12">
        <f t="shared" si="126"/>
        <v>2.1323927171906711</v>
      </c>
      <c r="AJ72" s="12"/>
    </row>
    <row r="73" spans="2:36">
      <c r="B73" t="s">
        <v>305</v>
      </c>
      <c r="C73" t="s">
        <v>28</v>
      </c>
      <c r="D73">
        <v>18.77</v>
      </c>
      <c r="F73" t="s">
        <v>126</v>
      </c>
      <c r="G73">
        <v>25.46</v>
      </c>
      <c r="H73">
        <f>G73-E74</f>
        <v>6.7226666666666688</v>
      </c>
      <c r="I73">
        <f t="shared" si="116"/>
        <v>9.4683800672183162E-3</v>
      </c>
      <c r="K73">
        <f t="shared" si="115"/>
        <v>48.950199400596098</v>
      </c>
      <c r="AA73" s="12" t="s">
        <v>315</v>
      </c>
      <c r="AB73" s="12">
        <v>25.963999999999999</v>
      </c>
      <c r="AC73" s="12">
        <v>18.204999999999998</v>
      </c>
      <c r="AD73" s="12">
        <f t="shared" ref="AD73" si="188">AVERAGE(AC73:AC75)</f>
        <v>18.329333333333331</v>
      </c>
      <c r="AE73" s="12">
        <f t="shared" ref="AE73" si="189">AB73-AD73</f>
        <v>7.6346666666666678</v>
      </c>
      <c r="AF73" s="12">
        <f t="shared" si="118"/>
        <v>5.0319501083145521E-3</v>
      </c>
      <c r="AG73" s="12"/>
      <c r="AH73" s="12">
        <v>3.8113738462352332E-3</v>
      </c>
      <c r="AI73" s="12">
        <f t="shared" si="126"/>
        <v>1.3202457463691128</v>
      </c>
      <c r="AJ73" s="12">
        <f t="shared" ref="AJ73" si="190">AVERAGE(AI73:AI75)</f>
        <v>1.3189731005434888</v>
      </c>
    </row>
    <row r="74" spans="2:36">
      <c r="B74" t="s">
        <v>305</v>
      </c>
      <c r="C74" t="s">
        <v>28</v>
      </c>
      <c r="D74">
        <v>18.734000000000002</v>
      </c>
      <c r="E74">
        <f t="shared" ref="E74" si="191">AVERAGE(D72:D74)</f>
        <v>18.737333333333332</v>
      </c>
      <c r="F74" t="s">
        <v>126</v>
      </c>
      <c r="G74">
        <v>25.567</v>
      </c>
      <c r="H74">
        <f>G74-E74</f>
        <v>6.8296666666666681</v>
      </c>
      <c r="I74">
        <f t="shared" si="116"/>
        <v>8.7915504564573307E-3</v>
      </c>
      <c r="K74">
        <f t="shared" si="115"/>
        <v>45.451085067228242</v>
      </c>
      <c r="AA74" s="12" t="s">
        <v>315</v>
      </c>
      <c r="AB74" s="12">
        <v>25.931999999999999</v>
      </c>
      <c r="AC74" s="12">
        <v>18.361999999999998</v>
      </c>
      <c r="AD74" s="12"/>
      <c r="AE74" s="12">
        <f t="shared" ref="AE74" si="192">AB74-AD73</f>
        <v>7.6026666666666678</v>
      </c>
      <c r="AF74" s="12">
        <f t="shared" si="118"/>
        <v>5.1448093553464851E-3</v>
      </c>
      <c r="AG74" s="12"/>
      <c r="AH74" s="12">
        <v>3.8113738462352332E-3</v>
      </c>
      <c r="AI74" s="12">
        <f t="shared" si="126"/>
        <v>1.3498569185041718</v>
      </c>
      <c r="AJ74" s="12"/>
    </row>
    <row r="75" spans="2:36">
      <c r="B75" t="s">
        <v>291</v>
      </c>
      <c r="C75" t="s">
        <v>28</v>
      </c>
      <c r="D75">
        <v>19.565999999999999</v>
      </c>
      <c r="F75" t="s">
        <v>126</v>
      </c>
      <c r="G75">
        <v>31.427</v>
      </c>
      <c r="H75">
        <f>G75-E77</f>
        <v>11.934000000000001</v>
      </c>
      <c r="I75">
        <f t="shared" si="116"/>
        <v>2.5556891649769882E-4</v>
      </c>
      <c r="K75">
        <f t="shared" si="115"/>
        <v>1.3212555193543225</v>
      </c>
      <c r="AA75" s="12" t="s">
        <v>315</v>
      </c>
      <c r="AB75" s="12">
        <v>26.001000000000001</v>
      </c>
      <c r="AC75" s="12">
        <v>18.420999999999999</v>
      </c>
      <c r="AD75" s="12"/>
      <c r="AE75" s="12">
        <f t="shared" ref="AE75" si="193">AB75-AD73</f>
        <v>7.6716666666666704</v>
      </c>
      <c r="AF75" s="12">
        <f t="shared" si="118"/>
        <v>4.9045392742367074E-3</v>
      </c>
      <c r="AG75" s="12"/>
      <c r="AH75" s="12">
        <v>3.8113738462352332E-3</v>
      </c>
      <c r="AI75" s="12">
        <f t="shared" si="126"/>
        <v>1.2868166367571818</v>
      </c>
      <c r="AJ75" s="12"/>
    </row>
    <row r="76" spans="2:36">
      <c r="B76" t="s">
        <v>291</v>
      </c>
      <c r="C76" t="s">
        <v>28</v>
      </c>
      <c r="D76">
        <v>19.382000000000001</v>
      </c>
      <c r="F76" t="s">
        <v>126</v>
      </c>
      <c r="G76">
        <v>31.361000000000001</v>
      </c>
      <c r="H76">
        <f>G76-E77</f>
        <v>11.868000000000002</v>
      </c>
      <c r="I76">
        <f t="shared" si="116"/>
        <v>2.6753216954289287E-4</v>
      </c>
      <c r="K76">
        <f t="shared" si="115"/>
        <v>1.3831038627757626</v>
      </c>
      <c r="AA76" s="12" t="s">
        <v>316</v>
      </c>
      <c r="AB76" s="12">
        <v>24.463999999999999</v>
      </c>
      <c r="AC76" s="12">
        <v>16.902000000000001</v>
      </c>
      <c r="AD76" s="12">
        <f t="shared" ref="AD76" si="194">AVERAGE(AC76:AC78)</f>
        <v>16.787666666666667</v>
      </c>
      <c r="AE76" s="12">
        <f t="shared" ref="AE76" si="195">AB76-AD76</f>
        <v>7.6763333333333321</v>
      </c>
      <c r="AF76" s="12">
        <f t="shared" si="118"/>
        <v>4.8887002565189425E-3</v>
      </c>
      <c r="AG76" s="12"/>
      <c r="AH76" s="12">
        <v>3.8113738462352332E-3</v>
      </c>
      <c r="AI76" s="12">
        <f t="shared" si="126"/>
        <v>1.2826609127697777</v>
      </c>
      <c r="AJ76" s="12">
        <f t="shared" ref="AJ76" si="196">AVERAGE(AI76:AI78)</f>
        <v>1.1994335786482118</v>
      </c>
    </row>
    <row r="77" spans="2:36">
      <c r="B77" t="s">
        <v>291</v>
      </c>
      <c r="C77" t="s">
        <v>28</v>
      </c>
      <c r="D77">
        <v>19.530999999999999</v>
      </c>
      <c r="E77">
        <f t="shared" ref="E77" si="197">AVERAGE(D75:D77)</f>
        <v>19.492999999999999</v>
      </c>
      <c r="F77" t="s">
        <v>126</v>
      </c>
      <c r="G77">
        <v>31.425000000000001</v>
      </c>
      <c r="H77">
        <f>G77-E77</f>
        <v>11.932000000000002</v>
      </c>
      <c r="I77">
        <f t="shared" si="116"/>
        <v>2.5592345593675002E-4</v>
      </c>
      <c r="K77">
        <f t="shared" si="115"/>
        <v>1.32308843861968</v>
      </c>
      <c r="AA77" s="12" t="s">
        <v>316</v>
      </c>
      <c r="AB77" s="12">
        <v>24.684999999999999</v>
      </c>
      <c r="AC77" s="12">
        <v>16.786999999999999</v>
      </c>
      <c r="AD77" s="12"/>
      <c r="AE77" s="12">
        <f t="shared" ref="AE77" si="198">AB77-AD76</f>
        <v>7.8973333333333322</v>
      </c>
      <c r="AF77" s="12">
        <f t="shared" si="118"/>
        <v>4.1943607521924336E-3</v>
      </c>
      <c r="AG77" s="12"/>
      <c r="AH77" s="12">
        <v>3.8113738462352332E-3</v>
      </c>
      <c r="AI77" s="12">
        <f t="shared" si="126"/>
        <v>1.1004852636892348</v>
      </c>
      <c r="AJ77" s="12"/>
    </row>
    <row r="78" spans="2:36">
      <c r="AA78" s="12" t="s">
        <v>316</v>
      </c>
      <c r="AB78" s="12">
        <v>24.542000000000002</v>
      </c>
      <c r="AC78" s="12">
        <v>16.673999999999999</v>
      </c>
      <c r="AD78" s="12"/>
      <c r="AE78" s="12">
        <f t="shared" ref="AE78" si="199">AB78-AD76</f>
        <v>7.7543333333333351</v>
      </c>
      <c r="AF78" s="12">
        <f t="shared" si="118"/>
        <v>4.6314083071569969E-3</v>
      </c>
      <c r="AG78" s="12"/>
      <c r="AH78" s="12">
        <v>3.8113738462352332E-3</v>
      </c>
      <c r="AI78" s="12">
        <f t="shared" si="126"/>
        <v>1.2151545594856223</v>
      </c>
      <c r="AJ78" s="12"/>
    </row>
  </sheetData>
  <phoneticPr fontId="2" type="noConversion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E12E5E-D21B-D44F-92BB-29AC0FE845B5}">
  <dimension ref="A1:N8"/>
  <sheetViews>
    <sheetView workbookViewId="0">
      <selection activeCell="M9" sqref="M9"/>
    </sheetView>
  </sheetViews>
  <sheetFormatPr baseColWidth="10" defaultRowHeight="16"/>
  <sheetData>
    <row r="1" spans="1:14">
      <c r="A1" t="s">
        <v>317</v>
      </c>
    </row>
    <row r="3" spans="1:14">
      <c r="E3">
        <v>20.58</v>
      </c>
      <c r="F3">
        <v>21.76</v>
      </c>
      <c r="G3">
        <v>19.36</v>
      </c>
      <c r="H3">
        <v>20.02</v>
      </c>
      <c r="I3">
        <v>19.84</v>
      </c>
      <c r="J3">
        <v>19.88</v>
      </c>
      <c r="K3">
        <v>20.170000000000002</v>
      </c>
      <c r="L3">
        <v>20.87</v>
      </c>
      <c r="M3">
        <v>19.440000000000001</v>
      </c>
      <c r="N3">
        <v>21.47</v>
      </c>
    </row>
    <row r="5" spans="1:14">
      <c r="C5" t="s">
        <v>691</v>
      </c>
    </row>
    <row r="6" spans="1:14">
      <c r="D6" s="90" t="s">
        <v>318</v>
      </c>
      <c r="E6" s="90"/>
      <c r="F6" s="90"/>
      <c r="G6" s="90"/>
      <c r="H6" s="90"/>
      <c r="I6" s="90"/>
      <c r="J6" s="90" t="s">
        <v>663</v>
      </c>
      <c r="K6" s="90" t="s">
        <v>396</v>
      </c>
      <c r="L6" s="90" t="s">
        <v>664</v>
      </c>
      <c r="M6" s="101" t="s">
        <v>665</v>
      </c>
    </row>
    <row r="7" spans="1:14" ht="18">
      <c r="D7" s="95" t="s">
        <v>319</v>
      </c>
      <c r="E7" s="90">
        <v>20.58</v>
      </c>
      <c r="F7" s="90">
        <v>21.76</v>
      </c>
      <c r="G7" s="90">
        <v>19.36</v>
      </c>
      <c r="H7" s="90">
        <v>20.02</v>
      </c>
      <c r="I7" s="90">
        <v>19.84</v>
      </c>
      <c r="J7" s="90">
        <f>AVERAGE(E7:I7)</f>
        <v>20.312000000000001</v>
      </c>
      <c r="K7" s="90">
        <f>STDEV(E7:I7)</f>
        <v>0.91963036052535874</v>
      </c>
      <c r="L7" s="90">
        <f>K7/SQRT(5)</f>
        <v>0.41127120006146822</v>
      </c>
      <c r="M7" s="94"/>
    </row>
    <row r="8" spans="1:14" ht="18">
      <c r="D8" s="95" t="s">
        <v>320</v>
      </c>
      <c r="E8" s="90">
        <v>19.88</v>
      </c>
      <c r="F8" s="90">
        <v>20.170000000000002</v>
      </c>
      <c r="G8" s="90">
        <v>20.87</v>
      </c>
      <c r="H8" s="90">
        <v>19.440000000000001</v>
      </c>
      <c r="I8" s="90">
        <v>21.47</v>
      </c>
      <c r="J8" s="90">
        <f>AVERAGE(E8:I8)</f>
        <v>20.366</v>
      </c>
      <c r="K8" s="90">
        <f>STDEV(E8:I8)</f>
        <v>0.80698822791909364</v>
      </c>
      <c r="L8" s="90">
        <f>K8/SQRT(5)</f>
        <v>0.36089610693383739</v>
      </c>
      <c r="M8" s="94">
        <v>0.92379999999999995</v>
      </c>
    </row>
  </sheetData>
  <phoneticPr fontId="2" type="noConversion"/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96E098-5572-4640-BA13-E14FC6B4F6C0}">
  <dimension ref="A1:O6"/>
  <sheetViews>
    <sheetView topLeftCell="B1" workbookViewId="0">
      <selection activeCell="I5" sqref="I5:O6"/>
    </sheetView>
  </sheetViews>
  <sheetFormatPr baseColWidth="10" defaultRowHeight="16"/>
  <sheetData>
    <row r="1" spans="1:15">
      <c r="A1" t="s">
        <v>321</v>
      </c>
    </row>
    <row r="5" spans="1:15">
      <c r="B5" s="90"/>
      <c r="C5" s="90" t="s">
        <v>97</v>
      </c>
      <c r="D5" s="90"/>
      <c r="E5" s="90"/>
      <c r="F5" s="90" t="s">
        <v>99</v>
      </c>
      <c r="G5" s="90"/>
      <c r="H5" s="90"/>
      <c r="I5" s="90" t="s">
        <v>663</v>
      </c>
      <c r="J5" s="90" t="s">
        <v>396</v>
      </c>
      <c r="K5" s="90" t="s">
        <v>664</v>
      </c>
      <c r="L5" s="90" t="s">
        <v>663</v>
      </c>
      <c r="M5" s="90" t="s">
        <v>396</v>
      </c>
      <c r="N5" s="90" t="s">
        <v>664</v>
      </c>
      <c r="O5" s="101" t="s">
        <v>665</v>
      </c>
    </row>
    <row r="6" spans="1:15">
      <c r="B6" s="90" t="s">
        <v>322</v>
      </c>
      <c r="C6" s="90">
        <v>87.602000000000004</v>
      </c>
      <c r="D6" s="90">
        <v>80.814999999999998</v>
      </c>
      <c r="E6" s="90">
        <v>78.840999999999994</v>
      </c>
      <c r="F6" s="90">
        <v>83.578000000000003</v>
      </c>
      <c r="G6" s="90">
        <v>83.051000000000002</v>
      </c>
      <c r="H6" s="90">
        <v>84.433999999999997</v>
      </c>
      <c r="I6" s="90">
        <f>AVERAGE(C6:E6)</f>
        <v>82.419333333333327</v>
      </c>
      <c r="J6" s="90">
        <f>STDEV(C6:E6)</f>
        <v>4.5955624610414532</v>
      </c>
      <c r="K6" s="90">
        <f>J6/SQRT(3)</f>
        <v>2.6532492239600223</v>
      </c>
      <c r="L6" s="90">
        <f>AVERAGE(F6:H6)</f>
        <v>83.687666666666672</v>
      </c>
      <c r="M6" s="90">
        <f>STDEV(F6:H6)</f>
        <v>0.69799164273888692</v>
      </c>
      <c r="N6" s="90">
        <f>M6/SQRT(3)</f>
        <v>0.4029856628274055</v>
      </c>
      <c r="O6" s="94">
        <v>0.66110000000000002</v>
      </c>
    </row>
  </sheetData>
  <phoneticPr fontId="2" type="noConversion"/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F97BDA-9CAC-F449-ABFA-A865F22EB3C4}">
  <dimension ref="A1:O6"/>
  <sheetViews>
    <sheetView workbookViewId="0">
      <selection activeCell="B5" sqref="B5:O6"/>
    </sheetView>
  </sheetViews>
  <sheetFormatPr baseColWidth="10" defaultRowHeight="16"/>
  <sheetData>
    <row r="1" spans="1:15">
      <c r="A1" t="s">
        <v>323</v>
      </c>
    </row>
    <row r="5" spans="1:15">
      <c r="B5" s="90"/>
      <c r="C5" s="90" t="s">
        <v>97</v>
      </c>
      <c r="D5" s="90"/>
      <c r="E5" s="90"/>
      <c r="F5" s="90" t="s">
        <v>99</v>
      </c>
      <c r="G5" s="90"/>
      <c r="H5" s="90"/>
      <c r="I5" s="90" t="s">
        <v>663</v>
      </c>
      <c r="J5" s="90" t="s">
        <v>396</v>
      </c>
      <c r="K5" s="90" t="s">
        <v>664</v>
      </c>
      <c r="L5" s="90" t="s">
        <v>663</v>
      </c>
      <c r="M5" s="90" t="s">
        <v>396</v>
      </c>
      <c r="N5" s="90" t="s">
        <v>664</v>
      </c>
      <c r="O5" s="101" t="s">
        <v>665</v>
      </c>
    </row>
    <row r="6" spans="1:15">
      <c r="B6" s="90" t="s">
        <v>324</v>
      </c>
      <c r="C6" s="90">
        <v>78.433999999999997</v>
      </c>
      <c r="D6" s="90">
        <v>79.22</v>
      </c>
      <c r="E6" s="90">
        <v>73.600999999999999</v>
      </c>
      <c r="F6" s="90">
        <v>78.087999999999994</v>
      </c>
      <c r="G6" s="90">
        <v>77.673000000000002</v>
      </c>
      <c r="H6" s="90">
        <v>75.373999999999995</v>
      </c>
      <c r="I6" s="90">
        <f>AVERAGE(C6:E6)</f>
        <v>77.084999999999994</v>
      </c>
      <c r="J6" s="90">
        <f>STDEV(C6:E6)</f>
        <v>3.0427193429562309</v>
      </c>
      <c r="K6" s="90">
        <f>J6/SQRT(3)</f>
        <v>1.7567148317242613</v>
      </c>
      <c r="L6" s="90">
        <f>AVERAGE(F6:H6)</f>
        <v>77.045000000000002</v>
      </c>
      <c r="M6" s="90">
        <f>STDEV(F6:H6)</f>
        <v>1.4619292048522741</v>
      </c>
      <c r="N6" s="90">
        <f>M6/SQRT(3)</f>
        <v>0.84404521995763604</v>
      </c>
      <c r="O6" s="94">
        <v>0.98460000000000003</v>
      </c>
    </row>
  </sheetData>
  <phoneticPr fontId="2" type="noConversion"/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C86C-F763-194B-A002-F60D20823DE3}">
  <dimension ref="A1:EZ65"/>
  <sheetViews>
    <sheetView topLeftCell="DK18" zoomScale="75" workbookViewId="0">
      <selection activeCell="DT36" sqref="DT36:DZ41"/>
    </sheetView>
  </sheetViews>
  <sheetFormatPr baseColWidth="10" defaultRowHeight="16"/>
  <sheetData>
    <row r="1" spans="1:156">
      <c r="A1" t="s">
        <v>325</v>
      </c>
    </row>
    <row r="2" spans="1:156">
      <c r="D2" t="s">
        <v>54</v>
      </c>
      <c r="E2" t="s">
        <v>328</v>
      </c>
      <c r="AC2" t="s">
        <v>53</v>
      </c>
      <c r="AD2" t="s">
        <v>328</v>
      </c>
      <c r="BC2" t="s">
        <v>53</v>
      </c>
      <c r="BD2" t="s">
        <v>328</v>
      </c>
      <c r="CC2" t="s">
        <v>31</v>
      </c>
      <c r="CD2" t="s">
        <v>328</v>
      </c>
      <c r="DC2" t="s">
        <v>31</v>
      </c>
      <c r="DD2" t="s">
        <v>328</v>
      </c>
      <c r="EC2" t="s">
        <v>31</v>
      </c>
      <c r="ED2" t="s">
        <v>328</v>
      </c>
    </row>
    <row r="3" spans="1:156">
      <c r="B3" t="s">
        <v>33</v>
      </c>
      <c r="C3" t="s">
        <v>34</v>
      </c>
      <c r="D3">
        <v>16.623999999999999</v>
      </c>
      <c r="F3" t="s">
        <v>33</v>
      </c>
      <c r="G3" t="s">
        <v>35</v>
      </c>
      <c r="H3">
        <v>24.504999999999999</v>
      </c>
      <c r="I3">
        <f>H3-E5</f>
        <v>7.9276666666666671</v>
      </c>
      <c r="J3">
        <f t="shared" ref="J3:J32" si="0">POWER(2,-I3)</f>
        <v>4.1070930064856974E-3</v>
      </c>
      <c r="L3">
        <f>J3/0.00372729010680137</f>
        <v>1.1018978638103007</v>
      </c>
      <c r="AB3" t="s">
        <v>33</v>
      </c>
      <c r="AC3" t="s">
        <v>34</v>
      </c>
      <c r="AD3">
        <v>16.623999999999999</v>
      </c>
      <c r="AF3" t="s">
        <v>33</v>
      </c>
      <c r="AG3" t="s">
        <v>49</v>
      </c>
      <c r="AH3">
        <v>24.574000000000002</v>
      </c>
      <c r="AI3">
        <f>AH3-AE5</f>
        <v>7.9966666666666697</v>
      </c>
      <c r="AJ3">
        <f t="shared" ref="AJ3:AJ32" si="1">POWER(2,-AI3)</f>
        <v>3.9152857884459805E-3</v>
      </c>
      <c r="AL3">
        <f t="shared" ref="AL3:AL32" si="2">AJ3/0.0041036487347133</f>
        <v>0.95409866719976955</v>
      </c>
      <c r="BB3" t="s">
        <v>33</v>
      </c>
      <c r="BC3" t="s">
        <v>34</v>
      </c>
      <c r="BD3">
        <v>16.623999999999999</v>
      </c>
      <c r="BF3" t="s">
        <v>33</v>
      </c>
      <c r="BG3" t="s">
        <v>52</v>
      </c>
      <c r="BH3">
        <v>23.504999999999999</v>
      </c>
      <c r="BI3">
        <f>BH3-BE5</f>
        <v>6.9276666666666671</v>
      </c>
      <c r="BJ3">
        <f t="shared" ref="BJ3:BJ32" si="3">POWER(2,-BI3)</f>
        <v>8.2141860129713966E-3</v>
      </c>
      <c r="BL3">
        <f t="shared" ref="BL3:BL32" si="4">BJ3/0.00865766253449659</f>
        <v>0.94877641398493484</v>
      </c>
      <c r="CB3" t="s">
        <v>33</v>
      </c>
      <c r="CC3" t="s">
        <v>34</v>
      </c>
      <c r="CD3">
        <v>15.752000000000001</v>
      </c>
      <c r="CF3" t="s">
        <v>33</v>
      </c>
      <c r="CG3" t="s">
        <v>35</v>
      </c>
      <c r="CH3">
        <v>32.790999999999997</v>
      </c>
      <c r="CI3">
        <f>CH3-CE5</f>
        <v>17.141999999999996</v>
      </c>
      <c r="CJ3">
        <f>POWER(2,-CI3)</f>
        <v>6.9142298756968479E-6</v>
      </c>
      <c r="CL3">
        <f>CJ3/6.90171012894118E-06</f>
        <v>1.0018140064595249</v>
      </c>
      <c r="DB3" t="s">
        <v>33</v>
      </c>
      <c r="DC3" t="s">
        <v>34</v>
      </c>
      <c r="DD3">
        <v>15.752000000000001</v>
      </c>
      <c r="DF3" t="s">
        <v>33</v>
      </c>
      <c r="DG3" t="s">
        <v>329</v>
      </c>
      <c r="DH3">
        <v>28.809000000000001</v>
      </c>
      <c r="DI3">
        <f>DH3-DE5</f>
        <v>13.16</v>
      </c>
      <c r="DJ3">
        <f t="shared" ref="DJ3:DJ32" si="5">POWER(2,-DI3)</f>
        <v>1.0925599010351225E-4</v>
      </c>
      <c r="DL3">
        <f t="shared" ref="DL3:DL32" si="6">DJ3/0.000094529847323228</f>
        <v>1.1557829955012073</v>
      </c>
      <c r="EB3" t="s">
        <v>33</v>
      </c>
      <c r="EC3" t="s">
        <v>34</v>
      </c>
      <c r="ED3">
        <v>15.752000000000001</v>
      </c>
      <c r="EF3" t="s">
        <v>33</v>
      </c>
      <c r="EG3" t="s">
        <v>52</v>
      </c>
      <c r="EH3">
        <v>23.853000000000002</v>
      </c>
      <c r="EI3">
        <f>EH3-EE5</f>
        <v>8.2040000000000006</v>
      </c>
      <c r="EJ3">
        <f t="shared" ref="EJ3:EJ32" si="7">POWER(2,-EI3)</f>
        <v>3.3911727640665731E-3</v>
      </c>
      <c r="EL3">
        <f t="shared" ref="EL3:EL32" si="8">EJ3/0.00362694858937448</f>
        <v>0.93499333682351149</v>
      </c>
    </row>
    <row r="4" spans="1:156">
      <c r="B4" t="s">
        <v>33</v>
      </c>
      <c r="C4" t="s">
        <v>34</v>
      </c>
      <c r="D4">
        <v>16.664000000000001</v>
      </c>
      <c r="F4" t="s">
        <v>33</v>
      </c>
      <c r="G4" t="s">
        <v>35</v>
      </c>
      <c r="H4">
        <v>24.478000000000002</v>
      </c>
      <c r="I4">
        <f>H4-E5</f>
        <v>7.9006666666666696</v>
      </c>
      <c r="J4">
        <f t="shared" si="0"/>
        <v>4.1846809079943781E-3</v>
      </c>
      <c r="K4">
        <v>3.7272901068013701E-3</v>
      </c>
      <c r="L4">
        <f t="shared" ref="L4:L31" si="9">J4/0.00372729010680137</f>
        <v>1.1227140330070859</v>
      </c>
      <c r="AB4" t="s">
        <v>33</v>
      </c>
      <c r="AC4" t="s">
        <v>34</v>
      </c>
      <c r="AD4">
        <v>16.664000000000001</v>
      </c>
      <c r="AF4" t="s">
        <v>33</v>
      </c>
      <c r="AG4" t="s">
        <v>49</v>
      </c>
      <c r="AH4">
        <v>24.338000000000001</v>
      </c>
      <c r="AI4">
        <f>AH4-AE5</f>
        <v>7.760666666666669</v>
      </c>
      <c r="AJ4">
        <f t="shared" si="1"/>
        <v>4.6111213008301864E-3</v>
      </c>
      <c r="AK4">
        <v>4.1036487347133003E-3</v>
      </c>
      <c r="AL4">
        <f t="shared" si="2"/>
        <v>1.1236637438833663</v>
      </c>
      <c r="BB4" t="s">
        <v>33</v>
      </c>
      <c r="BC4" t="s">
        <v>34</v>
      </c>
      <c r="BD4">
        <v>16.664000000000001</v>
      </c>
      <c r="BF4" t="s">
        <v>33</v>
      </c>
      <c r="BG4" t="s">
        <v>52</v>
      </c>
      <c r="BH4">
        <v>23.594000000000001</v>
      </c>
      <c r="BI4">
        <f>BH4-BE5</f>
        <v>7.0166666666666693</v>
      </c>
      <c r="BJ4">
        <f t="shared" si="3"/>
        <v>7.7227657840069908E-3</v>
      </c>
      <c r="BK4">
        <v>8.6576625344965893E-3</v>
      </c>
      <c r="BL4">
        <f t="shared" si="4"/>
        <v>0.89201510837775344</v>
      </c>
      <c r="BM4" s="90"/>
      <c r="BN4" s="90" t="s">
        <v>36</v>
      </c>
      <c r="BO4" s="90"/>
      <c r="BP4" s="90"/>
      <c r="BQ4" s="90" t="s">
        <v>2</v>
      </c>
      <c r="BR4" s="90"/>
      <c r="BS4" s="90"/>
      <c r="BT4" s="90" t="s">
        <v>663</v>
      </c>
      <c r="BU4" s="90" t="s">
        <v>396</v>
      </c>
      <c r="BV4" s="90" t="s">
        <v>664</v>
      </c>
      <c r="BW4" s="90" t="s">
        <v>663</v>
      </c>
      <c r="BX4" s="90" t="s">
        <v>396</v>
      </c>
      <c r="BY4" s="90" t="s">
        <v>664</v>
      </c>
      <c r="BZ4" s="101" t="s">
        <v>665</v>
      </c>
      <c r="CB4" t="s">
        <v>33</v>
      </c>
      <c r="CC4" t="s">
        <v>34</v>
      </c>
      <c r="CD4">
        <v>15.586</v>
      </c>
      <c r="CF4" t="s">
        <v>33</v>
      </c>
      <c r="CG4" t="s">
        <v>35</v>
      </c>
      <c r="CH4">
        <v>32.627000000000002</v>
      </c>
      <c r="CI4">
        <f>CH4-CE5</f>
        <v>16.978000000000002</v>
      </c>
      <c r="CJ4">
        <f t="shared" ref="CJ4:CJ32" si="10">POWER(2,-CI4)</f>
        <v>7.7466285771898593E-6</v>
      </c>
      <c r="CK4">
        <v>6.9017101289411796E-6</v>
      </c>
      <c r="CL4">
        <f t="shared" ref="CL4:CL32" si="11">CJ4/6.90171012894118E-06</f>
        <v>1.1224216074659024</v>
      </c>
      <c r="DB4" t="s">
        <v>33</v>
      </c>
      <c r="DC4" t="s">
        <v>34</v>
      </c>
      <c r="DD4">
        <v>15.586</v>
      </c>
      <c r="DF4" t="s">
        <v>33</v>
      </c>
      <c r="DG4" t="s">
        <v>329</v>
      </c>
      <c r="DH4">
        <v>29.28</v>
      </c>
      <c r="DI4">
        <f>DH4-DE5</f>
        <v>13.631</v>
      </c>
      <c r="DJ4">
        <f t="shared" si="5"/>
        <v>7.882430116591396E-5</v>
      </c>
      <c r="DK4">
        <v>9.4529847323227996E-5</v>
      </c>
      <c r="DL4">
        <f t="shared" si="6"/>
        <v>0.83385621999777793</v>
      </c>
      <c r="EB4" t="s">
        <v>33</v>
      </c>
      <c r="EC4" t="s">
        <v>34</v>
      </c>
      <c r="ED4">
        <v>15.586</v>
      </c>
      <c r="EF4" t="s">
        <v>33</v>
      </c>
      <c r="EG4" t="s">
        <v>52</v>
      </c>
      <c r="EH4">
        <v>23.599</v>
      </c>
      <c r="EI4">
        <f>EH4-EE5</f>
        <v>7.9499999999999993</v>
      </c>
      <c r="EJ4">
        <f t="shared" si="7"/>
        <v>4.0440036087553838E-3</v>
      </c>
      <c r="EK4">
        <v>3.6269485893744798E-3</v>
      </c>
      <c r="EL4">
        <f t="shared" si="8"/>
        <v>1.1149878497320611</v>
      </c>
    </row>
    <row r="5" spans="1:156">
      <c r="B5" t="s">
        <v>33</v>
      </c>
      <c r="C5" t="s">
        <v>34</v>
      </c>
      <c r="D5">
        <v>16.443999999999999</v>
      </c>
      <c r="E5">
        <f>AVERAGE(D3:D5)</f>
        <v>16.577333333333332</v>
      </c>
      <c r="F5" t="s">
        <v>33</v>
      </c>
      <c r="G5" t="s">
        <v>35</v>
      </c>
      <c r="H5">
        <v>25.012</v>
      </c>
      <c r="I5">
        <f>H5-E5</f>
        <v>8.4346666666666685</v>
      </c>
      <c r="J5">
        <f t="shared" si="0"/>
        <v>2.8900964059240361E-3</v>
      </c>
      <c r="K5">
        <f>AVERAGE(J3:J5)</f>
        <v>3.7272901068013706E-3</v>
      </c>
      <c r="L5">
        <f t="shared" si="9"/>
        <v>0.77538810318261375</v>
      </c>
      <c r="M5" s="101"/>
      <c r="N5" s="101" t="s">
        <v>36</v>
      </c>
      <c r="O5" s="101"/>
      <c r="P5" s="101"/>
      <c r="Q5" s="101" t="s">
        <v>2</v>
      </c>
      <c r="R5" s="101"/>
      <c r="S5" s="101"/>
      <c r="T5" s="101" t="s">
        <v>663</v>
      </c>
      <c r="U5" s="101" t="s">
        <v>396</v>
      </c>
      <c r="V5" s="101" t="s">
        <v>664</v>
      </c>
      <c r="W5" s="101" t="s">
        <v>663</v>
      </c>
      <c r="X5" s="101" t="s">
        <v>396</v>
      </c>
      <c r="Y5" s="101" t="s">
        <v>664</v>
      </c>
      <c r="Z5" s="101" t="s">
        <v>665</v>
      </c>
      <c r="AB5" t="s">
        <v>33</v>
      </c>
      <c r="AC5" t="s">
        <v>34</v>
      </c>
      <c r="AD5">
        <v>16.443999999999999</v>
      </c>
      <c r="AE5">
        <f>AVERAGE(AD3:AD5)</f>
        <v>16.577333333333332</v>
      </c>
      <c r="AF5" t="s">
        <v>33</v>
      </c>
      <c r="AG5" t="s">
        <v>49</v>
      </c>
      <c r="AH5">
        <v>24.623000000000001</v>
      </c>
      <c r="AI5">
        <f>AH5-AE5</f>
        <v>8.0456666666666692</v>
      </c>
      <c r="AJ5">
        <f t="shared" si="1"/>
        <v>3.7845391148637253E-3</v>
      </c>
      <c r="AK5">
        <f>AVERAGE(AJ3:AJ5)</f>
        <v>4.1036487347132977E-3</v>
      </c>
      <c r="AL5">
        <f t="shared" si="2"/>
        <v>0.92223758891686192</v>
      </c>
      <c r="AM5" s="101"/>
      <c r="AN5" s="101" t="s">
        <v>36</v>
      </c>
      <c r="AO5" s="101"/>
      <c r="AP5" s="101"/>
      <c r="AQ5" s="101" t="s">
        <v>2</v>
      </c>
      <c r="AR5" s="101"/>
      <c r="AS5" s="101"/>
      <c r="AT5" s="101" t="s">
        <v>663</v>
      </c>
      <c r="AU5" s="101" t="s">
        <v>396</v>
      </c>
      <c r="AV5" s="101" t="s">
        <v>664</v>
      </c>
      <c r="AW5" s="101" t="s">
        <v>663</v>
      </c>
      <c r="AX5" s="101" t="s">
        <v>396</v>
      </c>
      <c r="AY5" s="101" t="s">
        <v>664</v>
      </c>
      <c r="AZ5" s="101" t="s">
        <v>665</v>
      </c>
      <c r="BB5" t="s">
        <v>33</v>
      </c>
      <c r="BC5" t="s">
        <v>34</v>
      </c>
      <c r="BD5">
        <v>16.443999999999999</v>
      </c>
      <c r="BE5">
        <f>AVERAGE(BD3:BD5)</f>
        <v>16.577333333333332</v>
      </c>
      <c r="BF5" t="s">
        <v>33</v>
      </c>
      <c r="BG5" t="s">
        <v>52</v>
      </c>
      <c r="BH5">
        <v>23.216000000000001</v>
      </c>
      <c r="BI5">
        <f>BH5-BE5</f>
        <v>6.6386666666666692</v>
      </c>
      <c r="BJ5">
        <f t="shared" si="3"/>
        <v>1.0036035806511393E-2</v>
      </c>
      <c r="BK5">
        <f>AVERAGE(BJ3:BJ5)</f>
        <v>8.6576625344965946E-3</v>
      </c>
      <c r="BL5">
        <f t="shared" si="4"/>
        <v>1.1592084776373131</v>
      </c>
      <c r="BM5" s="90">
        <v>0</v>
      </c>
      <c r="BN5" s="90">
        <v>0.94877641398493484</v>
      </c>
      <c r="BO5" s="90">
        <v>0.89201510837775344</v>
      </c>
      <c r="BP5" s="90">
        <v>1.1592084776373131</v>
      </c>
      <c r="BQ5" s="90">
        <v>0.7801409552151628</v>
      </c>
      <c r="BR5" s="90">
        <v>0.92006437842596389</v>
      </c>
      <c r="BS5" s="90">
        <v>0.78611196717280052</v>
      </c>
      <c r="BT5" s="90">
        <f>AVERAGE(BN5:BP5)</f>
        <v>1.0000000000000004</v>
      </c>
      <c r="BU5" s="90">
        <f>STDEV(BN5:BP5)</f>
        <v>0.14076919395681434</v>
      </c>
      <c r="BV5" s="90">
        <f>BU5/SQRT(3)</f>
        <v>8.1273132024573397E-2</v>
      </c>
      <c r="BW5" s="90">
        <f>AVERAGE(BQ5:BS5)</f>
        <v>0.82877243360464237</v>
      </c>
      <c r="BX5" s="90">
        <f>STDEV(BQ5:BS5)</f>
        <v>7.9117492616323282E-2</v>
      </c>
      <c r="BY5" s="90">
        <f>BX5/SQRT(3)</f>
        <v>4.5678505659642481E-2</v>
      </c>
      <c r="BZ5" s="94">
        <v>0.99980000000000002</v>
      </c>
      <c r="CB5" t="s">
        <v>33</v>
      </c>
      <c r="CC5" t="s">
        <v>34</v>
      </c>
      <c r="CD5">
        <v>15.609</v>
      </c>
      <c r="CE5">
        <f t="shared" ref="CE5" si="12">AVERAGE(CD3:CD5)</f>
        <v>15.649000000000001</v>
      </c>
      <c r="CF5" t="s">
        <v>33</v>
      </c>
      <c r="CG5" t="s">
        <v>35</v>
      </c>
      <c r="CH5">
        <v>32.984999999999999</v>
      </c>
      <c r="CI5">
        <f>CH5-CE5</f>
        <v>17.335999999999999</v>
      </c>
      <c r="CJ5">
        <f t="shared" si="10"/>
        <v>6.0442719339368452E-6</v>
      </c>
      <c r="CK5">
        <f>AVERAGE(CJ3:CJ5)</f>
        <v>6.901710128941183E-6</v>
      </c>
      <c r="CL5">
        <f t="shared" si="11"/>
        <v>0.87576438607457463</v>
      </c>
      <c r="CM5" s="101"/>
      <c r="CN5" s="101" t="s">
        <v>36</v>
      </c>
      <c r="CO5" s="101"/>
      <c r="CP5" s="101"/>
      <c r="CQ5" s="101" t="s">
        <v>2</v>
      </c>
      <c r="CR5" s="101"/>
      <c r="CS5" s="101"/>
      <c r="CT5" s="101" t="s">
        <v>663</v>
      </c>
      <c r="CU5" s="101" t="s">
        <v>396</v>
      </c>
      <c r="CV5" s="101" t="s">
        <v>664</v>
      </c>
      <c r="CW5" s="101" t="s">
        <v>663</v>
      </c>
      <c r="CX5" s="101" t="s">
        <v>396</v>
      </c>
      <c r="CY5" s="101" t="s">
        <v>664</v>
      </c>
      <c r="CZ5" s="101" t="s">
        <v>665</v>
      </c>
      <c r="DB5" t="s">
        <v>33</v>
      </c>
      <c r="DC5" t="s">
        <v>34</v>
      </c>
      <c r="DD5">
        <v>15.609</v>
      </c>
      <c r="DE5">
        <f>AVERAGE(DD3:DD5)</f>
        <v>15.649000000000001</v>
      </c>
      <c r="DF5" t="s">
        <v>33</v>
      </c>
      <c r="DG5" t="s">
        <v>329</v>
      </c>
      <c r="DH5">
        <v>29.003</v>
      </c>
      <c r="DI5">
        <f>DH5-DE5</f>
        <v>13.353999999999999</v>
      </c>
      <c r="DJ5">
        <f t="shared" si="5"/>
        <v>9.5509250700257886E-5</v>
      </c>
      <c r="DK5">
        <f>AVERAGE(DJ3:DJ5)</f>
        <v>9.4529847323228023E-5</v>
      </c>
      <c r="DL5">
        <f t="shared" si="6"/>
        <v>1.0103607845010159</v>
      </c>
      <c r="EB5" t="s">
        <v>33</v>
      </c>
      <c r="EC5" t="s">
        <v>34</v>
      </c>
      <c r="ED5">
        <v>15.609</v>
      </c>
      <c r="EE5">
        <f>AVERAGE(ED3:ED5)</f>
        <v>15.649000000000001</v>
      </c>
      <c r="EF5" t="s">
        <v>33</v>
      </c>
      <c r="EG5" t="s">
        <v>52</v>
      </c>
      <c r="EH5">
        <v>23.83</v>
      </c>
      <c r="EI5">
        <f>EH5-EE5</f>
        <v>8.1809999999999974</v>
      </c>
      <c r="EJ5">
        <f t="shared" si="7"/>
        <v>3.4456693953014783E-3</v>
      </c>
      <c r="EK5">
        <f>AVERAGE(EJ3:EJ5)</f>
        <v>3.626948589374479E-3</v>
      </c>
      <c r="EL5">
        <f t="shared" si="8"/>
        <v>0.95001881344442607</v>
      </c>
      <c r="EM5" s="101"/>
      <c r="EN5" s="101" t="s">
        <v>36</v>
      </c>
      <c r="EO5" s="101"/>
      <c r="EP5" s="101"/>
      <c r="EQ5" s="101" t="s">
        <v>2</v>
      </c>
      <c r="ER5" s="101"/>
      <c r="ES5" s="101"/>
      <c r="ET5" s="101" t="s">
        <v>663</v>
      </c>
      <c r="EU5" s="101" t="s">
        <v>396</v>
      </c>
      <c r="EV5" s="101" t="s">
        <v>664</v>
      </c>
      <c r="EW5" s="101" t="s">
        <v>663</v>
      </c>
      <c r="EX5" s="101" t="s">
        <v>396</v>
      </c>
      <c r="EY5" s="101" t="s">
        <v>664</v>
      </c>
      <c r="EZ5" s="101" t="s">
        <v>665</v>
      </c>
    </row>
    <row r="6" spans="1:156">
      <c r="B6" t="s">
        <v>37</v>
      </c>
      <c r="C6" t="s">
        <v>34</v>
      </c>
      <c r="D6">
        <v>16.204999999999998</v>
      </c>
      <c r="F6" t="s">
        <v>37</v>
      </c>
      <c r="G6" t="s">
        <v>35</v>
      </c>
      <c r="H6">
        <v>24.324999999999999</v>
      </c>
      <c r="I6">
        <f t="shared" ref="I6" si="13">H6-E8</f>
        <v>8.2639999999999993</v>
      </c>
      <c r="J6">
        <f t="shared" si="0"/>
        <v>3.2530303550021475E-3</v>
      </c>
      <c r="L6">
        <f t="shared" si="9"/>
        <v>0.87276017207949086</v>
      </c>
      <c r="M6" s="101">
        <v>0</v>
      </c>
      <c r="N6" s="101">
        <v>1.1018978638103007</v>
      </c>
      <c r="O6" s="101">
        <v>1.1227140330070859</v>
      </c>
      <c r="P6" s="101">
        <v>0.77538810318261375</v>
      </c>
      <c r="Q6" s="101">
        <v>0.87276017207949086</v>
      </c>
      <c r="R6" s="101">
        <v>0.84069661638263904</v>
      </c>
      <c r="S6" s="101">
        <v>0.89543286267423883</v>
      </c>
      <c r="T6" s="101">
        <f>AVERAGE(N6:P6)</f>
        <v>1.0000000000000002</v>
      </c>
      <c r="U6" s="101">
        <f>STDEV(N6:P6)</f>
        <v>0.19479786027812288</v>
      </c>
      <c r="V6" s="101">
        <f>U6/SQRT(3)</f>
        <v>0.11246659706913735</v>
      </c>
      <c r="W6" s="101">
        <f>AVERAGE(Q6:S6)</f>
        <v>0.86962988371212291</v>
      </c>
      <c r="X6" s="101">
        <f>STDEV(Q6:S6)</f>
        <v>2.7502057986100371E-2</v>
      </c>
      <c r="Y6" s="101">
        <f>X6/SQRT(3)</f>
        <v>1.5878320581543749E-2</v>
      </c>
      <c r="Z6" s="99" t="s">
        <v>681</v>
      </c>
      <c r="AB6" t="s">
        <v>37</v>
      </c>
      <c r="AC6" t="s">
        <v>34</v>
      </c>
      <c r="AD6">
        <v>16.204999999999998</v>
      </c>
      <c r="AF6" t="s">
        <v>37</v>
      </c>
      <c r="AG6" t="s">
        <v>49</v>
      </c>
      <c r="AH6">
        <v>24.103999999999999</v>
      </c>
      <c r="AI6">
        <f>AH6-AE8</f>
        <v>8.0429999999999993</v>
      </c>
      <c r="AJ6">
        <f t="shared" si="1"/>
        <v>3.7915408975372944E-3</v>
      </c>
      <c r="AL6">
        <f t="shared" si="2"/>
        <v>0.92394382235110795</v>
      </c>
      <c r="AM6" s="101">
        <v>0</v>
      </c>
      <c r="AN6" s="101">
        <v>0.95409866719976955</v>
      </c>
      <c r="AO6" s="101">
        <v>1.1236637438833663</v>
      </c>
      <c r="AP6" s="101">
        <v>0.92223758891686192</v>
      </c>
      <c r="AQ6" s="101">
        <v>0.92394382235110795</v>
      </c>
      <c r="AR6" s="101">
        <v>0.95057808102809749</v>
      </c>
      <c r="AS6" s="101">
        <v>0.82010301171895772</v>
      </c>
      <c r="AT6" s="101">
        <f>AVERAGE(AN6:AP6)</f>
        <v>0.99999999999999922</v>
      </c>
      <c r="AU6" s="101">
        <f>STDEV(AN6:AP6)</f>
        <v>0.10827429630699821</v>
      </c>
      <c r="AV6" s="101">
        <f>AU6/SQRT(3)</f>
        <v>6.2512194119162728E-2</v>
      </c>
      <c r="AW6" s="101">
        <f>AVERAGE(AQ6:AS6)</f>
        <v>0.89820830503272109</v>
      </c>
      <c r="AX6" s="101">
        <f>STDEV(AQ6:AS6)</f>
        <v>6.8939637122195169E-2</v>
      </c>
      <c r="AY6" s="101">
        <f>AX6/SQRT(3)</f>
        <v>3.9802318050334504E-2</v>
      </c>
      <c r="AZ6" s="99" t="s">
        <v>681</v>
      </c>
      <c r="BB6" t="s">
        <v>37</v>
      </c>
      <c r="BC6" t="s">
        <v>34</v>
      </c>
      <c r="BD6">
        <v>16.204999999999998</v>
      </c>
      <c r="BF6" t="s">
        <v>37</v>
      </c>
      <c r="BG6" t="s">
        <v>52</v>
      </c>
      <c r="BH6">
        <v>23.271000000000001</v>
      </c>
      <c r="BI6">
        <f>BH6-BE8</f>
        <v>7.2100000000000009</v>
      </c>
      <c r="BJ6">
        <f t="shared" si="3"/>
        <v>6.7541971195926968E-3</v>
      </c>
      <c r="BL6">
        <f t="shared" si="4"/>
        <v>0.7801409552151628</v>
      </c>
      <c r="BM6" s="90" t="s">
        <v>326</v>
      </c>
      <c r="BN6" s="90">
        <v>10.036191861137921</v>
      </c>
      <c r="BO6" s="90">
        <v>12.703376026586177</v>
      </c>
      <c r="BP6" s="90">
        <v>9.9117517276908416</v>
      </c>
      <c r="BQ6" s="90">
        <v>20.895784971892095</v>
      </c>
      <c r="BR6" s="90">
        <v>22.25627198990718</v>
      </c>
      <c r="BS6" s="90">
        <v>22.945511316074157</v>
      </c>
      <c r="BT6" s="90">
        <f t="shared" ref="BT6:BT9" si="14">AVERAGE(BN6:BP6)</f>
        <v>10.883773205138313</v>
      </c>
      <c r="BU6" s="90">
        <f t="shared" ref="BU6:BU9" si="15">STDEV(BN6:BP6)</f>
        <v>1.5770501442784952</v>
      </c>
      <c r="BV6" s="90">
        <f t="shared" ref="BV6:BV9" si="16">BU6/SQRT(3)</f>
        <v>0.91051032532472742</v>
      </c>
      <c r="BW6" s="90">
        <f t="shared" ref="BW6:BW9" si="17">AVERAGE(BQ6:BS6)</f>
        <v>22.032522759291144</v>
      </c>
      <c r="BX6" s="90">
        <f t="shared" ref="BX6:BX9" si="18">STDEV(BQ6:BS6)</f>
        <v>1.0430207620941403</v>
      </c>
      <c r="BY6" s="90">
        <f t="shared" ref="BY6:BY9" si="19">BX6/SQRT(3)</f>
        <v>0.60218831776542059</v>
      </c>
      <c r="BZ6" s="94" t="s">
        <v>666</v>
      </c>
      <c r="CB6" t="s">
        <v>37</v>
      </c>
      <c r="CC6" t="s">
        <v>34</v>
      </c>
      <c r="CD6">
        <v>15.518000000000001</v>
      </c>
      <c r="CF6" t="s">
        <v>37</v>
      </c>
      <c r="CG6" t="s">
        <v>35</v>
      </c>
      <c r="CH6">
        <v>32.133000000000003</v>
      </c>
      <c r="CI6">
        <f t="shared" ref="CI6" si="20">CH6-CE8</f>
        <v>16.614000000000004</v>
      </c>
      <c r="CJ6">
        <f t="shared" si="10"/>
        <v>9.969827681680074E-6</v>
      </c>
      <c r="CL6">
        <f t="shared" si="11"/>
        <v>1.4445445397472216</v>
      </c>
      <c r="CM6" s="101">
        <v>0</v>
      </c>
      <c r="CN6" s="101">
        <v>1.0018140064595249</v>
      </c>
      <c r="CO6" s="101">
        <v>1.1224216074659024</v>
      </c>
      <c r="CP6" s="101">
        <v>0.87576438607457463</v>
      </c>
      <c r="CQ6" s="101">
        <v>1.4445445397472216</v>
      </c>
      <c r="CR6" s="101">
        <v>1.1077364558678833</v>
      </c>
      <c r="CS6" s="101">
        <v>0.63887902802190399</v>
      </c>
      <c r="CT6" s="101">
        <f>AVERAGE(CN6:CP6)</f>
        <v>1.0000000000000007</v>
      </c>
      <c r="CU6" s="101">
        <f>STDEV(CN6:CP6)</f>
        <v>0.12333861593474449</v>
      </c>
      <c r="CV6" s="101">
        <f>CU6/SQRT(3)</f>
        <v>7.1209583111400604E-2</v>
      </c>
      <c r="CW6" s="101">
        <f>AVERAGE(CQ6:CS6)</f>
        <v>1.063720007879003</v>
      </c>
      <c r="CX6" s="101">
        <f>STDEV(CQ6:CS6)</f>
        <v>0.40463232071359917</v>
      </c>
      <c r="CY6" s="101">
        <f>CX6/SQRT(3)</f>
        <v>0.23361457928681947</v>
      </c>
      <c r="CZ6" s="99" t="s">
        <v>681</v>
      </c>
      <c r="DB6" t="s">
        <v>37</v>
      </c>
      <c r="DC6" t="s">
        <v>34</v>
      </c>
      <c r="DD6">
        <v>15.518000000000001</v>
      </c>
      <c r="DF6" t="s">
        <v>37</v>
      </c>
      <c r="DG6" t="s">
        <v>329</v>
      </c>
      <c r="DH6">
        <v>28.388000000000002</v>
      </c>
      <c r="DI6">
        <f>DH6-DE8</f>
        <v>12.869000000000002</v>
      </c>
      <c r="DJ6">
        <f t="shared" si="5"/>
        <v>1.3367339731366865E-4</v>
      </c>
      <c r="DL6">
        <f t="shared" si="6"/>
        <v>1.4140866731392916</v>
      </c>
      <c r="DM6" s="101"/>
      <c r="DN6" s="101" t="s">
        <v>36</v>
      </c>
      <c r="DO6" s="101"/>
      <c r="DP6" s="101"/>
      <c r="DQ6" s="101" t="s">
        <v>2</v>
      </c>
      <c r="DR6" s="101"/>
      <c r="DS6" s="101"/>
      <c r="DT6" s="101" t="s">
        <v>663</v>
      </c>
      <c r="DU6" s="101" t="s">
        <v>396</v>
      </c>
      <c r="DV6" s="101" t="s">
        <v>664</v>
      </c>
      <c r="DW6" s="101" t="s">
        <v>663</v>
      </c>
      <c r="DX6" s="101" t="s">
        <v>396</v>
      </c>
      <c r="DY6" s="101" t="s">
        <v>664</v>
      </c>
      <c r="DZ6" s="101" t="s">
        <v>665</v>
      </c>
      <c r="EB6" t="s">
        <v>37</v>
      </c>
      <c r="EC6" t="s">
        <v>34</v>
      </c>
      <c r="ED6">
        <v>15.518000000000001</v>
      </c>
      <c r="EF6" t="s">
        <v>37</v>
      </c>
      <c r="EG6" t="s">
        <v>52</v>
      </c>
      <c r="EH6">
        <v>23.853000000000002</v>
      </c>
      <c r="EI6">
        <f>EH6-EE8</f>
        <v>8.3340000000000014</v>
      </c>
      <c r="EJ6">
        <f t="shared" si="7"/>
        <v>3.0989603249653992E-3</v>
      </c>
      <c r="EL6">
        <f t="shared" si="8"/>
        <v>0.85442631694425542</v>
      </c>
      <c r="EM6" s="101">
        <v>0</v>
      </c>
      <c r="EN6" s="101">
        <v>0.93499333682351149</v>
      </c>
      <c r="EO6" s="101">
        <v>1.1149878497320611</v>
      </c>
      <c r="EP6" s="101">
        <v>0.95001881344442607</v>
      </c>
      <c r="EQ6" s="101">
        <v>0.85442631694425542</v>
      </c>
      <c r="ER6" s="101">
        <v>0.82589368745108704</v>
      </c>
      <c r="ES6" s="101">
        <v>0.98011842985044728</v>
      </c>
      <c r="ET6" s="101">
        <f>AVERAGE(EN6:EP6)</f>
        <v>0.99999999999999956</v>
      </c>
      <c r="EU6" s="101">
        <f>STDEV(EN6:EP6)</f>
        <v>9.9865386528184982E-2</v>
      </c>
      <c r="EV6" s="101">
        <f>EU6/SQRT(3)</f>
        <v>5.7657307794773627E-2</v>
      </c>
      <c r="EW6" s="101">
        <f>AVERAGE(EQ6:ES6)</f>
        <v>0.88681281141526325</v>
      </c>
      <c r="EX6" s="101">
        <f>STDEV(EQ6:ES6)</f>
        <v>8.2054747334494429E-2</v>
      </c>
      <c r="EY6" s="101">
        <f>EX6/SQRT(3)</f>
        <v>4.7374330461857087E-2</v>
      </c>
      <c r="EZ6" s="99" t="s">
        <v>681</v>
      </c>
    </row>
    <row r="7" spans="1:156">
      <c r="B7" t="s">
        <v>37</v>
      </c>
      <c r="C7" t="s">
        <v>34</v>
      </c>
      <c r="D7">
        <v>15.862</v>
      </c>
      <c r="F7" t="s">
        <v>37</v>
      </c>
      <c r="G7" t="s">
        <v>35</v>
      </c>
      <c r="H7">
        <v>24.379000000000001</v>
      </c>
      <c r="I7">
        <f t="shared" ref="I7" si="21">H7-E8</f>
        <v>8.3180000000000014</v>
      </c>
      <c r="J7">
        <f t="shared" si="0"/>
        <v>3.1335201810643973E-3</v>
      </c>
      <c r="L7">
        <f t="shared" si="9"/>
        <v>0.84069661638263904</v>
      </c>
      <c r="M7" s="101" t="s">
        <v>326</v>
      </c>
      <c r="N7" s="101">
        <v>43.561765029171077</v>
      </c>
      <c r="O7" s="101">
        <v>44.323211269330621</v>
      </c>
      <c r="P7" s="101">
        <v>61.095342810072772</v>
      </c>
      <c r="Q7" s="101">
        <v>85.805041141063114</v>
      </c>
      <c r="R7" s="101">
        <v>84.506505651105073</v>
      </c>
      <c r="S7" s="101">
        <v>78.357013412225754</v>
      </c>
      <c r="T7" s="101">
        <f t="shared" ref="T7:T10" si="22">AVERAGE(N7:P7)</f>
        <v>49.660106369524819</v>
      </c>
      <c r="U7" s="101">
        <f t="shared" ref="U7:U10" si="23">STDEV(N7:P7)</f>
        <v>9.9105208961280553</v>
      </c>
      <c r="V7" s="101">
        <f t="shared" ref="V7:V10" si="24">U7/SQRT(3)</f>
        <v>5.7218419071889439</v>
      </c>
      <c r="W7" s="101">
        <f t="shared" ref="W7:W10" si="25">AVERAGE(Q7:S7)</f>
        <v>82.889520068131318</v>
      </c>
      <c r="X7" s="101">
        <f t="shared" ref="X7:X10" si="26">STDEV(Q7:S7)</f>
        <v>3.9786003875786884</v>
      </c>
      <c r="Y7" s="101">
        <f t="shared" ref="Y7:Y10" si="27">X7/SQRT(3)</f>
        <v>2.2970460047665053</v>
      </c>
      <c r="Z7" s="99" t="s">
        <v>666</v>
      </c>
      <c r="AB7" t="s">
        <v>37</v>
      </c>
      <c r="AC7" t="s">
        <v>34</v>
      </c>
      <c r="AD7">
        <v>15.862</v>
      </c>
      <c r="AF7" t="s">
        <v>37</v>
      </c>
      <c r="AG7" t="s">
        <v>49</v>
      </c>
      <c r="AH7">
        <v>24.062999999999999</v>
      </c>
      <c r="AI7">
        <f>AH7-AE8</f>
        <v>8.0019999999999989</v>
      </c>
      <c r="AJ7">
        <f t="shared" si="1"/>
        <v>3.9008385394571493E-3</v>
      </c>
      <c r="AL7">
        <f t="shared" si="2"/>
        <v>0.95057808102809749</v>
      </c>
      <c r="AM7" s="101" t="s">
        <v>326</v>
      </c>
      <c r="AN7" s="101">
        <v>7.4292180690460974</v>
      </c>
      <c r="AO7" s="101">
        <v>7.6433779682001637</v>
      </c>
      <c r="AP7" s="101">
        <v>7.7823743234283853</v>
      </c>
      <c r="AQ7" s="101">
        <v>16.658774570581873</v>
      </c>
      <c r="AR7" s="101">
        <v>15.414437875843802</v>
      </c>
      <c r="AS7" s="101">
        <v>17.511252527194895</v>
      </c>
      <c r="AT7" s="101">
        <f t="shared" ref="AT7:AT10" si="28">AVERAGE(AN7:AP7)</f>
        <v>7.6183234535582152</v>
      </c>
      <c r="AU7" s="101">
        <f t="shared" ref="AU7:AU10" si="29">STDEV(AN7:AP7)</f>
        <v>0.17790624365178845</v>
      </c>
      <c r="AV7" s="101">
        <f t="shared" ref="AV7:AV10" si="30">AU7/SQRT(3)</f>
        <v>0.10271421766287521</v>
      </c>
      <c r="AW7" s="101">
        <f t="shared" ref="AW7:AW10" si="31">AVERAGE(AQ7:AS7)</f>
        <v>16.528154991206858</v>
      </c>
      <c r="AX7" s="101">
        <f t="shared" ref="AX7:AX10" si="32">STDEV(AQ7:AS7)</f>
        <v>1.0544923074243977</v>
      </c>
      <c r="AY7" s="101">
        <f t="shared" ref="AY7:AY10" si="33">AX7/SQRT(3)</f>
        <v>0.60881141754986567</v>
      </c>
      <c r="AZ7" s="99" t="s">
        <v>666</v>
      </c>
      <c r="BB7" t="s">
        <v>37</v>
      </c>
      <c r="BC7" t="s">
        <v>34</v>
      </c>
      <c r="BD7">
        <v>15.862</v>
      </c>
      <c r="BF7" t="s">
        <v>37</v>
      </c>
      <c r="BG7" t="s">
        <v>52</v>
      </c>
      <c r="BH7">
        <v>23.033000000000001</v>
      </c>
      <c r="BI7">
        <f>BH7-BE8</f>
        <v>6.9720000000000013</v>
      </c>
      <c r="BJ7">
        <f t="shared" si="3"/>
        <v>7.9656068984233601E-3</v>
      </c>
      <c r="BL7">
        <f t="shared" si="4"/>
        <v>0.92006437842596389</v>
      </c>
      <c r="BM7" s="90">
        <v>1</v>
      </c>
      <c r="BN7" s="90">
        <v>10.739141169073392</v>
      </c>
      <c r="BO7" s="90">
        <v>10.330274730052455</v>
      </c>
      <c r="BP7" s="90">
        <v>10.330274730052455</v>
      </c>
      <c r="BQ7" s="90">
        <v>21.246304937974564</v>
      </c>
      <c r="BR7" s="90">
        <v>22.426616163348932</v>
      </c>
      <c r="BS7" s="90">
        <v>20.982869059274741</v>
      </c>
      <c r="BT7" s="90">
        <f t="shared" si="14"/>
        <v>10.466563543059435</v>
      </c>
      <c r="BU7" s="90">
        <f t="shared" si="15"/>
        <v>0.2360591486313415</v>
      </c>
      <c r="BV7" s="90">
        <f t="shared" si="16"/>
        <v>0.1362888130069789</v>
      </c>
      <c r="BW7" s="90">
        <f t="shared" si="17"/>
        <v>21.551930053532743</v>
      </c>
      <c r="BX7" s="90">
        <f t="shared" si="18"/>
        <v>0.76886699667472858</v>
      </c>
      <c r="BY7" s="90">
        <f t="shared" si="19"/>
        <v>0.44390556750117366</v>
      </c>
      <c r="BZ7" s="94" t="s">
        <v>666</v>
      </c>
      <c r="CB7" t="s">
        <v>37</v>
      </c>
      <c r="CC7" t="s">
        <v>34</v>
      </c>
      <c r="CD7">
        <v>15.657999999999999</v>
      </c>
      <c r="CF7" t="s">
        <v>37</v>
      </c>
      <c r="CG7" t="s">
        <v>35</v>
      </c>
      <c r="CH7">
        <v>32.515999999999998</v>
      </c>
      <c r="CI7">
        <f t="shared" ref="CI7" si="34">CH7-CE8</f>
        <v>16.997</v>
      </c>
      <c r="CJ7">
        <f t="shared" si="10"/>
        <v>7.6452759176607747E-6</v>
      </c>
      <c r="CL7">
        <f t="shared" si="11"/>
        <v>1.1077364558678833</v>
      </c>
      <c r="CM7" s="101" t="s">
        <v>38</v>
      </c>
      <c r="CN7" s="101">
        <v>2.2883081681031681</v>
      </c>
      <c r="CO7" s="101">
        <v>1.9769568109643023</v>
      </c>
      <c r="CP7" s="101">
        <v>1.5716515064797363</v>
      </c>
      <c r="CQ7" s="101">
        <v>5.1347048612960151</v>
      </c>
      <c r="CR7" s="101">
        <v>7.0239440548865693</v>
      </c>
      <c r="CS7" s="101">
        <v>4.6116446611344699</v>
      </c>
      <c r="CT7" s="101">
        <f t="shared" ref="CT7:CT10" si="35">AVERAGE(CN7:CP7)</f>
        <v>1.9456388285157358</v>
      </c>
      <c r="CU7" s="101">
        <f t="shared" ref="CU7:CU10" si="36">STDEV(CN7:CP7)</f>
        <v>0.35935331455379038</v>
      </c>
      <c r="CV7" s="101">
        <f t="shared" ref="CV7:CV10" si="37">CU7/SQRT(3)</f>
        <v>0.20747273289181514</v>
      </c>
      <c r="CW7" s="101">
        <f t="shared" ref="CW7:CW10" si="38">AVERAGE(CQ7:CS7)</f>
        <v>5.5900978591056854</v>
      </c>
      <c r="CX7" s="101">
        <f t="shared" ref="CX7:CX10" si="39">STDEV(CQ7:CS7)</f>
        <v>1.2689894318372921</v>
      </c>
      <c r="CY7" s="101">
        <f t="shared" ref="CY7:CY10" si="40">CX7/SQRT(3)</f>
        <v>0.73265139007005087</v>
      </c>
      <c r="CZ7" s="99">
        <v>1.9900000000000001E-2</v>
      </c>
      <c r="DB7" t="s">
        <v>37</v>
      </c>
      <c r="DC7" t="s">
        <v>34</v>
      </c>
      <c r="DD7">
        <v>15.657999999999999</v>
      </c>
      <c r="DF7" t="s">
        <v>37</v>
      </c>
      <c r="DG7" t="s">
        <v>329</v>
      </c>
      <c r="DH7">
        <v>28.646000000000001</v>
      </c>
      <c r="DI7">
        <f>DH7-DE8</f>
        <v>13.127000000000001</v>
      </c>
      <c r="DJ7">
        <f t="shared" si="5"/>
        <v>1.1178389726783766E-4</v>
      </c>
      <c r="DL7">
        <f t="shared" si="6"/>
        <v>1.1825248895791878</v>
      </c>
      <c r="DM7" s="101">
        <v>0</v>
      </c>
      <c r="DN7" s="101">
        <v>1.1557829955012073</v>
      </c>
      <c r="DO7" s="101">
        <v>0.83385621999777793</v>
      </c>
      <c r="DP7" s="101">
        <v>1.0103607845010159</v>
      </c>
      <c r="DQ7" s="101">
        <v>1.4140866731392916</v>
      </c>
      <c r="DR7" s="101">
        <v>1.1825248895791878</v>
      </c>
      <c r="DS7" s="101">
        <v>1.3276460256657849</v>
      </c>
      <c r="DT7" s="101">
        <f>AVERAGE(DN7:DP7)</f>
        <v>1.0000000000000002</v>
      </c>
      <c r="DU7" s="101">
        <f>STDEV(DN7:DP7)</f>
        <v>0.16121327981316128</v>
      </c>
      <c r="DV7" s="101">
        <f>DU7/SQRT(3)</f>
        <v>9.3076530497071125E-2</v>
      </c>
      <c r="DW7" s="101">
        <f>AVERAGE(DQ7:DS7)</f>
        <v>1.3080858627947547</v>
      </c>
      <c r="DX7" s="101">
        <f>STDEV(DQ7:DS7)</f>
        <v>0.1170135243467182</v>
      </c>
      <c r="DY7" s="101">
        <f>DX7/SQRT(3)</f>
        <v>6.7557789780404581E-2</v>
      </c>
      <c r="DZ7" s="99">
        <v>0.87090000000000001</v>
      </c>
      <c r="EB7" t="s">
        <v>37</v>
      </c>
      <c r="EC7" t="s">
        <v>34</v>
      </c>
      <c r="ED7">
        <v>15.657999999999999</v>
      </c>
      <c r="EF7" t="s">
        <v>37</v>
      </c>
      <c r="EG7" t="s">
        <v>52</v>
      </c>
      <c r="EH7">
        <v>23.902000000000001</v>
      </c>
      <c r="EI7">
        <f>EH7-EE8</f>
        <v>8.3830000000000009</v>
      </c>
      <c r="EJ7">
        <f t="shared" si="7"/>
        <v>2.9954739446740077E-3</v>
      </c>
      <c r="EL7">
        <f t="shared" si="8"/>
        <v>0.82589368745108704</v>
      </c>
      <c r="EM7" s="101" t="s">
        <v>38</v>
      </c>
      <c r="EN7" s="101">
        <v>10.926009334103316</v>
      </c>
      <c r="EO7" s="101">
        <v>9.3352888041100179</v>
      </c>
      <c r="EP7" s="101">
        <v>9.2323291232813212</v>
      </c>
      <c r="EQ7" s="101">
        <v>21.269211654419674</v>
      </c>
      <c r="ER7" s="101">
        <v>20.630325167783589</v>
      </c>
      <c r="ES7" s="101">
        <v>21.761327395349056</v>
      </c>
      <c r="ET7" s="101">
        <f>AVERAGE(EN7:EP7)</f>
        <v>9.8312090871648845</v>
      </c>
      <c r="EU7" s="101">
        <f>STDEV(EN7:EP7)</f>
        <v>0.94952138443082157</v>
      </c>
      <c r="EV7" s="101">
        <f>EU7/SQRT(3)</f>
        <v>0.54820642690244104</v>
      </c>
      <c r="EW7" s="101">
        <f>AVERAGE(EQ7:ES7)</f>
        <v>21.220288072517437</v>
      </c>
      <c r="EX7" s="101">
        <f>STDEV(EQ7:ES7)</f>
        <v>0.56708610222709632</v>
      </c>
      <c r="EY7" s="101">
        <f>EX7/SQRT(3)</f>
        <v>0.32740731377450971</v>
      </c>
      <c r="EZ7" s="99" t="s">
        <v>666</v>
      </c>
    </row>
    <row r="8" spans="1:156">
      <c r="B8" t="s">
        <v>37</v>
      </c>
      <c r="C8" t="s">
        <v>34</v>
      </c>
      <c r="D8">
        <v>16.116</v>
      </c>
      <c r="E8">
        <f t="shared" ref="E8" si="41">AVERAGE(D6:D8)</f>
        <v>16.061</v>
      </c>
      <c r="F8" t="s">
        <v>37</v>
      </c>
      <c r="G8" t="s">
        <v>35</v>
      </c>
      <c r="H8">
        <v>24.288</v>
      </c>
      <c r="I8">
        <f t="shared" ref="I8" si="42">H8-E8</f>
        <v>8.2270000000000003</v>
      </c>
      <c r="J8">
        <f t="shared" si="0"/>
        <v>3.3375380503505203E-3</v>
      </c>
      <c r="L8">
        <f t="shared" si="9"/>
        <v>0.89543286267423883</v>
      </c>
      <c r="M8" s="101">
        <v>1</v>
      </c>
      <c r="N8" s="101">
        <v>51.256290661956413</v>
      </c>
      <c r="O8" s="101">
        <v>57.38720364973436</v>
      </c>
      <c r="P8" s="101">
        <v>51.863841779067272</v>
      </c>
      <c r="Q8" s="101">
        <v>113.45611079321867</v>
      </c>
      <c r="R8" s="101">
        <v>115.03989907889189</v>
      </c>
      <c r="S8" s="101">
        <v>113.45611079321867</v>
      </c>
      <c r="T8" s="101">
        <f t="shared" si="22"/>
        <v>53.502445363586013</v>
      </c>
      <c r="U8" s="101">
        <f t="shared" si="23"/>
        <v>3.3779860562655277</v>
      </c>
      <c r="V8" s="101">
        <f t="shared" si="24"/>
        <v>1.9502811589037048</v>
      </c>
      <c r="W8" s="101">
        <f t="shared" si="25"/>
        <v>113.98404022177641</v>
      </c>
      <c r="X8" s="101">
        <f t="shared" si="26"/>
        <v>0.91440059307281074</v>
      </c>
      <c r="Y8" s="101">
        <f t="shared" si="27"/>
        <v>0.52792942855774072</v>
      </c>
      <c r="Z8" s="99" t="s">
        <v>666</v>
      </c>
      <c r="AB8" t="s">
        <v>37</v>
      </c>
      <c r="AC8" t="s">
        <v>34</v>
      </c>
      <c r="AD8">
        <v>16.116</v>
      </c>
      <c r="AE8">
        <f>AVERAGE(AD6:AD8)</f>
        <v>16.061</v>
      </c>
      <c r="AF8" t="s">
        <v>37</v>
      </c>
      <c r="AG8" t="s">
        <v>49</v>
      </c>
      <c r="AH8">
        <v>24.276</v>
      </c>
      <c r="AI8">
        <f>AH8-AE8</f>
        <v>8.2149999999999999</v>
      </c>
      <c r="AJ8">
        <f t="shared" si="1"/>
        <v>3.3654146863750676E-3</v>
      </c>
      <c r="AL8">
        <f t="shared" si="2"/>
        <v>0.82010301171895772</v>
      </c>
      <c r="AM8" s="101">
        <v>1</v>
      </c>
      <c r="AN8" s="101">
        <v>14.428776252602669</v>
      </c>
      <c r="AO8" s="101">
        <v>13.83141681388568</v>
      </c>
      <c r="AP8" s="101">
        <v>15.888125741388844</v>
      </c>
      <c r="AQ8" s="101">
        <v>32.631883894705723</v>
      </c>
      <c r="AR8" s="101">
        <v>39.4570276244186</v>
      </c>
      <c r="AS8" s="101">
        <v>33.852966920061938</v>
      </c>
      <c r="AT8" s="101">
        <f t="shared" si="28"/>
        <v>14.716106269292396</v>
      </c>
      <c r="AU8" s="101">
        <f t="shared" si="29"/>
        <v>1.0580320444041353</v>
      </c>
      <c r="AV8" s="101">
        <f t="shared" si="30"/>
        <v>0.61085508564797764</v>
      </c>
      <c r="AW8" s="101">
        <f t="shared" si="31"/>
        <v>35.313959479728759</v>
      </c>
      <c r="AX8" s="101">
        <f t="shared" si="32"/>
        <v>3.6395770602311881</v>
      </c>
      <c r="AY8" s="101">
        <f t="shared" si="33"/>
        <v>2.1013107954608632</v>
      </c>
      <c r="AZ8" s="99" t="s">
        <v>666</v>
      </c>
      <c r="BB8" t="s">
        <v>37</v>
      </c>
      <c r="BC8" t="s">
        <v>34</v>
      </c>
      <c r="BD8">
        <v>16.116</v>
      </c>
      <c r="BE8">
        <f t="shared" ref="BE8" si="43">AVERAGE(BD6:BD8)</f>
        <v>16.061</v>
      </c>
      <c r="BF8" t="s">
        <v>37</v>
      </c>
      <c r="BG8" t="s">
        <v>52</v>
      </c>
      <c r="BH8">
        <v>23.26</v>
      </c>
      <c r="BI8">
        <f>BH8-BE8</f>
        <v>7.1990000000000016</v>
      </c>
      <c r="BJ8">
        <f t="shared" si="3"/>
        <v>6.8058921261113679E-3</v>
      </c>
      <c r="BL8">
        <f t="shared" si="4"/>
        <v>0.78611196717280052</v>
      </c>
      <c r="BM8" s="90">
        <v>3</v>
      </c>
      <c r="BN8" s="90">
        <v>11.757206266091044</v>
      </c>
      <c r="BO8" s="90">
        <v>12.618542564331779</v>
      </c>
      <c r="BP8" s="90">
        <v>12.688708984772234</v>
      </c>
      <c r="BQ8" s="90">
        <v>19.878542142060358</v>
      </c>
      <c r="BR8" s="90">
        <v>19.134974202911291</v>
      </c>
      <c r="BS8" s="90">
        <v>19.121715445158564</v>
      </c>
      <c r="BT8" s="90">
        <f t="shared" si="14"/>
        <v>12.354819271731685</v>
      </c>
      <c r="BU8" s="90">
        <f t="shared" si="15"/>
        <v>0.51873578054968184</v>
      </c>
      <c r="BV8" s="90">
        <f t="shared" si="16"/>
        <v>0.29949224253864948</v>
      </c>
      <c r="BW8" s="90">
        <f t="shared" si="17"/>
        <v>19.378410596710072</v>
      </c>
      <c r="BX8" s="90">
        <f t="shared" si="18"/>
        <v>0.43317735473491198</v>
      </c>
      <c r="BY8" s="90">
        <f t="shared" si="19"/>
        <v>0.25009506236305146</v>
      </c>
      <c r="BZ8" s="94" t="s">
        <v>666</v>
      </c>
      <c r="CB8" t="s">
        <v>37</v>
      </c>
      <c r="CC8" t="s">
        <v>34</v>
      </c>
      <c r="CD8">
        <v>15.381</v>
      </c>
      <c r="CE8">
        <f t="shared" ref="CE8" si="44">AVERAGE(CD6:CD8)</f>
        <v>15.519</v>
      </c>
      <c r="CF8" t="s">
        <v>37</v>
      </c>
      <c r="CG8" t="s">
        <v>35</v>
      </c>
      <c r="CH8">
        <v>33.31</v>
      </c>
      <c r="CI8">
        <f t="shared" ref="CI8" si="45">CH8-CE8</f>
        <v>17.791000000000004</v>
      </c>
      <c r="CJ8">
        <f t="shared" si="10"/>
        <v>4.4093578588668704E-6</v>
      </c>
      <c r="CL8">
        <f t="shared" si="11"/>
        <v>0.63887902802190399</v>
      </c>
      <c r="CM8" s="101">
        <v>1</v>
      </c>
      <c r="CN8" s="101">
        <v>3.2123179317001602</v>
      </c>
      <c r="CO8" s="101">
        <v>3.6316236131094763</v>
      </c>
      <c r="CP8" s="101">
        <v>2.6511433628943339</v>
      </c>
      <c r="CQ8" s="101">
        <v>9.506722313310199</v>
      </c>
      <c r="CR8" s="101">
        <v>10.076676776978205</v>
      </c>
      <c r="CS8" s="101">
        <v>12.526817398952469</v>
      </c>
      <c r="CT8" s="101">
        <f t="shared" si="35"/>
        <v>3.1650283025679902</v>
      </c>
      <c r="CU8" s="101">
        <f t="shared" si="36"/>
        <v>0.49194777368444409</v>
      </c>
      <c r="CV8" s="101">
        <f t="shared" si="37"/>
        <v>0.28402617956395093</v>
      </c>
      <c r="CW8" s="101">
        <f t="shared" si="38"/>
        <v>10.703405496413623</v>
      </c>
      <c r="CX8" s="101">
        <f t="shared" si="39"/>
        <v>1.6046293177566218</v>
      </c>
      <c r="CY8" s="101">
        <f t="shared" si="40"/>
        <v>0.92643316855635116</v>
      </c>
      <c r="CZ8" s="99" t="s">
        <v>666</v>
      </c>
      <c r="DB8" t="s">
        <v>37</v>
      </c>
      <c r="DC8" t="s">
        <v>34</v>
      </c>
      <c r="DD8">
        <v>15.381</v>
      </c>
      <c r="DE8">
        <f>AVERAGE(DD6:DD8)</f>
        <v>15.519</v>
      </c>
      <c r="DF8" t="s">
        <v>37</v>
      </c>
      <c r="DG8" t="s">
        <v>329</v>
      </c>
      <c r="DH8">
        <v>28.478999999999999</v>
      </c>
      <c r="DI8">
        <f>DH8-DE8</f>
        <v>12.959999999999999</v>
      </c>
      <c r="DJ8">
        <f t="shared" si="5"/>
        <v>1.2550217610547709E-4</v>
      </c>
      <c r="DL8">
        <f t="shared" si="6"/>
        <v>1.3276460256657849</v>
      </c>
      <c r="DM8" s="101" t="s">
        <v>38</v>
      </c>
      <c r="DN8" s="101">
        <v>2.5342119959313165</v>
      </c>
      <c r="DO8" s="101">
        <v>3.3116201822823101</v>
      </c>
      <c r="DP8" s="101">
        <v>3.0262626737839984</v>
      </c>
      <c r="DQ8" s="101">
        <v>4.2946400423642856</v>
      </c>
      <c r="DR8" s="101">
        <v>3.6063444944322502</v>
      </c>
      <c r="DS8" s="101">
        <v>3.4474681330824763</v>
      </c>
      <c r="DT8" s="101">
        <f t="shared" ref="DT8:DT11" si="46">AVERAGE(DN8:DP8)</f>
        <v>2.957364950665875</v>
      </c>
      <c r="DU8" s="101">
        <f t="shared" ref="DU8:DU11" si="47">STDEV(DN8:DP8)</f>
        <v>0.39325696972785157</v>
      </c>
      <c r="DV8" s="101">
        <f t="shared" ref="DV8:DV11" si="48">DU8/SQRT(3)</f>
        <v>0.22704701733307162</v>
      </c>
      <c r="DW8" s="101">
        <f t="shared" ref="DW8:DW11" si="49">AVERAGE(DQ8:DS8)</f>
        <v>3.7828175566263376</v>
      </c>
      <c r="DX8" s="101">
        <f t="shared" ref="DX8:DX11" si="50">STDEV(DQ8:DS8)</f>
        <v>0.45031335448681192</v>
      </c>
      <c r="DY8" s="101">
        <f t="shared" ref="DY8:DY11" si="51">DX8/SQRT(3)</f>
        <v>0.25998853643264425</v>
      </c>
      <c r="DZ8" s="99">
        <v>7.5800000000000006E-2</v>
      </c>
      <c r="EB8" t="s">
        <v>37</v>
      </c>
      <c r="EC8" t="s">
        <v>34</v>
      </c>
      <c r="ED8">
        <v>15.381</v>
      </c>
      <c r="EE8">
        <f>AVERAGE(ED6:ED8)</f>
        <v>15.519</v>
      </c>
      <c r="EF8" t="s">
        <v>37</v>
      </c>
      <c r="EG8" t="s">
        <v>52</v>
      </c>
      <c r="EH8">
        <v>23.655000000000001</v>
      </c>
      <c r="EI8">
        <f>EH8-EE8</f>
        <v>8.136000000000001</v>
      </c>
      <c r="EJ8">
        <f t="shared" si="7"/>
        <v>3.5548391565660099E-3</v>
      </c>
      <c r="EL8">
        <f t="shared" si="8"/>
        <v>0.98011842985044728</v>
      </c>
      <c r="EM8" s="101">
        <v>1</v>
      </c>
      <c r="EN8" s="101">
        <v>36.835578340639529</v>
      </c>
      <c r="EO8" s="101">
        <v>25.599220737042348</v>
      </c>
      <c r="EP8" s="101">
        <v>26.983919021842745</v>
      </c>
      <c r="EQ8" s="101">
        <v>67.291917295946476</v>
      </c>
      <c r="ER8" s="101">
        <v>63.047240515737862</v>
      </c>
      <c r="ES8" s="101">
        <v>66.688279409004451</v>
      </c>
      <c r="ET8" s="101">
        <f>AVERAGE(EN8:EP8)</f>
        <v>29.806239366508208</v>
      </c>
      <c r="EU8" s="101">
        <f>STDEV(EN8:EP8)</f>
        <v>6.1268305138067358</v>
      </c>
      <c r="EV8" s="101">
        <f>EU8/SQRT(3)</f>
        <v>3.5373272464255323</v>
      </c>
      <c r="EW8" s="101">
        <f>AVERAGE(EQ8:ES8)</f>
        <v>65.67581240689627</v>
      </c>
      <c r="EX8" s="101">
        <f>STDEV(EQ8:ES8)</f>
        <v>2.2963312728957463</v>
      </c>
      <c r="EY8" s="101">
        <f>EX8/SQRT(3)</f>
        <v>1.3257874785549153</v>
      </c>
      <c r="EZ8" s="99" t="s">
        <v>666</v>
      </c>
    </row>
    <row r="9" spans="1:156">
      <c r="B9" t="s">
        <v>39</v>
      </c>
      <c r="C9" t="s">
        <v>34</v>
      </c>
      <c r="D9">
        <v>17.309999999999999</v>
      </c>
      <c r="F9" t="s">
        <v>39</v>
      </c>
      <c r="G9" t="s">
        <v>35</v>
      </c>
      <c r="H9">
        <v>19.864000000000001</v>
      </c>
      <c r="I9">
        <f>H9-E11</f>
        <v>2.6226666666666674</v>
      </c>
      <c r="J9">
        <f t="shared" si="0"/>
        <v>0.16236733582803525</v>
      </c>
      <c r="L9">
        <f t="shared" si="9"/>
        <v>43.561765029171077</v>
      </c>
      <c r="M9" s="101">
        <v>3</v>
      </c>
      <c r="N9" s="101">
        <v>101.14798982201614</v>
      </c>
      <c r="O9" s="101">
        <v>103.70372014280194</v>
      </c>
      <c r="P9" s="101">
        <v>94.439849565314688</v>
      </c>
      <c r="Q9" s="101">
        <v>141.14072396468634</v>
      </c>
      <c r="R9" s="101">
        <v>134.08374180569081</v>
      </c>
      <c r="S9" s="101">
        <v>145.61251082878329</v>
      </c>
      <c r="T9" s="101">
        <f t="shared" si="22"/>
        <v>99.763853176710924</v>
      </c>
      <c r="U9" s="101">
        <f t="shared" si="23"/>
        <v>4.7845271666870168</v>
      </c>
      <c r="V9" s="101">
        <f t="shared" si="24"/>
        <v>2.7623480476318267</v>
      </c>
      <c r="W9" s="101">
        <f t="shared" si="25"/>
        <v>140.27899219972014</v>
      </c>
      <c r="X9" s="101">
        <f t="shared" si="26"/>
        <v>5.8124921525123803</v>
      </c>
      <c r="Y9" s="101">
        <f t="shared" si="27"/>
        <v>3.35584390891561</v>
      </c>
      <c r="Z9" s="99" t="s">
        <v>666</v>
      </c>
      <c r="AB9" t="s">
        <v>39</v>
      </c>
      <c r="AC9" t="s">
        <v>34</v>
      </c>
      <c r="AD9">
        <v>17.309999999999999</v>
      </c>
      <c r="AF9" t="s">
        <v>39</v>
      </c>
      <c r="AG9" t="s">
        <v>49</v>
      </c>
      <c r="AH9">
        <v>22.277000000000001</v>
      </c>
      <c r="AI9">
        <f>AH9-AE11</f>
        <v>5.0356666666666676</v>
      </c>
      <c r="AJ9">
        <f t="shared" si="1"/>
        <v>3.0486901328950204E-2</v>
      </c>
      <c r="AL9">
        <f t="shared" si="2"/>
        <v>7.4292180690460974</v>
      </c>
      <c r="AM9" s="101">
        <v>3</v>
      </c>
      <c r="AN9" s="101">
        <v>15.862449954623424</v>
      </c>
      <c r="AO9" s="101">
        <v>16.906940510176444</v>
      </c>
      <c r="AP9" s="101">
        <v>17.000952912175386</v>
      </c>
      <c r="AQ9" s="101">
        <v>23.77231295970455</v>
      </c>
      <c r="AR9" s="101">
        <v>22.772335802712796</v>
      </c>
      <c r="AS9" s="101">
        <v>22.898963206804677</v>
      </c>
      <c r="AT9" s="101">
        <f t="shared" si="28"/>
        <v>16.590114458991753</v>
      </c>
      <c r="AU9" s="101">
        <f t="shared" si="29"/>
        <v>0.63192666197954128</v>
      </c>
      <c r="AV9" s="101">
        <f t="shared" si="30"/>
        <v>0.36484302840198984</v>
      </c>
      <c r="AW9" s="101">
        <f t="shared" si="31"/>
        <v>23.147870656407338</v>
      </c>
      <c r="AX9" s="101">
        <f t="shared" si="32"/>
        <v>0.54447659956797489</v>
      </c>
      <c r="AY9" s="101">
        <f t="shared" si="33"/>
        <v>0.31435371132802242</v>
      </c>
      <c r="AZ9" s="99">
        <v>1.4E-3</v>
      </c>
      <c r="BB9" t="s">
        <v>39</v>
      </c>
      <c r="BC9" t="s">
        <v>34</v>
      </c>
      <c r="BD9">
        <v>17.309999999999999</v>
      </c>
      <c r="BF9" t="s">
        <v>39</v>
      </c>
      <c r="BG9" t="s">
        <v>52</v>
      </c>
      <c r="BH9">
        <v>20.765999999999998</v>
      </c>
      <c r="BI9">
        <f>BH9-BE11</f>
        <v>3.5246666666666648</v>
      </c>
      <c r="BJ9">
        <f t="shared" si="3"/>
        <v>8.6889962265193368E-2</v>
      </c>
      <c r="BL9">
        <f t="shared" si="4"/>
        <v>10.036191861137921</v>
      </c>
      <c r="BM9" s="90">
        <v>6</v>
      </c>
      <c r="BN9" s="90">
        <v>12.81244036220048</v>
      </c>
      <c r="BO9" s="90">
        <v>13.20006733867846</v>
      </c>
      <c r="BP9" s="90">
        <v>12.307564406640005</v>
      </c>
      <c r="BQ9" s="90">
        <v>21.522991639763603</v>
      </c>
      <c r="BR9" s="90">
        <v>20.30561358665404</v>
      </c>
      <c r="BS9" s="90">
        <v>23.503549076533798</v>
      </c>
      <c r="BT9" s="90">
        <f t="shared" si="14"/>
        <v>12.773357369172983</v>
      </c>
      <c r="BU9" s="90">
        <f t="shared" si="15"/>
        <v>0.44753321796521506</v>
      </c>
      <c r="BV9" s="90">
        <f t="shared" si="16"/>
        <v>0.25838342386351637</v>
      </c>
      <c r="BW9" s="90">
        <f t="shared" si="17"/>
        <v>21.777384767650478</v>
      </c>
      <c r="BX9" s="90">
        <f t="shared" si="18"/>
        <v>1.6140739595802829</v>
      </c>
      <c r="BY9" s="90">
        <f t="shared" si="19"/>
        <v>0.93188603505564149</v>
      </c>
      <c r="BZ9" s="94" t="s">
        <v>666</v>
      </c>
      <c r="CB9" t="s">
        <v>39</v>
      </c>
      <c r="CC9" t="s">
        <v>34</v>
      </c>
      <c r="CD9">
        <v>16.077999999999999</v>
      </c>
      <c r="CF9" t="s">
        <v>39</v>
      </c>
      <c r="CG9" t="s">
        <v>35</v>
      </c>
      <c r="CH9">
        <v>32.225000000000001</v>
      </c>
      <c r="CI9">
        <f>CH9-CE11</f>
        <v>15.950333333333337</v>
      </c>
      <c r="CJ9">
        <f t="shared" si="10"/>
        <v>1.5793239661936472E-5</v>
      </c>
      <c r="CL9">
        <f t="shared" si="11"/>
        <v>2.2883081681031681</v>
      </c>
      <c r="CM9" s="101">
        <v>3</v>
      </c>
      <c r="CN9" s="101">
        <v>3.7276886191107752</v>
      </c>
      <c r="CO9" s="101">
        <v>3.7771062149584909</v>
      </c>
      <c r="CP9" s="101">
        <v>4.0538180980048342</v>
      </c>
      <c r="CQ9" s="101">
        <v>7.4639950046013084</v>
      </c>
      <c r="CR9" s="101">
        <v>6.0794803819660741</v>
      </c>
      <c r="CS9" s="101">
        <v>7.1450693820171134</v>
      </c>
      <c r="CT9" s="101">
        <f t="shared" si="35"/>
        <v>3.8528709773580334</v>
      </c>
      <c r="CU9" s="101">
        <f t="shared" si="36"/>
        <v>0.1757706848909168</v>
      </c>
      <c r="CV9" s="101">
        <f t="shared" si="37"/>
        <v>0.10148125223741571</v>
      </c>
      <c r="CW9" s="101">
        <f t="shared" si="38"/>
        <v>6.8961815895281653</v>
      </c>
      <c r="CX9" s="101">
        <f t="shared" si="39"/>
        <v>0.72503726456659623</v>
      </c>
      <c r="CY9" s="101">
        <f t="shared" si="40"/>
        <v>0.41860045987003425</v>
      </c>
      <c r="CZ9" s="99">
        <v>6.5199999999999994E-2</v>
      </c>
      <c r="DB9" t="s">
        <v>39</v>
      </c>
      <c r="DC9" t="s">
        <v>34</v>
      </c>
      <c r="DD9">
        <v>16.077999999999999</v>
      </c>
      <c r="DF9" t="s">
        <v>39</v>
      </c>
      <c r="DG9" t="s">
        <v>49</v>
      </c>
      <c r="DH9">
        <v>28.302</v>
      </c>
      <c r="DI9">
        <f>DH9-DE11</f>
        <v>12.027333333333335</v>
      </c>
      <c r="DJ9">
        <f t="shared" si="5"/>
        <v>2.3955867306008023E-4</v>
      </c>
      <c r="DL9">
        <f t="shared" si="6"/>
        <v>2.5342119959313165</v>
      </c>
      <c r="DM9" s="101">
        <v>1</v>
      </c>
      <c r="DN9" s="101">
        <v>3.7970277678096687</v>
      </c>
      <c r="DO9" s="101">
        <v>4.8094454330459371</v>
      </c>
      <c r="DP9" s="101">
        <v>4.478049728965221</v>
      </c>
      <c r="DQ9" s="101">
        <v>8.1579342682990497</v>
      </c>
      <c r="DR9" s="101">
        <v>8.0400467089170995</v>
      </c>
      <c r="DS9" s="101">
        <v>8.4632036511252178</v>
      </c>
      <c r="DT9" s="101">
        <f t="shared" si="46"/>
        <v>4.3615076432736091</v>
      </c>
      <c r="DU9" s="101">
        <f t="shared" si="47"/>
        <v>0.51617237965976781</v>
      </c>
      <c r="DV9" s="101">
        <f t="shared" si="48"/>
        <v>0.29801226234481665</v>
      </c>
      <c r="DW9" s="101">
        <f t="shared" si="49"/>
        <v>8.2203948761137884</v>
      </c>
      <c r="DX9" s="101">
        <f t="shared" si="50"/>
        <v>0.21838371065894818</v>
      </c>
      <c r="DY9" s="101">
        <f t="shared" si="51"/>
        <v>0.12608389413557308</v>
      </c>
      <c r="DZ9" s="99" t="s">
        <v>666</v>
      </c>
      <c r="EB9" t="s">
        <v>39</v>
      </c>
      <c r="EC9" t="s">
        <v>34</v>
      </c>
      <c r="ED9">
        <v>16.077999999999999</v>
      </c>
      <c r="EF9" t="s">
        <v>39</v>
      </c>
      <c r="EG9" t="s">
        <v>52</v>
      </c>
      <c r="EH9">
        <v>20.931999999999999</v>
      </c>
      <c r="EI9">
        <f>EH9-EE11</f>
        <v>4.6573333333333338</v>
      </c>
      <c r="EJ9">
        <f t="shared" si="7"/>
        <v>3.9628074141818424E-2</v>
      </c>
      <c r="EL9">
        <f t="shared" si="8"/>
        <v>10.926009334103316</v>
      </c>
      <c r="EM9" s="101">
        <v>3</v>
      </c>
      <c r="EN9" s="101">
        <v>12.993288038701806</v>
      </c>
      <c r="EO9" s="101">
        <v>15.05003206404324</v>
      </c>
      <c r="EP9" s="101">
        <v>11.445389502502826</v>
      </c>
      <c r="EQ9" s="101">
        <v>42.176320169616368</v>
      </c>
      <c r="ER9" s="101">
        <v>42.676244571163032</v>
      </c>
      <c r="ES9" s="101">
        <v>39.956583416706799</v>
      </c>
      <c r="ET9" s="101">
        <f>AVERAGE(EN9:EP9)</f>
        <v>13.162903201749289</v>
      </c>
      <c r="EU9" s="101">
        <f>STDEV(EN9:EP9)</f>
        <v>1.8082972589618425</v>
      </c>
      <c r="EV9" s="101">
        <f>EU9/SQRT(3)</f>
        <v>1.0440209092364823</v>
      </c>
      <c r="EW9" s="101">
        <f>AVERAGE(EQ9:ES9)</f>
        <v>41.603049385828733</v>
      </c>
      <c r="EX9" s="101">
        <f>STDEV(EQ9:ES9)</f>
        <v>1.4476252078569645</v>
      </c>
      <c r="EY9" s="101">
        <f>EX9/SQRT(3)</f>
        <v>0.83578680344190648</v>
      </c>
      <c r="EZ9" s="99" t="s">
        <v>666</v>
      </c>
    </row>
    <row r="10" spans="1:156">
      <c r="B10" t="s">
        <v>39</v>
      </c>
      <c r="C10" t="s">
        <v>34</v>
      </c>
      <c r="D10">
        <v>17.151</v>
      </c>
      <c r="F10" t="s">
        <v>39</v>
      </c>
      <c r="G10" t="s">
        <v>35</v>
      </c>
      <c r="H10">
        <v>19.838999999999999</v>
      </c>
      <c r="I10">
        <f>H10-E11</f>
        <v>2.5976666666666652</v>
      </c>
      <c r="J10">
        <f t="shared" si="0"/>
        <v>0.16520546686584303</v>
      </c>
      <c r="L10">
        <f t="shared" si="9"/>
        <v>44.323211269330621</v>
      </c>
      <c r="M10" s="101">
        <v>6</v>
      </c>
      <c r="N10" s="101">
        <v>87.3856109860142</v>
      </c>
      <c r="O10" s="101">
        <v>92.624621593497821</v>
      </c>
      <c r="P10" s="101">
        <v>89.407492915428023</v>
      </c>
      <c r="Q10" s="101">
        <v>124.90238124089312</v>
      </c>
      <c r="R10" s="101">
        <v>123.35369931008435</v>
      </c>
      <c r="S10" s="101">
        <v>119.98058591556104</v>
      </c>
      <c r="T10" s="101">
        <f t="shared" si="22"/>
        <v>89.805908498313343</v>
      </c>
      <c r="U10" s="101">
        <f t="shared" si="23"/>
        <v>2.6421315767474307</v>
      </c>
      <c r="V10" s="101">
        <f t="shared" si="24"/>
        <v>1.5254353770695395</v>
      </c>
      <c r="W10" s="101">
        <f t="shared" si="25"/>
        <v>122.74555548884616</v>
      </c>
      <c r="X10" s="101">
        <f t="shared" si="26"/>
        <v>2.5166240256736452</v>
      </c>
      <c r="Y10" s="101">
        <f t="shared" si="27"/>
        <v>1.4529735586717587</v>
      </c>
      <c r="Z10" s="99" t="s">
        <v>666</v>
      </c>
      <c r="AB10" t="s">
        <v>39</v>
      </c>
      <c r="AC10" t="s">
        <v>34</v>
      </c>
      <c r="AD10">
        <v>17.151</v>
      </c>
      <c r="AF10" t="s">
        <v>39</v>
      </c>
      <c r="AG10" t="s">
        <v>49</v>
      </c>
      <c r="AH10">
        <v>22.236000000000001</v>
      </c>
      <c r="AI10">
        <f>AH10-AE11</f>
        <v>4.9946666666666673</v>
      </c>
      <c r="AJ10">
        <f t="shared" si="1"/>
        <v>3.1365738328140116E-2</v>
      </c>
      <c r="AL10">
        <f t="shared" si="2"/>
        <v>7.6433779682001637</v>
      </c>
      <c r="AM10" s="101">
        <v>6</v>
      </c>
      <c r="AN10" s="101">
        <v>15.027610333388909</v>
      </c>
      <c r="AO10" s="101">
        <v>14.566109669022046</v>
      </c>
      <c r="AP10" s="101">
        <v>14.718346584748137</v>
      </c>
      <c r="AQ10" s="101">
        <v>24.065208882899526</v>
      </c>
      <c r="AR10" s="101">
        <v>28.224518038430038</v>
      </c>
      <c r="AS10" s="101">
        <v>32.398992386207915</v>
      </c>
      <c r="AT10" s="101">
        <f t="shared" si="28"/>
        <v>14.770688862386365</v>
      </c>
      <c r="AU10" s="101">
        <f t="shared" si="29"/>
        <v>0.23516058624699823</v>
      </c>
      <c r="AV10" s="101">
        <f t="shared" si="30"/>
        <v>0.13577002777249464</v>
      </c>
      <c r="AW10" s="101">
        <f t="shared" si="31"/>
        <v>28.229573102512489</v>
      </c>
      <c r="AX10" s="101">
        <f t="shared" si="32"/>
        <v>4.1668940513599155</v>
      </c>
      <c r="AY10" s="101">
        <f t="shared" si="33"/>
        <v>2.4057574022372976</v>
      </c>
      <c r="AZ10" s="99" t="s">
        <v>666</v>
      </c>
      <c r="BB10" t="s">
        <v>39</v>
      </c>
      <c r="BC10" t="s">
        <v>34</v>
      </c>
      <c r="BD10">
        <v>17.151</v>
      </c>
      <c r="BF10" t="s">
        <v>39</v>
      </c>
      <c r="BG10" t="s">
        <v>52</v>
      </c>
      <c r="BH10">
        <v>20.425999999999998</v>
      </c>
      <c r="BI10">
        <f>BH10-BE11</f>
        <v>3.184666666666665</v>
      </c>
      <c r="BJ10">
        <f t="shared" si="3"/>
        <v>0.10998154268699729</v>
      </c>
      <c r="BL10">
        <f t="shared" si="4"/>
        <v>12.703376026586177</v>
      </c>
      <c r="CB10" t="s">
        <v>39</v>
      </c>
      <c r="CC10" t="s">
        <v>34</v>
      </c>
      <c r="CD10">
        <v>16.335999999999999</v>
      </c>
      <c r="CF10" t="s">
        <v>39</v>
      </c>
      <c r="CG10" t="s">
        <v>35</v>
      </c>
      <c r="CH10">
        <v>32.436</v>
      </c>
      <c r="CI10">
        <f>CH10-CE11</f>
        <v>16.161333333333335</v>
      </c>
      <c r="CJ10">
        <f t="shared" si="10"/>
        <v>1.3644382846711578E-5</v>
      </c>
      <c r="CL10">
        <f t="shared" si="11"/>
        <v>1.9769568109643023</v>
      </c>
      <c r="CM10" s="101">
        <v>6</v>
      </c>
      <c r="CN10" s="101">
        <v>8.8967681361548951</v>
      </c>
      <c r="CO10" s="101">
        <v>4.6020649792967658</v>
      </c>
      <c r="CP10" s="101">
        <v>10.550806330563397</v>
      </c>
      <c r="CQ10" s="101">
        <v>11.742068616493897</v>
      </c>
      <c r="CR10" s="101">
        <v>14.276937972509302</v>
      </c>
      <c r="CS10" s="101">
        <v>10.243342749630505</v>
      </c>
      <c r="CT10" s="101">
        <f t="shared" si="35"/>
        <v>8.016546482005019</v>
      </c>
      <c r="CU10" s="101">
        <f t="shared" si="36"/>
        <v>3.0705005351559791</v>
      </c>
      <c r="CV10" s="101">
        <f t="shared" si="37"/>
        <v>1.7727543105191945</v>
      </c>
      <c r="CW10" s="101">
        <f t="shared" si="38"/>
        <v>12.087449779544569</v>
      </c>
      <c r="CX10" s="101">
        <f t="shared" si="39"/>
        <v>2.0388572084259211</v>
      </c>
      <c r="CY10" s="101">
        <f t="shared" si="40"/>
        <v>1.1771347581239144</v>
      </c>
      <c r="CZ10" s="99">
        <v>8.3000000000000001E-3</v>
      </c>
      <c r="DB10" t="s">
        <v>39</v>
      </c>
      <c r="DC10" t="s">
        <v>34</v>
      </c>
      <c r="DD10">
        <v>16.335999999999999</v>
      </c>
      <c r="DF10" t="s">
        <v>39</v>
      </c>
      <c r="DG10" t="s">
        <v>49</v>
      </c>
      <c r="DH10">
        <v>27.916</v>
      </c>
      <c r="DI10">
        <f>DH10-DE11</f>
        <v>11.641333333333336</v>
      </c>
      <c r="DJ10">
        <f t="shared" si="5"/>
        <v>3.1304695022366726E-4</v>
      </c>
      <c r="DL10">
        <f t="shared" si="6"/>
        <v>3.3116201822823101</v>
      </c>
      <c r="DM10" s="101">
        <v>3</v>
      </c>
      <c r="DN10" s="101">
        <v>2.4769027338907907</v>
      </c>
      <c r="DO10" s="101">
        <v>2.4924027540206528</v>
      </c>
      <c r="DP10" s="101">
        <v>2.5642505201639505</v>
      </c>
      <c r="DQ10" s="101">
        <v>5.2314246510109781</v>
      </c>
      <c r="DR10" s="101">
        <v>5.9060922174167354</v>
      </c>
      <c r="DS10" s="101">
        <v>4.4977512759982448</v>
      </c>
      <c r="DT10" s="101">
        <f t="shared" si="46"/>
        <v>2.5111853360251311</v>
      </c>
      <c r="DU10" s="101">
        <f t="shared" si="47"/>
        <v>4.660469913830171E-2</v>
      </c>
      <c r="DV10" s="101">
        <f t="shared" si="48"/>
        <v>2.6907235593000015E-2</v>
      </c>
      <c r="DW10" s="101">
        <f t="shared" si="49"/>
        <v>5.2117560481419858</v>
      </c>
      <c r="DX10" s="101">
        <f t="shared" si="50"/>
        <v>0.70437645635909951</v>
      </c>
      <c r="DY10" s="101">
        <f t="shared" si="51"/>
        <v>0.40667193668976082</v>
      </c>
      <c r="DZ10" s="99" t="s">
        <v>666</v>
      </c>
      <c r="EB10" t="s">
        <v>39</v>
      </c>
      <c r="EC10" t="s">
        <v>34</v>
      </c>
      <c r="ED10">
        <v>16.335999999999999</v>
      </c>
      <c r="EF10" t="s">
        <v>39</v>
      </c>
      <c r="EG10" t="s">
        <v>52</v>
      </c>
      <c r="EH10">
        <v>21.158999999999999</v>
      </c>
      <c r="EI10">
        <f>EH10-EE11</f>
        <v>4.8843333333333341</v>
      </c>
      <c r="EJ10">
        <f t="shared" si="7"/>
        <v>3.3858612559470203E-2</v>
      </c>
      <c r="EL10">
        <f t="shared" si="8"/>
        <v>9.3352888041100179</v>
      </c>
      <c r="EM10" s="101">
        <v>6</v>
      </c>
      <c r="EN10" s="101">
        <v>15.831155505242378</v>
      </c>
      <c r="EO10" s="101">
        <v>15.580770298591979</v>
      </c>
      <c r="EP10" s="101">
        <v>15.46242460529756</v>
      </c>
      <c r="EQ10" s="101">
        <v>36.708136920997546</v>
      </c>
      <c r="ER10" s="101">
        <v>33.083225381630683</v>
      </c>
      <c r="ES10" s="101">
        <v>33.825233514777558</v>
      </c>
      <c r="ET10" s="101">
        <f>AVERAGE(EN10:EP10)</f>
        <v>15.624783469710641</v>
      </c>
      <c r="EU10" s="101">
        <f>STDEV(EN10:EP10)</f>
        <v>0.18826441131416546</v>
      </c>
      <c r="EV10" s="101">
        <f>EU10/SQRT(3)</f>
        <v>0.10869450855105986</v>
      </c>
      <c r="EW10" s="101">
        <f>AVERAGE(EQ10:ES10)</f>
        <v>34.538865272468598</v>
      </c>
      <c r="EX10" s="101">
        <f>STDEV(EQ10:ES10)</f>
        <v>1.9149278396972718</v>
      </c>
      <c r="EY10" s="101">
        <f>EX10/SQRT(3)</f>
        <v>1.1055841037279284</v>
      </c>
      <c r="EZ10" s="99" t="s">
        <v>666</v>
      </c>
    </row>
    <row r="11" spans="1:156">
      <c r="B11" t="s">
        <v>39</v>
      </c>
      <c r="C11" t="s">
        <v>34</v>
      </c>
      <c r="D11">
        <v>17.263000000000002</v>
      </c>
      <c r="E11">
        <f t="shared" ref="E11" si="52">AVERAGE(D9:D11)</f>
        <v>17.241333333333333</v>
      </c>
      <c r="F11" t="s">
        <v>39</v>
      </c>
      <c r="G11" t="s">
        <v>35</v>
      </c>
      <c r="H11">
        <v>19.376000000000001</v>
      </c>
      <c r="I11">
        <f>H11-E11</f>
        <v>2.1346666666666678</v>
      </c>
      <c r="J11">
        <f t="shared" si="0"/>
        <v>0.22772006682762247</v>
      </c>
      <c r="L11">
        <f t="shared" si="9"/>
        <v>61.095342810072772</v>
      </c>
      <c r="M11" s="101"/>
      <c r="N11" s="101"/>
      <c r="O11" s="101"/>
      <c r="P11" s="101"/>
      <c r="Q11" s="101"/>
      <c r="R11" s="101"/>
      <c r="S11" s="101"/>
      <c r="T11" s="101"/>
      <c r="U11" s="101"/>
      <c r="V11" s="101"/>
      <c r="W11" s="101"/>
      <c r="X11" s="101"/>
      <c r="Y11" s="101"/>
      <c r="Z11" s="101"/>
      <c r="AB11" t="s">
        <v>39</v>
      </c>
      <c r="AC11" t="s">
        <v>34</v>
      </c>
      <c r="AD11">
        <v>17.263000000000002</v>
      </c>
      <c r="AE11">
        <f>AVERAGE(AD9:AD11)</f>
        <v>17.241333333333333</v>
      </c>
      <c r="AF11" t="s">
        <v>39</v>
      </c>
      <c r="AG11" t="s">
        <v>49</v>
      </c>
      <c r="AH11">
        <v>22.21</v>
      </c>
      <c r="AI11">
        <f>AH11-AE11</f>
        <v>4.9686666666666675</v>
      </c>
      <c r="AJ11">
        <f t="shared" si="1"/>
        <v>3.1936130545402168E-2</v>
      </c>
      <c r="AL11">
        <f t="shared" si="2"/>
        <v>7.7823743234283853</v>
      </c>
      <c r="BB11" t="s">
        <v>39</v>
      </c>
      <c r="BC11" t="s">
        <v>34</v>
      </c>
      <c r="BD11">
        <v>17.263000000000002</v>
      </c>
      <c r="BE11">
        <f t="shared" ref="BE11" si="53">AVERAGE(BD9:BD11)</f>
        <v>17.241333333333333</v>
      </c>
      <c r="BF11" t="s">
        <v>39</v>
      </c>
      <c r="BG11" t="s">
        <v>52</v>
      </c>
      <c r="BH11">
        <v>20.783999999999999</v>
      </c>
      <c r="BI11">
        <f>BH11-BE11</f>
        <v>3.5426666666666655</v>
      </c>
      <c r="BJ11">
        <f t="shared" si="3"/>
        <v>8.5812601584060844E-2</v>
      </c>
      <c r="BL11">
        <f t="shared" si="4"/>
        <v>9.9117517276908416</v>
      </c>
      <c r="CB11" t="s">
        <v>39</v>
      </c>
      <c r="CC11" t="s">
        <v>34</v>
      </c>
      <c r="CD11">
        <v>16.41</v>
      </c>
      <c r="CE11">
        <f t="shared" ref="CE11" si="54">AVERAGE(CD9:CD11)</f>
        <v>16.274666666666665</v>
      </c>
      <c r="CF11" t="s">
        <v>39</v>
      </c>
      <c r="CG11" t="s">
        <v>35</v>
      </c>
      <c r="CH11">
        <v>32.767000000000003</v>
      </c>
      <c r="CI11">
        <f t="shared" ref="CI11:CI32" si="55">CH11-CE11</f>
        <v>16.492333333333338</v>
      </c>
      <c r="CJ11">
        <f t="shared" si="10"/>
        <v>1.0847083121436861E-5</v>
      </c>
      <c r="CL11">
        <f t="shared" si="11"/>
        <v>1.5716515064797363</v>
      </c>
      <c r="DB11" t="s">
        <v>39</v>
      </c>
      <c r="DC11" t="s">
        <v>34</v>
      </c>
      <c r="DD11">
        <v>16.41</v>
      </c>
      <c r="DE11">
        <f>AVERAGE(DD9:DD11)</f>
        <v>16.274666666666665</v>
      </c>
      <c r="DF11" t="s">
        <v>39</v>
      </c>
      <c r="DG11" t="s">
        <v>49</v>
      </c>
      <c r="DH11">
        <v>28.045999999999999</v>
      </c>
      <c r="DI11">
        <f>DH11-DE11</f>
        <v>11.771333333333335</v>
      </c>
      <c r="DJ11">
        <f t="shared" si="5"/>
        <v>2.8607214851278509E-4</v>
      </c>
      <c r="DL11">
        <f t="shared" si="6"/>
        <v>3.0262626737839984</v>
      </c>
      <c r="DM11" s="101">
        <v>6</v>
      </c>
      <c r="DN11" s="101">
        <v>2.7885926719218883</v>
      </c>
      <c r="DO11" s="101">
        <v>2.5447734340010841</v>
      </c>
      <c r="DP11" s="101">
        <v>2.6992099860044538</v>
      </c>
      <c r="DQ11" s="101">
        <v>3.7343846847760718</v>
      </c>
      <c r="DR11" s="101">
        <v>3.71373416735993</v>
      </c>
      <c r="DS11" s="101">
        <v>4.5721430727933168</v>
      </c>
      <c r="DT11" s="101">
        <f t="shared" si="46"/>
        <v>2.6775253639758088</v>
      </c>
      <c r="DU11" s="101">
        <f t="shared" si="47"/>
        <v>0.12334756714043583</v>
      </c>
      <c r="DV11" s="101">
        <f t="shared" si="48"/>
        <v>7.1214751092416068E-2</v>
      </c>
      <c r="DW11" s="101">
        <f t="shared" si="49"/>
        <v>4.0067539749764398</v>
      </c>
      <c r="DX11" s="101">
        <f t="shared" si="50"/>
        <v>0.48975017602347565</v>
      </c>
      <c r="DY11" s="101">
        <f t="shared" si="51"/>
        <v>0.28275739596282029</v>
      </c>
      <c r="DZ11" s="99">
        <v>1.9E-3</v>
      </c>
      <c r="EB11" t="s">
        <v>39</v>
      </c>
      <c r="EC11" t="s">
        <v>34</v>
      </c>
      <c r="ED11">
        <v>16.41</v>
      </c>
      <c r="EE11">
        <f>AVERAGE(ED9:ED11)</f>
        <v>16.274666666666665</v>
      </c>
      <c r="EF11" t="s">
        <v>39</v>
      </c>
      <c r="EG11" t="s">
        <v>52</v>
      </c>
      <c r="EH11">
        <v>21.175000000000001</v>
      </c>
      <c r="EI11">
        <f>EH11-EE11</f>
        <v>4.9003333333333359</v>
      </c>
      <c r="EJ11">
        <f t="shared" si="7"/>
        <v>3.3485183090326116E-2</v>
      </c>
      <c r="EL11">
        <f t="shared" si="8"/>
        <v>9.2323291232813212</v>
      </c>
      <c r="ET11" s="90"/>
      <c r="EU11" s="90"/>
      <c r="EV11" s="90"/>
      <c r="EW11" s="90"/>
      <c r="EX11" s="90"/>
      <c r="EY11" s="90"/>
      <c r="EZ11" s="94"/>
    </row>
    <row r="12" spans="1:156">
      <c r="B12" t="s">
        <v>40</v>
      </c>
      <c r="C12" t="s">
        <v>34</v>
      </c>
      <c r="D12">
        <v>17.285</v>
      </c>
      <c r="F12" t="s">
        <v>40</v>
      </c>
      <c r="G12" t="s">
        <v>35</v>
      </c>
      <c r="H12">
        <v>19.123999999999999</v>
      </c>
      <c r="I12">
        <f>H12-E14</f>
        <v>1.6446666666666658</v>
      </c>
      <c r="J12">
        <f t="shared" si="0"/>
        <v>0.31982028095876908</v>
      </c>
      <c r="L12">
        <f t="shared" si="9"/>
        <v>85.805041141063114</v>
      </c>
      <c r="AB12" t="s">
        <v>40</v>
      </c>
      <c r="AC12" t="s">
        <v>34</v>
      </c>
      <c r="AD12">
        <v>17.285</v>
      </c>
      <c r="AF12" t="s">
        <v>40</v>
      </c>
      <c r="AG12" t="s">
        <v>49</v>
      </c>
      <c r="AH12">
        <v>21.35</v>
      </c>
      <c r="AI12">
        <f>AH12-AE14</f>
        <v>3.8706666666666685</v>
      </c>
      <c r="AJ12">
        <f t="shared" si="1"/>
        <v>6.8361759188442409E-2</v>
      </c>
      <c r="AL12">
        <f t="shared" si="2"/>
        <v>16.658774570581873</v>
      </c>
      <c r="BB12" t="s">
        <v>40</v>
      </c>
      <c r="BC12" t="s">
        <v>34</v>
      </c>
      <c r="BD12">
        <v>17.285</v>
      </c>
      <c r="BF12" t="s">
        <v>40</v>
      </c>
      <c r="BG12" t="s">
        <v>52</v>
      </c>
      <c r="BH12">
        <v>19.946000000000002</v>
      </c>
      <c r="BI12">
        <f>BH12-BE14</f>
        <v>2.4666666666666686</v>
      </c>
      <c r="BJ12">
        <f t="shared" si="3"/>
        <v>0.18090865468004705</v>
      </c>
      <c r="BL12">
        <f t="shared" si="4"/>
        <v>20.895784971892095</v>
      </c>
      <c r="CB12" t="s">
        <v>40</v>
      </c>
      <c r="CC12" t="s">
        <v>34</v>
      </c>
      <c r="CD12">
        <v>16.908999999999999</v>
      </c>
      <c r="CF12" t="s">
        <v>40</v>
      </c>
      <c r="CG12" t="s">
        <v>35</v>
      </c>
      <c r="CH12">
        <v>31.696000000000002</v>
      </c>
      <c r="CI12">
        <f>CH12-CE14</f>
        <v>14.784333333333336</v>
      </c>
      <c r="CJ12">
        <f t="shared" si="10"/>
        <v>3.5438244550330224E-5</v>
      </c>
      <c r="CL12">
        <f t="shared" si="11"/>
        <v>5.1347048612960151</v>
      </c>
      <c r="DB12" t="s">
        <v>40</v>
      </c>
      <c r="DC12" t="s">
        <v>34</v>
      </c>
      <c r="DD12">
        <v>16.908999999999999</v>
      </c>
      <c r="DF12" t="s">
        <v>40</v>
      </c>
      <c r="DG12" t="s">
        <v>49</v>
      </c>
      <c r="DH12">
        <v>28.178000000000001</v>
      </c>
      <c r="DI12">
        <f>DH12-DE14</f>
        <v>11.266333333333336</v>
      </c>
      <c r="DJ12">
        <f t="shared" si="5"/>
        <v>4.0597166751291732E-4</v>
      </c>
      <c r="DL12">
        <f t="shared" si="6"/>
        <v>4.2946400423642856</v>
      </c>
      <c r="DM12" s="101"/>
      <c r="DN12" s="101"/>
      <c r="DO12" s="101"/>
      <c r="DP12" s="101"/>
      <c r="DQ12" s="101"/>
      <c r="DR12" s="101"/>
      <c r="DS12" s="101"/>
      <c r="DT12" s="101"/>
      <c r="DU12" s="101"/>
      <c r="DV12" s="101"/>
      <c r="DW12" s="101"/>
      <c r="DX12" s="101"/>
      <c r="DY12" s="101"/>
      <c r="DZ12" s="101"/>
      <c r="EB12" t="s">
        <v>40</v>
      </c>
      <c r="EC12" t="s">
        <v>34</v>
      </c>
      <c r="ED12">
        <v>16.908999999999999</v>
      </c>
      <c r="EF12" t="s">
        <v>40</v>
      </c>
      <c r="EG12" t="s">
        <v>52</v>
      </c>
      <c r="EH12">
        <v>20.608000000000001</v>
      </c>
      <c r="EI12">
        <f>EH12-EE14</f>
        <v>3.6963333333333352</v>
      </c>
      <c r="EJ12">
        <f t="shared" si="7"/>
        <v>7.7142337207104686E-2</v>
      </c>
      <c r="EL12">
        <f t="shared" si="8"/>
        <v>21.269211654419674</v>
      </c>
    </row>
    <row r="13" spans="1:156">
      <c r="B13" t="s">
        <v>40</v>
      </c>
      <c r="C13" t="s">
        <v>34</v>
      </c>
      <c r="D13">
        <v>17.54</v>
      </c>
      <c r="F13" t="s">
        <v>40</v>
      </c>
      <c r="G13" t="s">
        <v>35</v>
      </c>
      <c r="H13">
        <v>19.146000000000001</v>
      </c>
      <c r="I13">
        <f>H13-E14</f>
        <v>1.6666666666666679</v>
      </c>
      <c r="J13">
        <f t="shared" si="0"/>
        <v>0.31498026247371802</v>
      </c>
      <c r="L13">
        <f t="shared" si="9"/>
        <v>84.506505651105073</v>
      </c>
      <c r="AB13" t="s">
        <v>40</v>
      </c>
      <c r="AC13" t="s">
        <v>34</v>
      </c>
      <c r="AD13">
        <v>17.54</v>
      </c>
      <c r="AF13" t="s">
        <v>40</v>
      </c>
      <c r="AG13" t="s">
        <v>49</v>
      </c>
      <c r="AH13">
        <v>21.462</v>
      </c>
      <c r="AI13">
        <f>AH13-AE14</f>
        <v>3.9826666666666668</v>
      </c>
      <c r="AJ13">
        <f t="shared" si="1"/>
        <v>6.3255438485523188E-2</v>
      </c>
      <c r="AL13">
        <f t="shared" si="2"/>
        <v>15.414437875843802</v>
      </c>
      <c r="BB13" t="s">
        <v>40</v>
      </c>
      <c r="BC13" t="s">
        <v>34</v>
      </c>
      <c r="BD13">
        <v>17.54</v>
      </c>
      <c r="BF13" t="s">
        <v>40</v>
      </c>
      <c r="BG13" t="s">
        <v>52</v>
      </c>
      <c r="BH13">
        <v>19.855</v>
      </c>
      <c r="BI13">
        <f>BH13-BE14</f>
        <v>2.3756666666666675</v>
      </c>
      <c r="BJ13">
        <f t="shared" si="3"/>
        <v>0.19268729216458524</v>
      </c>
      <c r="BL13">
        <f t="shared" si="4"/>
        <v>22.25627198990718</v>
      </c>
      <c r="CB13" t="s">
        <v>40</v>
      </c>
      <c r="CC13" t="s">
        <v>34</v>
      </c>
      <c r="CD13">
        <v>17.018999999999998</v>
      </c>
      <c r="CF13" t="s">
        <v>40</v>
      </c>
      <c r="CG13" t="s">
        <v>35</v>
      </c>
      <c r="CH13">
        <v>31.244</v>
      </c>
      <c r="CI13">
        <f>CH13-CE14</f>
        <v>14.332333333333334</v>
      </c>
      <c r="CJ13">
        <f t="shared" si="10"/>
        <v>4.8477225828726816E-5</v>
      </c>
      <c r="CL13">
        <f t="shared" si="11"/>
        <v>7.0239440548865693</v>
      </c>
      <c r="DB13" t="s">
        <v>40</v>
      </c>
      <c r="DC13" t="s">
        <v>34</v>
      </c>
      <c r="DD13">
        <v>17.018999999999998</v>
      </c>
      <c r="DF13" t="s">
        <v>40</v>
      </c>
      <c r="DG13" t="s">
        <v>49</v>
      </c>
      <c r="DH13">
        <v>28.43</v>
      </c>
      <c r="DI13">
        <f>DH13-DE14</f>
        <v>11.518333333333334</v>
      </c>
      <c r="DJ13">
        <f t="shared" si="5"/>
        <v>3.4090719445364448E-4</v>
      </c>
      <c r="DL13">
        <f t="shared" si="6"/>
        <v>3.6063444944322502</v>
      </c>
      <c r="EB13" t="s">
        <v>40</v>
      </c>
      <c r="EC13" t="s">
        <v>34</v>
      </c>
      <c r="ED13">
        <v>17.018999999999998</v>
      </c>
      <c r="EF13" t="s">
        <v>40</v>
      </c>
      <c r="EG13" t="s">
        <v>52</v>
      </c>
      <c r="EH13">
        <v>20.652000000000001</v>
      </c>
      <c r="EI13">
        <f>EH13-EE14</f>
        <v>3.7403333333333357</v>
      </c>
      <c r="EJ13">
        <f t="shared" si="7"/>
        <v>7.4825128765629523E-2</v>
      </c>
      <c r="EL13">
        <f t="shared" si="8"/>
        <v>20.630325167783589</v>
      </c>
    </row>
    <row r="14" spans="1:156">
      <c r="B14" t="s">
        <v>40</v>
      </c>
      <c r="C14" t="s">
        <v>34</v>
      </c>
      <c r="D14">
        <v>17.613</v>
      </c>
      <c r="E14">
        <f t="shared" ref="E14" si="56">AVERAGE(D12:D14)</f>
        <v>17.479333333333333</v>
      </c>
      <c r="F14" t="s">
        <v>40</v>
      </c>
      <c r="G14" t="s">
        <v>35</v>
      </c>
      <c r="H14">
        <v>19.254999999999999</v>
      </c>
      <c r="I14">
        <f>H14-E14</f>
        <v>1.7756666666666661</v>
      </c>
      <c r="J14">
        <f t="shared" si="0"/>
        <v>0.29205932088989134</v>
      </c>
      <c r="L14">
        <f t="shared" si="9"/>
        <v>78.357013412225754</v>
      </c>
      <c r="AB14" t="s">
        <v>40</v>
      </c>
      <c r="AC14" t="s">
        <v>34</v>
      </c>
      <c r="AD14">
        <v>17.613</v>
      </c>
      <c r="AE14">
        <f>AVERAGE(AD12:AD14)</f>
        <v>17.479333333333333</v>
      </c>
      <c r="AF14" t="s">
        <v>40</v>
      </c>
      <c r="AG14" t="s">
        <v>49</v>
      </c>
      <c r="AH14">
        <v>21.277999999999999</v>
      </c>
      <c r="AI14">
        <f>AH14-AE14</f>
        <v>3.7986666666666657</v>
      </c>
      <c r="AJ14">
        <f t="shared" si="1"/>
        <v>7.186002927646841E-2</v>
      </c>
      <c r="AL14">
        <f t="shared" si="2"/>
        <v>17.511252527194895</v>
      </c>
      <c r="BB14" t="s">
        <v>40</v>
      </c>
      <c r="BC14" t="s">
        <v>34</v>
      </c>
      <c r="BD14">
        <v>17.613</v>
      </c>
      <c r="BE14">
        <f t="shared" ref="BE14" si="57">AVERAGE(BD12:BD14)</f>
        <v>17.479333333333333</v>
      </c>
      <c r="BF14" t="s">
        <v>40</v>
      </c>
      <c r="BG14" t="s">
        <v>52</v>
      </c>
      <c r="BH14">
        <v>19.811</v>
      </c>
      <c r="BI14">
        <f>BH14-BE14</f>
        <v>2.331666666666667</v>
      </c>
      <c r="BJ14">
        <f t="shared" si="3"/>
        <v>0.19865449365604276</v>
      </c>
      <c r="BL14">
        <f t="shared" si="4"/>
        <v>22.945511316074157</v>
      </c>
      <c r="CB14" t="s">
        <v>40</v>
      </c>
      <c r="CC14" t="s">
        <v>34</v>
      </c>
      <c r="CD14">
        <v>16.806999999999999</v>
      </c>
      <c r="CE14">
        <f t="shared" ref="CE14" si="58">AVERAGE(CD12:CD14)</f>
        <v>16.911666666666665</v>
      </c>
      <c r="CF14" t="s">
        <v>40</v>
      </c>
      <c r="CG14" t="s">
        <v>35</v>
      </c>
      <c r="CH14">
        <v>31.850999999999999</v>
      </c>
      <c r="CI14">
        <f t="shared" si="55"/>
        <v>14.939333333333334</v>
      </c>
      <c r="CJ14">
        <f t="shared" si="10"/>
        <v>3.1828234668829285E-5</v>
      </c>
      <c r="CL14">
        <f t="shared" si="11"/>
        <v>4.6116446611344699</v>
      </c>
      <c r="DB14" t="s">
        <v>40</v>
      </c>
      <c r="DC14" t="s">
        <v>34</v>
      </c>
      <c r="DD14">
        <v>16.806999999999999</v>
      </c>
      <c r="DE14">
        <f>AVERAGE(DD12:DD14)</f>
        <v>16.911666666666665</v>
      </c>
      <c r="DF14" t="s">
        <v>40</v>
      </c>
      <c r="DG14" t="s">
        <v>49</v>
      </c>
      <c r="DH14">
        <v>28.495000000000001</v>
      </c>
      <c r="DI14">
        <f>DH14-DE14</f>
        <v>11.583333333333336</v>
      </c>
      <c r="DJ14">
        <f t="shared" si="5"/>
        <v>3.2588863627198034E-4</v>
      </c>
      <c r="DL14">
        <f t="shared" si="6"/>
        <v>3.4474681330824763</v>
      </c>
      <c r="EB14" t="s">
        <v>40</v>
      </c>
      <c r="EC14" t="s">
        <v>34</v>
      </c>
      <c r="ED14">
        <v>16.806999999999999</v>
      </c>
      <c r="EE14">
        <f>AVERAGE(ED12:ED14)</f>
        <v>16.911666666666665</v>
      </c>
      <c r="EF14" t="s">
        <v>40</v>
      </c>
      <c r="EG14" t="s">
        <v>52</v>
      </c>
      <c r="EH14">
        <v>20.574999999999999</v>
      </c>
      <c r="EI14">
        <f>EH14-EE14</f>
        <v>3.663333333333334</v>
      </c>
      <c r="EJ14">
        <f t="shared" si="7"/>
        <v>7.8927215699477485E-2</v>
      </c>
      <c r="EL14">
        <f t="shared" si="8"/>
        <v>21.761327395349056</v>
      </c>
    </row>
    <row r="15" spans="1:156">
      <c r="B15" t="s">
        <v>43</v>
      </c>
      <c r="C15" t="s">
        <v>34</v>
      </c>
      <c r="D15">
        <v>16.199000000000002</v>
      </c>
      <c r="F15" t="s">
        <v>43</v>
      </c>
      <c r="G15" t="s">
        <v>35</v>
      </c>
      <c r="H15">
        <v>18.576000000000001</v>
      </c>
      <c r="I15">
        <f>H15-E17</f>
        <v>2.3880000000000017</v>
      </c>
      <c r="J15">
        <f t="shared" si="0"/>
        <v>0.19104706509564559</v>
      </c>
      <c r="L15">
        <f t="shared" si="9"/>
        <v>51.256290661956413</v>
      </c>
      <c r="AB15" t="s">
        <v>43</v>
      </c>
      <c r="AC15" t="s">
        <v>34</v>
      </c>
      <c r="AD15">
        <v>16.199000000000002</v>
      </c>
      <c r="AF15" t="s">
        <v>43</v>
      </c>
      <c r="AG15" t="s">
        <v>49</v>
      </c>
      <c r="AH15">
        <v>20.265999999999998</v>
      </c>
      <c r="AI15">
        <f>AH15-AE17</f>
        <v>4.0779999999999994</v>
      </c>
      <c r="AJ15">
        <f t="shared" si="1"/>
        <v>5.9210629412454252E-2</v>
      </c>
      <c r="AL15">
        <f t="shared" si="2"/>
        <v>14.428776252602669</v>
      </c>
      <c r="BB15" t="s">
        <v>43</v>
      </c>
      <c r="BC15" t="s">
        <v>34</v>
      </c>
      <c r="BD15">
        <v>16.199000000000002</v>
      </c>
      <c r="BF15" t="s">
        <v>43</v>
      </c>
      <c r="BG15" t="s">
        <v>52</v>
      </c>
      <c r="BH15">
        <v>19.614999999999998</v>
      </c>
      <c r="BI15">
        <f>BH15-BE17</f>
        <v>3.4269999999999996</v>
      </c>
      <c r="BJ15">
        <f t="shared" si="3"/>
        <v>9.29758601521566E-2</v>
      </c>
      <c r="BL15">
        <f t="shared" si="4"/>
        <v>10.739141169073392</v>
      </c>
      <c r="CB15" t="s">
        <v>43</v>
      </c>
      <c r="CC15" t="s">
        <v>34</v>
      </c>
      <c r="CD15">
        <v>15.968999999999999</v>
      </c>
      <c r="CF15" t="s">
        <v>43</v>
      </c>
      <c r="CG15" t="s">
        <v>35</v>
      </c>
      <c r="CH15">
        <v>31.535</v>
      </c>
      <c r="CI15">
        <f>CH15-CE17</f>
        <v>15.461000000000002</v>
      </c>
      <c r="CJ15">
        <f t="shared" si="10"/>
        <v>2.2170487206594377E-5</v>
      </c>
      <c r="CL15">
        <f t="shared" si="11"/>
        <v>3.2123179317001602</v>
      </c>
      <c r="DB15" t="s">
        <v>43</v>
      </c>
      <c r="DC15" t="s">
        <v>34</v>
      </c>
      <c r="DD15">
        <v>15.968999999999999</v>
      </c>
      <c r="DF15" t="s">
        <v>43</v>
      </c>
      <c r="DG15" t="s">
        <v>49</v>
      </c>
      <c r="DH15">
        <v>27.518000000000001</v>
      </c>
      <c r="DI15">
        <f>DH15-DE17</f>
        <v>11.444000000000003</v>
      </c>
      <c r="DJ15">
        <f t="shared" si="5"/>
        <v>3.5893245517310517E-4</v>
      </c>
      <c r="DL15">
        <f t="shared" si="6"/>
        <v>3.7970277678096687</v>
      </c>
      <c r="EB15" t="s">
        <v>43</v>
      </c>
      <c r="EC15" t="s">
        <v>34</v>
      </c>
      <c r="ED15">
        <v>15.968999999999999</v>
      </c>
      <c r="EF15" t="s">
        <v>43</v>
      </c>
      <c r="EG15" t="s">
        <v>52</v>
      </c>
      <c r="EH15">
        <v>18.978000000000002</v>
      </c>
      <c r="EI15">
        <f>EH15-EE17</f>
        <v>2.9040000000000035</v>
      </c>
      <c r="EJ15">
        <f t="shared" si="7"/>
        <v>0.13360074890137569</v>
      </c>
      <c r="EL15">
        <f t="shared" si="8"/>
        <v>36.835578340639529</v>
      </c>
    </row>
    <row r="16" spans="1:156">
      <c r="B16" t="s">
        <v>43</v>
      </c>
      <c r="C16" t="s">
        <v>34</v>
      </c>
      <c r="D16">
        <v>16.343</v>
      </c>
      <c r="F16" t="s">
        <v>43</v>
      </c>
      <c r="G16" t="s">
        <v>35</v>
      </c>
      <c r="H16">
        <v>18.413</v>
      </c>
      <c r="I16">
        <f>H16-E17</f>
        <v>2.2250000000000014</v>
      </c>
      <c r="J16">
        <f t="shared" si="0"/>
        <v>0.21389875642065037</v>
      </c>
      <c r="L16">
        <f t="shared" si="9"/>
        <v>57.38720364973436</v>
      </c>
      <c r="AB16" t="s">
        <v>43</v>
      </c>
      <c r="AC16" t="s">
        <v>34</v>
      </c>
      <c r="AD16">
        <v>16.343</v>
      </c>
      <c r="AF16" t="s">
        <v>43</v>
      </c>
      <c r="AG16" t="s">
        <v>49</v>
      </c>
      <c r="AH16">
        <v>20.327000000000002</v>
      </c>
      <c r="AI16">
        <f>AH16-AE17</f>
        <v>4.1390000000000029</v>
      </c>
      <c r="AJ16">
        <f t="shared" si="1"/>
        <v>5.6759276107594236E-2</v>
      </c>
      <c r="AL16">
        <f t="shared" si="2"/>
        <v>13.83141681388568</v>
      </c>
      <c r="BB16" t="s">
        <v>43</v>
      </c>
      <c r="BC16" t="s">
        <v>34</v>
      </c>
      <c r="BD16">
        <v>16.343</v>
      </c>
      <c r="BF16" t="s">
        <v>43</v>
      </c>
      <c r="BG16" t="s">
        <v>52</v>
      </c>
      <c r="BH16">
        <v>19.670999999999999</v>
      </c>
      <c r="BI16">
        <f>BH16-BE17</f>
        <v>3.4830000000000005</v>
      </c>
      <c r="BJ16">
        <f t="shared" si="3"/>
        <v>8.9436032501432006E-2</v>
      </c>
      <c r="BL16">
        <f t="shared" si="4"/>
        <v>10.330274730052455</v>
      </c>
      <c r="CB16" t="s">
        <v>43</v>
      </c>
      <c r="CC16" t="s">
        <v>34</v>
      </c>
      <c r="CD16">
        <v>16.117000000000001</v>
      </c>
      <c r="CF16" t="s">
        <v>43</v>
      </c>
      <c r="CG16" t="s">
        <v>35</v>
      </c>
      <c r="CH16">
        <v>31.358000000000001</v>
      </c>
      <c r="CI16">
        <f>CH16-CE17</f>
        <v>15.284000000000002</v>
      </c>
      <c r="CJ16">
        <f t="shared" si="10"/>
        <v>2.5064413475099637E-5</v>
      </c>
      <c r="CL16">
        <f t="shared" si="11"/>
        <v>3.6316236131094763</v>
      </c>
      <c r="DB16" t="s">
        <v>43</v>
      </c>
      <c r="DC16" t="s">
        <v>34</v>
      </c>
      <c r="DD16">
        <v>16.117000000000001</v>
      </c>
      <c r="DF16" t="s">
        <v>43</v>
      </c>
      <c r="DG16" t="s">
        <v>49</v>
      </c>
      <c r="DH16">
        <v>27.177</v>
      </c>
      <c r="DI16">
        <f>DH16-DE17</f>
        <v>11.103000000000002</v>
      </c>
      <c r="DJ16">
        <f t="shared" si="5"/>
        <v>4.5463614249522858E-4</v>
      </c>
      <c r="DL16">
        <f t="shared" si="6"/>
        <v>4.8094454330459371</v>
      </c>
      <c r="EB16" t="s">
        <v>43</v>
      </c>
      <c r="EC16" t="s">
        <v>34</v>
      </c>
      <c r="ED16">
        <v>16.117000000000001</v>
      </c>
      <c r="EF16" t="s">
        <v>43</v>
      </c>
      <c r="EG16" t="s">
        <v>52</v>
      </c>
      <c r="EH16">
        <v>19.503</v>
      </c>
      <c r="EI16">
        <f>EH16-EE17</f>
        <v>3.429000000000002</v>
      </c>
      <c r="EJ16">
        <f t="shared" si="7"/>
        <v>9.2847057541301681E-2</v>
      </c>
      <c r="EL16">
        <f t="shared" si="8"/>
        <v>25.599220737042348</v>
      </c>
    </row>
    <row r="17" spans="2:142">
      <c r="B17" t="s">
        <v>43</v>
      </c>
      <c r="C17" t="s">
        <v>34</v>
      </c>
      <c r="D17">
        <v>16.021999999999998</v>
      </c>
      <c r="E17">
        <f t="shared" ref="E17" si="59">AVERAGE(D15:D17)</f>
        <v>16.187999999999999</v>
      </c>
      <c r="F17" t="s">
        <v>43</v>
      </c>
      <c r="G17" t="s">
        <v>35</v>
      </c>
      <c r="H17">
        <v>18.559000000000001</v>
      </c>
      <c r="I17">
        <f>H17-E17</f>
        <v>2.3710000000000022</v>
      </c>
      <c r="J17">
        <f t="shared" si="0"/>
        <v>0.193311584363829</v>
      </c>
      <c r="L17">
        <f t="shared" si="9"/>
        <v>51.863841779067272</v>
      </c>
      <c r="AB17" t="s">
        <v>43</v>
      </c>
      <c r="AC17" t="s">
        <v>34</v>
      </c>
      <c r="AD17">
        <v>16.021999999999998</v>
      </c>
      <c r="AE17">
        <f>AVERAGE(AD15:AD17)</f>
        <v>16.187999999999999</v>
      </c>
      <c r="AF17" t="s">
        <v>43</v>
      </c>
      <c r="AG17" t="s">
        <v>49</v>
      </c>
      <c r="AH17">
        <v>20.126999999999999</v>
      </c>
      <c r="AI17">
        <f>AH17-AE17</f>
        <v>3.9390000000000001</v>
      </c>
      <c r="AJ17">
        <f t="shared" si="1"/>
        <v>6.5199287095616149E-2</v>
      </c>
      <c r="AL17">
        <f t="shared" si="2"/>
        <v>15.888125741388844</v>
      </c>
      <c r="BB17" t="s">
        <v>43</v>
      </c>
      <c r="BC17" t="s">
        <v>34</v>
      </c>
      <c r="BD17">
        <v>16.021999999999998</v>
      </c>
      <c r="BE17">
        <f t="shared" ref="BE17" si="60">AVERAGE(BD15:BD17)</f>
        <v>16.187999999999999</v>
      </c>
      <c r="BF17" t="s">
        <v>43</v>
      </c>
      <c r="BG17" t="s">
        <v>52</v>
      </c>
      <c r="BH17">
        <v>19.670999999999999</v>
      </c>
      <c r="BI17">
        <f>BH17-BE17</f>
        <v>3.4830000000000005</v>
      </c>
      <c r="BJ17">
        <f t="shared" si="3"/>
        <v>8.9436032501432006E-2</v>
      </c>
      <c r="BL17">
        <f t="shared" si="4"/>
        <v>10.330274730052455</v>
      </c>
      <c r="CB17" t="s">
        <v>43</v>
      </c>
      <c r="CC17" t="s">
        <v>34</v>
      </c>
      <c r="CD17">
        <v>16.135999999999999</v>
      </c>
      <c r="CE17">
        <f t="shared" ref="CE17" si="61">AVERAGE(CD15:CD17)</f>
        <v>16.073999999999998</v>
      </c>
      <c r="CF17" t="s">
        <v>43</v>
      </c>
      <c r="CG17" t="s">
        <v>35</v>
      </c>
      <c r="CH17">
        <v>31.812000000000001</v>
      </c>
      <c r="CI17">
        <f t="shared" si="55"/>
        <v>15.738000000000003</v>
      </c>
      <c r="CJ17">
        <f t="shared" si="10"/>
        <v>1.8297423000963007E-5</v>
      </c>
      <c r="CL17">
        <f t="shared" si="11"/>
        <v>2.6511433628943339</v>
      </c>
      <c r="DB17" t="s">
        <v>43</v>
      </c>
      <c r="DC17" t="s">
        <v>34</v>
      </c>
      <c r="DD17">
        <v>16.135999999999999</v>
      </c>
      <c r="DE17">
        <f>AVERAGE(DD15:DD17)</f>
        <v>16.073999999999998</v>
      </c>
      <c r="DF17" t="s">
        <v>43</v>
      </c>
      <c r="DG17" t="s">
        <v>49</v>
      </c>
      <c r="DH17">
        <v>27.28</v>
      </c>
      <c r="DI17">
        <f>DH17-DE17</f>
        <v>11.206000000000003</v>
      </c>
      <c r="DJ17">
        <f t="shared" si="5"/>
        <v>4.2330935718490483E-4</v>
      </c>
      <c r="DL17">
        <f t="shared" si="6"/>
        <v>4.478049728965221</v>
      </c>
      <c r="EB17" t="s">
        <v>43</v>
      </c>
      <c r="EC17" t="s">
        <v>34</v>
      </c>
      <c r="ED17">
        <v>16.135999999999999</v>
      </c>
      <c r="EE17">
        <f>AVERAGE(ED15:ED17)</f>
        <v>16.073999999999998</v>
      </c>
      <c r="EF17" t="s">
        <v>43</v>
      </c>
      <c r="EG17" t="s">
        <v>52</v>
      </c>
      <c r="EH17">
        <v>19.427</v>
      </c>
      <c r="EI17">
        <f>EH17-EE17</f>
        <v>3.3530000000000015</v>
      </c>
      <c r="EJ17">
        <f t="shared" si="7"/>
        <v>9.7869287032067737E-2</v>
      </c>
      <c r="EL17">
        <f t="shared" si="8"/>
        <v>26.983919021842745</v>
      </c>
    </row>
    <row r="18" spans="2:142">
      <c r="B18" t="s">
        <v>44</v>
      </c>
      <c r="C18" t="s">
        <v>34</v>
      </c>
      <c r="D18">
        <v>17.637</v>
      </c>
      <c r="F18" t="s">
        <v>44</v>
      </c>
      <c r="G18" t="s">
        <v>35</v>
      </c>
      <c r="H18">
        <v>18.869</v>
      </c>
      <c r="I18">
        <f>H18-E20</f>
        <v>1.2416666666666671</v>
      </c>
      <c r="J18">
        <f t="shared" si="0"/>
        <v>0.4228838393157241</v>
      </c>
      <c r="L18">
        <f t="shared" si="9"/>
        <v>113.45611079321867</v>
      </c>
      <c r="AB18" t="s">
        <v>44</v>
      </c>
      <c r="AC18" t="s">
        <v>34</v>
      </c>
      <c r="AD18">
        <v>17.637</v>
      </c>
      <c r="AF18" t="s">
        <v>44</v>
      </c>
      <c r="AG18" t="s">
        <v>49</v>
      </c>
      <c r="AH18">
        <v>20.527999999999999</v>
      </c>
      <c r="AI18">
        <f>AH18-AE20</f>
        <v>2.9006666666666661</v>
      </c>
      <c r="AJ18">
        <f t="shared" si="1"/>
        <v>0.13390978905582046</v>
      </c>
      <c r="AL18">
        <f t="shared" si="2"/>
        <v>32.631883894705723</v>
      </c>
      <c r="BB18" t="s">
        <v>44</v>
      </c>
      <c r="BC18" t="s">
        <v>34</v>
      </c>
      <c r="BD18">
        <v>17.637</v>
      </c>
      <c r="BF18" t="s">
        <v>44</v>
      </c>
      <c r="BG18" t="s">
        <v>52</v>
      </c>
      <c r="BH18">
        <v>20.07</v>
      </c>
      <c r="BI18">
        <f>BH18-BE20</f>
        <v>2.4426666666666677</v>
      </c>
      <c r="BJ18">
        <f t="shared" si="3"/>
        <v>0.18394333825799228</v>
      </c>
      <c r="BL18">
        <f t="shared" si="4"/>
        <v>21.246304937974564</v>
      </c>
      <c r="CB18" t="s">
        <v>44</v>
      </c>
      <c r="CC18" t="s">
        <v>34</v>
      </c>
      <c r="CD18">
        <v>16.946000000000002</v>
      </c>
      <c r="CF18" t="s">
        <v>44</v>
      </c>
      <c r="CG18" t="s">
        <v>35</v>
      </c>
      <c r="CH18">
        <v>30.824000000000002</v>
      </c>
      <c r="CI18">
        <f>CH18-CE20</f>
        <v>13.895666666666667</v>
      </c>
      <c r="CJ18">
        <f t="shared" si="10"/>
        <v>6.5612641682804123E-5</v>
      </c>
      <c r="CL18">
        <f t="shared" si="11"/>
        <v>9.506722313310199</v>
      </c>
      <c r="DB18" t="s">
        <v>44</v>
      </c>
      <c r="DC18" t="s">
        <v>34</v>
      </c>
      <c r="DD18">
        <v>16.946000000000002</v>
      </c>
      <c r="DF18" t="s">
        <v>44</v>
      </c>
      <c r="DG18" t="s">
        <v>49</v>
      </c>
      <c r="DH18">
        <v>27.268999999999998</v>
      </c>
      <c r="DI18">
        <f>DH18-DE20</f>
        <v>10.340666666666664</v>
      </c>
      <c r="DJ18">
        <f t="shared" si="5"/>
        <v>7.7116828085523894E-4</v>
      </c>
      <c r="DL18">
        <f t="shared" si="6"/>
        <v>8.1579342682990497</v>
      </c>
      <c r="EB18" t="s">
        <v>44</v>
      </c>
      <c r="EC18" t="s">
        <v>34</v>
      </c>
      <c r="ED18">
        <v>16.946000000000002</v>
      </c>
      <c r="EF18" t="s">
        <v>44</v>
      </c>
      <c r="EG18" t="s">
        <v>52</v>
      </c>
      <c r="EH18">
        <v>18.963000000000001</v>
      </c>
      <c r="EI18">
        <f>EH18-EE20</f>
        <v>2.0346666666666664</v>
      </c>
      <c r="EJ18">
        <f t="shared" si="7"/>
        <v>0.24406432451283722</v>
      </c>
      <c r="EL18">
        <f t="shared" si="8"/>
        <v>67.291917295946476</v>
      </c>
    </row>
    <row r="19" spans="2:142">
      <c r="B19" t="s">
        <v>44</v>
      </c>
      <c r="C19" t="s">
        <v>34</v>
      </c>
      <c r="D19">
        <v>17.666</v>
      </c>
      <c r="F19" t="s">
        <v>44</v>
      </c>
      <c r="G19" t="s">
        <v>35</v>
      </c>
      <c r="H19">
        <v>18.849</v>
      </c>
      <c r="I19">
        <f>H19-E20</f>
        <v>1.2216666666666676</v>
      </c>
      <c r="J19">
        <f t="shared" si="0"/>
        <v>0.42878707772418179</v>
      </c>
      <c r="L19">
        <f t="shared" si="9"/>
        <v>115.03989907889189</v>
      </c>
      <c r="AB19" t="s">
        <v>44</v>
      </c>
      <c r="AC19" t="s">
        <v>34</v>
      </c>
      <c r="AD19">
        <v>17.666</v>
      </c>
      <c r="AF19" t="s">
        <v>44</v>
      </c>
      <c r="AG19" t="s">
        <v>49</v>
      </c>
      <c r="AH19">
        <v>20.254000000000001</v>
      </c>
      <c r="AI19">
        <f>AH19-AE20</f>
        <v>2.6266666666666687</v>
      </c>
      <c r="AJ19">
        <f t="shared" si="1"/>
        <v>0.16191778148649313</v>
      </c>
      <c r="AL19">
        <f t="shared" si="2"/>
        <v>39.4570276244186</v>
      </c>
      <c r="BB19" t="s">
        <v>44</v>
      </c>
      <c r="BC19" t="s">
        <v>34</v>
      </c>
      <c r="BD19">
        <v>17.666</v>
      </c>
      <c r="BF19" t="s">
        <v>44</v>
      </c>
      <c r="BG19" t="s">
        <v>52</v>
      </c>
      <c r="BH19">
        <v>19.992000000000001</v>
      </c>
      <c r="BI19">
        <f>BH19-BE20</f>
        <v>2.3646666666666682</v>
      </c>
      <c r="BJ19">
        <f t="shared" si="3"/>
        <v>0.19416207453296169</v>
      </c>
      <c r="BL19">
        <f t="shared" si="4"/>
        <v>22.426616163348932</v>
      </c>
      <c r="CB19" t="s">
        <v>44</v>
      </c>
      <c r="CC19" t="s">
        <v>34</v>
      </c>
      <c r="CD19">
        <v>16.937000000000001</v>
      </c>
      <c r="CF19" t="s">
        <v>44</v>
      </c>
      <c r="CG19" t="s">
        <v>35</v>
      </c>
      <c r="CH19">
        <v>30.74</v>
      </c>
      <c r="CI19">
        <f>CH19-CE20</f>
        <v>13.811666666666664</v>
      </c>
      <c r="CJ19">
        <f t="shared" si="10"/>
        <v>6.9546302177736841E-5</v>
      </c>
      <c r="CL19">
        <f t="shared" si="11"/>
        <v>10.076676776978205</v>
      </c>
      <c r="DB19" t="s">
        <v>44</v>
      </c>
      <c r="DC19" t="s">
        <v>34</v>
      </c>
      <c r="DD19">
        <v>16.937000000000001</v>
      </c>
      <c r="DF19" t="s">
        <v>44</v>
      </c>
      <c r="DG19" t="s">
        <v>49</v>
      </c>
      <c r="DH19">
        <v>27.29</v>
      </c>
      <c r="DI19">
        <f>DH19-DE20</f>
        <v>10.361666666666665</v>
      </c>
      <c r="DJ19">
        <f t="shared" si="5"/>
        <v>7.600243878655552E-4</v>
      </c>
      <c r="DL19">
        <f t="shared" si="6"/>
        <v>8.0400467089170995</v>
      </c>
      <c r="EB19" t="s">
        <v>44</v>
      </c>
      <c r="EC19" t="s">
        <v>34</v>
      </c>
      <c r="ED19">
        <v>16.937000000000001</v>
      </c>
      <c r="EF19" t="s">
        <v>44</v>
      </c>
      <c r="EG19" t="s">
        <v>52</v>
      </c>
      <c r="EH19">
        <v>19.056999999999999</v>
      </c>
      <c r="EI19">
        <f>EH19-EE20</f>
        <v>2.128666666666664</v>
      </c>
      <c r="EJ19">
        <f t="shared" si="7"/>
        <v>0.22866910005250898</v>
      </c>
      <c r="EL19">
        <f t="shared" si="8"/>
        <v>63.047240515737862</v>
      </c>
    </row>
    <row r="20" spans="2:142">
      <c r="B20" t="s">
        <v>44</v>
      </c>
      <c r="C20" t="s">
        <v>34</v>
      </c>
      <c r="D20">
        <v>17.579000000000001</v>
      </c>
      <c r="E20">
        <f t="shared" ref="E20" si="62">AVERAGE(D18:D20)</f>
        <v>17.627333333333333</v>
      </c>
      <c r="F20" t="s">
        <v>44</v>
      </c>
      <c r="G20" t="s">
        <v>35</v>
      </c>
      <c r="H20">
        <v>18.869</v>
      </c>
      <c r="I20">
        <f>H20-E20</f>
        <v>1.2416666666666671</v>
      </c>
      <c r="J20">
        <f t="shared" si="0"/>
        <v>0.4228838393157241</v>
      </c>
      <c r="L20">
        <f t="shared" si="9"/>
        <v>113.45611079321867</v>
      </c>
      <c r="AB20" t="s">
        <v>44</v>
      </c>
      <c r="AC20" t="s">
        <v>34</v>
      </c>
      <c r="AD20">
        <v>17.579000000000001</v>
      </c>
      <c r="AE20">
        <f>AVERAGE(AD18:AD20)</f>
        <v>17.627333333333333</v>
      </c>
      <c r="AF20" t="s">
        <v>44</v>
      </c>
      <c r="AG20" t="s">
        <v>49</v>
      </c>
      <c r="AH20">
        <v>20.475000000000001</v>
      </c>
      <c r="AI20">
        <f>AH20-AE20</f>
        <v>2.8476666666666688</v>
      </c>
      <c r="AJ20">
        <f t="shared" si="1"/>
        <v>0.13892068486780337</v>
      </c>
      <c r="AL20">
        <f t="shared" si="2"/>
        <v>33.852966920061938</v>
      </c>
      <c r="BB20" t="s">
        <v>44</v>
      </c>
      <c r="BC20" t="s">
        <v>34</v>
      </c>
      <c r="BD20">
        <v>17.579000000000001</v>
      </c>
      <c r="BE20">
        <f t="shared" ref="BE20" si="63">AVERAGE(BD18:BD20)</f>
        <v>17.627333333333333</v>
      </c>
      <c r="BF20" t="s">
        <v>44</v>
      </c>
      <c r="BG20" t="s">
        <v>52</v>
      </c>
      <c r="BH20">
        <v>20.088000000000001</v>
      </c>
      <c r="BI20">
        <f>BH20-BE20</f>
        <v>2.4606666666666683</v>
      </c>
      <c r="BJ20">
        <f t="shared" si="3"/>
        <v>0.18166259932073062</v>
      </c>
      <c r="BL20">
        <f t="shared" si="4"/>
        <v>20.982869059274741</v>
      </c>
      <c r="CB20" t="s">
        <v>44</v>
      </c>
      <c r="CC20" t="s">
        <v>34</v>
      </c>
      <c r="CD20">
        <v>16.902000000000001</v>
      </c>
      <c r="CE20">
        <f t="shared" ref="CE20" si="64">AVERAGE(CD18:CD20)</f>
        <v>16.928333333333335</v>
      </c>
      <c r="CF20" t="s">
        <v>44</v>
      </c>
      <c r="CG20" t="s">
        <v>35</v>
      </c>
      <c r="CH20">
        <v>30.425999999999998</v>
      </c>
      <c r="CI20">
        <f t="shared" si="55"/>
        <v>13.497666666666664</v>
      </c>
      <c r="CJ20">
        <f t="shared" si="10"/>
        <v>8.6456462525746856E-5</v>
      </c>
      <c r="CL20">
        <f t="shared" si="11"/>
        <v>12.526817398952469</v>
      </c>
      <c r="DB20" t="s">
        <v>44</v>
      </c>
      <c r="DC20" t="s">
        <v>34</v>
      </c>
      <c r="DD20">
        <v>16.902000000000001</v>
      </c>
      <c r="DE20">
        <f>AVERAGE(DD18:DD20)</f>
        <v>16.928333333333335</v>
      </c>
      <c r="DF20" t="s">
        <v>44</v>
      </c>
      <c r="DG20" t="s">
        <v>49</v>
      </c>
      <c r="DH20">
        <v>27.216000000000001</v>
      </c>
      <c r="DI20">
        <f>DH20-DE20</f>
        <v>10.287666666666667</v>
      </c>
      <c r="DJ20">
        <f t="shared" si="5"/>
        <v>8.000253490062525E-4</v>
      </c>
      <c r="DL20">
        <f t="shared" si="6"/>
        <v>8.4632036511252178</v>
      </c>
      <c r="EB20" t="s">
        <v>44</v>
      </c>
      <c r="EC20" t="s">
        <v>34</v>
      </c>
      <c r="ED20">
        <v>16.902000000000001</v>
      </c>
      <c r="EE20">
        <f>AVERAGE(ED18:ED20)</f>
        <v>16.928333333333335</v>
      </c>
      <c r="EF20" t="s">
        <v>44</v>
      </c>
      <c r="EG20" t="s">
        <v>52</v>
      </c>
      <c r="EH20">
        <v>18.975999999999999</v>
      </c>
      <c r="EI20">
        <f>EH20-EE20</f>
        <v>2.0476666666666645</v>
      </c>
      <c r="EJ20">
        <f t="shared" si="7"/>
        <v>0.24187496093029986</v>
      </c>
      <c r="EL20">
        <f t="shared" si="8"/>
        <v>66.688279409004451</v>
      </c>
    </row>
    <row r="21" spans="2:142">
      <c r="B21" t="s">
        <v>45</v>
      </c>
      <c r="C21" t="s">
        <v>34</v>
      </c>
      <c r="D21">
        <v>17.195</v>
      </c>
      <c r="F21" t="s">
        <v>45</v>
      </c>
      <c r="G21" t="s">
        <v>35</v>
      </c>
      <c r="H21">
        <v>18.645</v>
      </c>
      <c r="I21">
        <f>H21-E23</f>
        <v>1.4073333333333338</v>
      </c>
      <c r="J21">
        <f t="shared" si="0"/>
        <v>0.37700790178644644</v>
      </c>
      <c r="L21">
        <f t="shared" si="9"/>
        <v>101.14798982201614</v>
      </c>
      <c r="AB21" t="s">
        <v>45</v>
      </c>
      <c r="AC21" t="s">
        <v>34</v>
      </c>
      <c r="AD21">
        <v>17.195</v>
      </c>
      <c r="AF21" t="s">
        <v>45</v>
      </c>
      <c r="AG21" t="s">
        <v>49</v>
      </c>
      <c r="AH21">
        <v>21.178999999999998</v>
      </c>
      <c r="AI21">
        <f>AH21-AE23</f>
        <v>3.9413333333333327</v>
      </c>
      <c r="AJ21">
        <f t="shared" si="1"/>
        <v>6.5093922685743461E-2</v>
      </c>
      <c r="AL21">
        <f t="shared" si="2"/>
        <v>15.862449954623424</v>
      </c>
      <c r="BB21" t="s">
        <v>45</v>
      </c>
      <c r="BC21" t="s">
        <v>34</v>
      </c>
      <c r="BD21">
        <v>17.195</v>
      </c>
      <c r="BF21" t="s">
        <v>45</v>
      </c>
      <c r="BG21" t="s">
        <v>52</v>
      </c>
      <c r="BH21">
        <v>20.533999999999999</v>
      </c>
      <c r="BI21">
        <f>BH21-BE23</f>
        <v>3.2963333333333331</v>
      </c>
      <c r="BJ21">
        <f t="shared" si="3"/>
        <v>0.10178992420028497</v>
      </c>
      <c r="BL21">
        <f t="shared" si="4"/>
        <v>11.757206266091044</v>
      </c>
      <c r="CB21" t="s">
        <v>45</v>
      </c>
      <c r="CC21" t="s">
        <v>34</v>
      </c>
      <c r="CD21">
        <v>16.224</v>
      </c>
      <c r="CF21" t="s">
        <v>45</v>
      </c>
      <c r="CG21" t="s">
        <v>35</v>
      </c>
      <c r="CH21">
        <v>31.442</v>
      </c>
      <c r="CI21">
        <f>CH21-CE23</f>
        <v>15.246333333333332</v>
      </c>
      <c r="CJ21">
        <f t="shared" si="10"/>
        <v>2.5727426300055595E-5</v>
      </c>
      <c r="CL21">
        <f t="shared" si="11"/>
        <v>3.7276886191107752</v>
      </c>
      <c r="DB21" t="s">
        <v>45</v>
      </c>
      <c r="DC21" t="s">
        <v>34</v>
      </c>
      <c r="DD21">
        <v>16.224</v>
      </c>
      <c r="DF21" t="s">
        <v>45</v>
      </c>
      <c r="DG21" t="s">
        <v>49</v>
      </c>
      <c r="DH21">
        <v>28.256</v>
      </c>
      <c r="DI21">
        <f>DH21-DE23</f>
        <v>12.060333333333332</v>
      </c>
      <c r="DJ21">
        <f t="shared" si="5"/>
        <v>2.3414123726918248E-4</v>
      </c>
      <c r="DL21">
        <f t="shared" si="6"/>
        <v>2.4769027338907907</v>
      </c>
      <c r="EB21" t="s">
        <v>45</v>
      </c>
      <c r="EC21" t="s">
        <v>34</v>
      </c>
      <c r="ED21">
        <v>16.224</v>
      </c>
      <c r="EF21" t="s">
        <v>45</v>
      </c>
      <c r="EG21" t="s">
        <v>52</v>
      </c>
      <c r="EH21">
        <v>20.603000000000002</v>
      </c>
      <c r="EI21">
        <f>EH21-EE23</f>
        <v>4.4073333333333338</v>
      </c>
      <c r="EJ21">
        <f t="shared" si="7"/>
        <v>4.7125987723305819E-2</v>
      </c>
      <c r="EL21">
        <f t="shared" si="8"/>
        <v>12.993288038701806</v>
      </c>
    </row>
    <row r="22" spans="2:142">
      <c r="B22" t="s">
        <v>45</v>
      </c>
      <c r="C22" t="s">
        <v>34</v>
      </c>
      <c r="D22">
        <v>17.207999999999998</v>
      </c>
      <c r="F22" t="s">
        <v>45</v>
      </c>
      <c r="G22" t="s">
        <v>35</v>
      </c>
      <c r="H22">
        <v>18.609000000000002</v>
      </c>
      <c r="I22">
        <f>H22-E23</f>
        <v>1.371333333333336</v>
      </c>
      <c r="J22">
        <f t="shared" si="0"/>
        <v>0.38653385012676367</v>
      </c>
      <c r="L22">
        <f t="shared" si="9"/>
        <v>103.70372014280194</v>
      </c>
      <c r="AB22" t="s">
        <v>45</v>
      </c>
      <c r="AC22" t="s">
        <v>34</v>
      </c>
      <c r="AD22">
        <v>17.207999999999998</v>
      </c>
      <c r="AF22" t="s">
        <v>45</v>
      </c>
      <c r="AG22" t="s">
        <v>49</v>
      </c>
      <c r="AH22">
        <v>21.087</v>
      </c>
      <c r="AI22">
        <f>AH22-AE23</f>
        <v>3.8493333333333339</v>
      </c>
      <c r="AJ22">
        <f t="shared" si="1"/>
        <v>6.9380145032458609E-2</v>
      </c>
      <c r="AL22">
        <f t="shared" si="2"/>
        <v>16.906940510176444</v>
      </c>
      <c r="BB22" t="s">
        <v>45</v>
      </c>
      <c r="BC22" t="s">
        <v>34</v>
      </c>
      <c r="BD22">
        <v>17.207999999999998</v>
      </c>
      <c r="BF22" t="s">
        <v>45</v>
      </c>
      <c r="BG22" t="s">
        <v>52</v>
      </c>
      <c r="BH22">
        <v>20.431999999999999</v>
      </c>
      <c r="BI22">
        <f>BH22-BE23</f>
        <v>3.1943333333333328</v>
      </c>
      <c r="BJ22">
        <f t="shared" si="3"/>
        <v>0.10924708319916576</v>
      </c>
      <c r="BL22">
        <f t="shared" si="4"/>
        <v>12.618542564331779</v>
      </c>
      <c r="CB22" t="s">
        <v>45</v>
      </c>
      <c r="CC22" t="s">
        <v>34</v>
      </c>
      <c r="CD22">
        <v>16.146000000000001</v>
      </c>
      <c r="CF22" t="s">
        <v>45</v>
      </c>
      <c r="CG22" t="s">
        <v>35</v>
      </c>
      <c r="CH22">
        <v>31.422999999999998</v>
      </c>
      <c r="CI22">
        <f>CH22-CE23</f>
        <v>15.227333333333331</v>
      </c>
      <c r="CJ22">
        <f t="shared" si="10"/>
        <v>2.6068492221865696E-5</v>
      </c>
      <c r="CL22">
        <f t="shared" si="11"/>
        <v>3.7771062149584909</v>
      </c>
      <c r="DB22" t="s">
        <v>45</v>
      </c>
      <c r="DC22" t="s">
        <v>34</v>
      </c>
      <c r="DD22">
        <v>16.146000000000001</v>
      </c>
      <c r="DF22" t="s">
        <v>45</v>
      </c>
      <c r="DG22" t="s">
        <v>49</v>
      </c>
      <c r="DH22">
        <v>28.247</v>
      </c>
      <c r="DI22">
        <f>DH22-DE23</f>
        <v>12.051333333333332</v>
      </c>
      <c r="DJ22">
        <f t="shared" si="5"/>
        <v>2.3560645180556528E-4</v>
      </c>
      <c r="DL22">
        <f t="shared" si="6"/>
        <v>2.4924027540206528</v>
      </c>
      <c r="EB22" t="s">
        <v>45</v>
      </c>
      <c r="EC22" t="s">
        <v>34</v>
      </c>
      <c r="ED22">
        <v>16.146000000000001</v>
      </c>
      <c r="EF22" t="s">
        <v>45</v>
      </c>
      <c r="EG22" t="s">
        <v>52</v>
      </c>
      <c r="EH22">
        <v>20.390999999999998</v>
      </c>
      <c r="EI22">
        <f>EH22-EE23</f>
        <v>4.1953333333333305</v>
      </c>
      <c r="EJ22">
        <f t="shared" si="7"/>
        <v>5.4585692564722323E-2</v>
      </c>
      <c r="EL22">
        <f t="shared" si="8"/>
        <v>15.05003206404324</v>
      </c>
    </row>
    <row r="23" spans="2:142">
      <c r="B23" t="s">
        <v>45</v>
      </c>
      <c r="C23" t="s">
        <v>34</v>
      </c>
      <c r="D23">
        <v>17.309999999999999</v>
      </c>
      <c r="E23">
        <f t="shared" ref="E23" si="65">AVERAGE(D21:D23)</f>
        <v>17.237666666666666</v>
      </c>
      <c r="F23" t="s">
        <v>45</v>
      </c>
      <c r="G23" t="s">
        <v>35</v>
      </c>
      <c r="H23">
        <v>18.744</v>
      </c>
      <c r="I23">
        <f>H23-E23</f>
        <v>1.506333333333334</v>
      </c>
      <c r="J23">
        <f t="shared" si="0"/>
        <v>0.3520047169726071</v>
      </c>
      <c r="L23">
        <f t="shared" si="9"/>
        <v>94.439849565314688</v>
      </c>
      <c r="AB23" t="s">
        <v>45</v>
      </c>
      <c r="AC23" t="s">
        <v>34</v>
      </c>
      <c r="AD23">
        <v>17.309999999999999</v>
      </c>
      <c r="AE23">
        <f>AVERAGE(AD21:AD23)</f>
        <v>17.237666666666666</v>
      </c>
      <c r="AF23" t="s">
        <v>45</v>
      </c>
      <c r="AG23" t="s">
        <v>49</v>
      </c>
      <c r="AH23">
        <v>21.079000000000001</v>
      </c>
      <c r="AI23">
        <f>AH23-AE23</f>
        <v>3.8413333333333348</v>
      </c>
      <c r="AJ23">
        <f t="shared" si="1"/>
        <v>6.9765938906968916E-2</v>
      </c>
      <c r="AL23">
        <f t="shared" si="2"/>
        <v>17.000952912175386</v>
      </c>
      <c r="BB23" t="s">
        <v>45</v>
      </c>
      <c r="BC23" t="s">
        <v>34</v>
      </c>
      <c r="BD23">
        <v>17.309999999999999</v>
      </c>
      <c r="BE23">
        <f t="shared" ref="BE23" si="66">AVERAGE(BD21:BD23)</f>
        <v>17.237666666666666</v>
      </c>
      <c r="BF23" t="s">
        <v>45</v>
      </c>
      <c r="BG23" t="s">
        <v>52</v>
      </c>
      <c r="BH23">
        <v>20.423999999999999</v>
      </c>
      <c r="BI23">
        <f>BH23-BE23</f>
        <v>3.1863333333333337</v>
      </c>
      <c r="BJ23">
        <f t="shared" si="3"/>
        <v>0.10985456038859283</v>
      </c>
      <c r="BL23">
        <f t="shared" si="4"/>
        <v>12.688708984772234</v>
      </c>
      <c r="CB23" t="s">
        <v>45</v>
      </c>
      <c r="CC23" t="s">
        <v>34</v>
      </c>
      <c r="CD23">
        <v>16.216999999999999</v>
      </c>
      <c r="CE23">
        <f t="shared" ref="CE23" si="67">AVERAGE(CD21:CD23)</f>
        <v>16.195666666666668</v>
      </c>
      <c r="CF23" t="s">
        <v>45</v>
      </c>
      <c r="CG23" t="s">
        <v>35</v>
      </c>
      <c r="CH23">
        <v>31.321000000000002</v>
      </c>
      <c r="CI23">
        <f t="shared" si="55"/>
        <v>15.125333333333334</v>
      </c>
      <c r="CJ23">
        <f t="shared" si="10"/>
        <v>2.7978277427885029E-5</v>
      </c>
      <c r="CL23">
        <f t="shared" si="11"/>
        <v>4.0538180980048342</v>
      </c>
      <c r="DB23" t="s">
        <v>45</v>
      </c>
      <c r="DC23" t="s">
        <v>34</v>
      </c>
      <c r="DD23">
        <v>16.216999999999999</v>
      </c>
      <c r="DE23">
        <f>AVERAGE(DD21:DD23)</f>
        <v>16.195666666666668</v>
      </c>
      <c r="DF23" t="s">
        <v>45</v>
      </c>
      <c r="DG23" t="s">
        <v>49</v>
      </c>
      <c r="DH23">
        <v>28.206</v>
      </c>
      <c r="DI23">
        <f>DH23-DE23</f>
        <v>12.010333333333332</v>
      </c>
      <c r="DJ23">
        <f t="shared" si="5"/>
        <v>2.4239821016960623E-4</v>
      </c>
      <c r="DL23">
        <f t="shared" si="6"/>
        <v>2.5642505201639505</v>
      </c>
      <c r="EB23" t="s">
        <v>45</v>
      </c>
      <c r="EC23" t="s">
        <v>34</v>
      </c>
      <c r="ED23">
        <v>16.216999999999999</v>
      </c>
      <c r="EE23">
        <f>AVERAGE(ED21:ED23)</f>
        <v>16.195666666666668</v>
      </c>
      <c r="EF23" t="s">
        <v>45</v>
      </c>
      <c r="EG23" t="s">
        <v>52</v>
      </c>
      <c r="EH23">
        <v>20.786000000000001</v>
      </c>
      <c r="EI23">
        <f>EH23-EE23</f>
        <v>4.5903333333333336</v>
      </c>
      <c r="EJ23">
        <f t="shared" si="7"/>
        <v>4.1511839310944106E-2</v>
      </c>
      <c r="EL23">
        <f t="shared" si="8"/>
        <v>11.445389502502826</v>
      </c>
    </row>
    <row r="24" spans="2:142">
      <c r="B24" t="s">
        <v>46</v>
      </c>
      <c r="C24" t="s">
        <v>34</v>
      </c>
      <c r="D24">
        <v>17.619</v>
      </c>
      <c r="F24" t="s">
        <v>46</v>
      </c>
      <c r="G24" t="s">
        <v>35</v>
      </c>
      <c r="H24">
        <v>18.533000000000001</v>
      </c>
      <c r="I24">
        <f>H24-E26</f>
        <v>0.92666666666666586</v>
      </c>
      <c r="J24">
        <f t="shared" si="0"/>
        <v>0.52607242410035848</v>
      </c>
      <c r="L24">
        <f t="shared" si="9"/>
        <v>141.14072396468634</v>
      </c>
      <c r="AB24" t="s">
        <v>46</v>
      </c>
      <c r="AC24" t="s">
        <v>34</v>
      </c>
      <c r="AD24">
        <v>17.619</v>
      </c>
      <c r="AF24" t="s">
        <v>46</v>
      </c>
      <c r="AG24" t="s">
        <v>49</v>
      </c>
      <c r="AH24">
        <v>20.963999999999999</v>
      </c>
      <c r="AI24">
        <f>AH24-AE26</f>
        <v>3.3576666666666632</v>
      </c>
      <c r="AJ24">
        <f t="shared" si="1"/>
        <v>9.7553221998300174E-2</v>
      </c>
      <c r="AL24">
        <f t="shared" si="2"/>
        <v>23.77231295970455</v>
      </c>
      <c r="BB24" t="s">
        <v>46</v>
      </c>
      <c r="BC24" t="s">
        <v>34</v>
      </c>
      <c r="BD24">
        <v>17.619</v>
      </c>
      <c r="BF24" t="s">
        <v>46</v>
      </c>
      <c r="BG24" t="s">
        <v>52</v>
      </c>
      <c r="BH24">
        <v>20.145</v>
      </c>
      <c r="BI24">
        <f>BH24-BE26</f>
        <v>2.5386666666666642</v>
      </c>
      <c r="BJ24">
        <f t="shared" si="3"/>
        <v>0.17210170954372753</v>
      </c>
      <c r="BL24">
        <f t="shared" si="4"/>
        <v>19.878542142060358</v>
      </c>
      <c r="CB24" t="s">
        <v>46</v>
      </c>
      <c r="CC24" t="s">
        <v>34</v>
      </c>
      <c r="CD24">
        <v>17.463000000000001</v>
      </c>
      <c r="CF24" t="s">
        <v>46</v>
      </c>
      <c r="CG24" t="s">
        <v>35</v>
      </c>
      <c r="CH24">
        <v>31.702999999999999</v>
      </c>
      <c r="CI24">
        <f>CH24-CE26</f>
        <v>14.244666666666667</v>
      </c>
      <c r="CJ24">
        <f t="shared" si="10"/>
        <v>5.1514329925623214E-5</v>
      </c>
      <c r="CL24">
        <f t="shared" si="11"/>
        <v>7.4639950046013084</v>
      </c>
      <c r="DB24" t="s">
        <v>46</v>
      </c>
      <c r="DC24" t="s">
        <v>34</v>
      </c>
      <c r="DD24">
        <v>17.463000000000001</v>
      </c>
      <c r="DF24" t="s">
        <v>46</v>
      </c>
      <c r="DG24" t="s">
        <v>49</v>
      </c>
      <c r="DH24">
        <v>28.44</v>
      </c>
      <c r="DI24">
        <f>DH24-DE26</f>
        <v>10.981666666666669</v>
      </c>
      <c r="DJ24">
        <f t="shared" si="5"/>
        <v>4.9452577354303908E-4</v>
      </c>
      <c r="DL24">
        <f t="shared" si="6"/>
        <v>5.2314246510109781</v>
      </c>
      <c r="EB24" t="s">
        <v>46</v>
      </c>
      <c r="EC24" t="s">
        <v>34</v>
      </c>
      <c r="ED24">
        <v>17.463000000000001</v>
      </c>
      <c r="EF24" t="s">
        <v>46</v>
      </c>
      <c r="EG24" t="s">
        <v>52</v>
      </c>
      <c r="EH24">
        <v>20.167000000000002</v>
      </c>
      <c r="EI24">
        <f>EH24-EE26</f>
        <v>2.7086666666666694</v>
      </c>
      <c r="EJ24">
        <f t="shared" si="7"/>
        <v>0.15297134494419651</v>
      </c>
      <c r="EL24">
        <f t="shared" si="8"/>
        <v>42.176320169616368</v>
      </c>
    </row>
    <row r="25" spans="2:142">
      <c r="B25" t="s">
        <v>46</v>
      </c>
      <c r="C25" t="s">
        <v>34</v>
      </c>
      <c r="D25">
        <v>17.693000000000001</v>
      </c>
      <c r="F25" t="s">
        <v>46</v>
      </c>
      <c r="G25" t="s">
        <v>35</v>
      </c>
      <c r="H25">
        <v>18.606999999999999</v>
      </c>
      <c r="I25">
        <f>H25-E26</f>
        <v>1.0006666666666639</v>
      </c>
      <c r="J25">
        <f t="shared" si="0"/>
        <v>0.49976900431526061</v>
      </c>
      <c r="L25">
        <f t="shared" si="9"/>
        <v>134.08374180569081</v>
      </c>
      <c r="AB25" t="s">
        <v>46</v>
      </c>
      <c r="AC25" t="s">
        <v>34</v>
      </c>
      <c r="AD25">
        <v>17.693000000000001</v>
      </c>
      <c r="AF25" t="s">
        <v>46</v>
      </c>
      <c r="AG25" t="s">
        <v>49</v>
      </c>
      <c r="AH25">
        <v>21.026</v>
      </c>
      <c r="AI25">
        <f>AH25-AE26</f>
        <v>3.4196666666666644</v>
      </c>
      <c r="AJ25">
        <f t="shared" si="1"/>
        <v>9.3449667003268747E-2</v>
      </c>
      <c r="AL25">
        <f t="shared" si="2"/>
        <v>22.772335802712796</v>
      </c>
      <c r="BB25" t="s">
        <v>46</v>
      </c>
      <c r="BC25" t="s">
        <v>34</v>
      </c>
      <c r="BD25">
        <v>17.693000000000001</v>
      </c>
      <c r="BF25" t="s">
        <v>46</v>
      </c>
      <c r="BG25" t="s">
        <v>52</v>
      </c>
      <c r="BH25">
        <v>20.2</v>
      </c>
      <c r="BI25">
        <f>BH25-BE26</f>
        <v>2.5936666666666639</v>
      </c>
      <c r="BJ25">
        <f t="shared" si="3"/>
        <v>0.16566414925510381</v>
      </c>
      <c r="BL25">
        <f t="shared" si="4"/>
        <v>19.134974202911291</v>
      </c>
      <c r="CB25" t="s">
        <v>46</v>
      </c>
      <c r="CC25" t="s">
        <v>34</v>
      </c>
      <c r="CD25">
        <v>17.396000000000001</v>
      </c>
      <c r="CF25" t="s">
        <v>46</v>
      </c>
      <c r="CG25" t="s">
        <v>35</v>
      </c>
      <c r="CH25">
        <v>31.998999999999999</v>
      </c>
      <c r="CI25">
        <f>CH25-CE26</f>
        <v>14.540666666666667</v>
      </c>
      <c r="CJ25">
        <f t="shared" si="10"/>
        <v>4.1958811330914446E-5</v>
      </c>
      <c r="CL25">
        <f t="shared" si="11"/>
        <v>6.0794803819660741</v>
      </c>
      <c r="DB25" t="s">
        <v>46</v>
      </c>
      <c r="DC25" t="s">
        <v>34</v>
      </c>
      <c r="DD25">
        <v>17.396000000000001</v>
      </c>
      <c r="DF25" t="s">
        <v>46</v>
      </c>
      <c r="DG25" t="s">
        <v>49</v>
      </c>
      <c r="DH25">
        <v>28.265000000000001</v>
      </c>
      <c r="DI25">
        <f>DH25-DE26</f>
        <v>10.806666666666668</v>
      </c>
      <c r="DJ25">
        <f t="shared" si="5"/>
        <v>5.5830199558930911E-4</v>
      </c>
      <c r="DL25">
        <f t="shared" si="6"/>
        <v>5.9060922174167354</v>
      </c>
      <c r="EB25" t="s">
        <v>46</v>
      </c>
      <c r="EC25" t="s">
        <v>34</v>
      </c>
      <c r="ED25">
        <v>17.396000000000001</v>
      </c>
      <c r="EF25" t="s">
        <v>46</v>
      </c>
      <c r="EG25" t="s">
        <v>52</v>
      </c>
      <c r="EH25">
        <v>20.149999999999999</v>
      </c>
      <c r="EI25">
        <f>EH25-EE26</f>
        <v>2.6916666666666664</v>
      </c>
      <c r="EJ25">
        <f t="shared" si="7"/>
        <v>0.15478454504718006</v>
      </c>
      <c r="EL25">
        <f t="shared" si="8"/>
        <v>42.676244571163032</v>
      </c>
    </row>
    <row r="26" spans="2:142">
      <c r="B26" t="s">
        <v>46</v>
      </c>
      <c r="C26" t="s">
        <v>34</v>
      </c>
      <c r="D26">
        <v>17.507000000000001</v>
      </c>
      <c r="E26">
        <f t="shared" ref="E26" si="68">AVERAGE(D24:D26)</f>
        <v>17.606333333333335</v>
      </c>
      <c r="F26" t="s">
        <v>46</v>
      </c>
      <c r="G26" t="s">
        <v>35</v>
      </c>
      <c r="H26">
        <v>18.488</v>
      </c>
      <c r="I26">
        <f>H26-E26</f>
        <v>0.88166666666666416</v>
      </c>
      <c r="J26">
        <f t="shared" si="0"/>
        <v>0.54274007103863131</v>
      </c>
      <c r="L26">
        <f t="shared" si="9"/>
        <v>145.61251082878329</v>
      </c>
      <c r="AB26" t="s">
        <v>46</v>
      </c>
      <c r="AC26" t="s">
        <v>34</v>
      </c>
      <c r="AD26">
        <v>17.507000000000001</v>
      </c>
      <c r="AE26">
        <f>AVERAGE(AD24:AD26)</f>
        <v>17.606333333333335</v>
      </c>
      <c r="AF26" t="s">
        <v>46</v>
      </c>
      <c r="AG26" t="s">
        <v>49</v>
      </c>
      <c r="AH26">
        <v>21.018000000000001</v>
      </c>
      <c r="AI26">
        <f>AH26-AE26</f>
        <v>3.4116666666666653</v>
      </c>
      <c r="AJ26">
        <f t="shared" si="1"/>
        <v>9.3969301389850435E-2</v>
      </c>
      <c r="AL26">
        <f t="shared" si="2"/>
        <v>22.898963206804677</v>
      </c>
      <c r="BB26" t="s">
        <v>46</v>
      </c>
      <c r="BC26" t="s">
        <v>34</v>
      </c>
      <c r="BD26">
        <v>17.507000000000001</v>
      </c>
      <c r="BE26">
        <f t="shared" ref="BE26" si="69">AVERAGE(BD24:BD26)</f>
        <v>17.606333333333335</v>
      </c>
      <c r="BF26" t="s">
        <v>46</v>
      </c>
      <c r="BG26" t="s">
        <v>52</v>
      </c>
      <c r="BH26">
        <v>20.201000000000001</v>
      </c>
      <c r="BI26">
        <f>BH26-BE26</f>
        <v>2.5946666666666651</v>
      </c>
      <c r="BJ26">
        <f t="shared" si="3"/>
        <v>0.16554935940485407</v>
      </c>
      <c r="BL26">
        <f t="shared" si="4"/>
        <v>19.121715445158564</v>
      </c>
      <c r="CB26" t="s">
        <v>46</v>
      </c>
      <c r="CC26" t="s">
        <v>34</v>
      </c>
      <c r="CD26">
        <v>17.515999999999998</v>
      </c>
      <c r="CE26">
        <f t="shared" ref="CE26" si="70">AVERAGE(CD24:CD26)</f>
        <v>17.458333333333332</v>
      </c>
      <c r="CF26" t="s">
        <v>46</v>
      </c>
      <c r="CG26" t="s">
        <v>35</v>
      </c>
      <c r="CH26">
        <v>31.765999999999998</v>
      </c>
      <c r="CI26">
        <f t="shared" si="55"/>
        <v>14.307666666666666</v>
      </c>
      <c r="CJ26">
        <f t="shared" si="10"/>
        <v>4.9313197725855004E-5</v>
      </c>
      <c r="CL26">
        <f t="shared" si="11"/>
        <v>7.1450693820171134</v>
      </c>
      <c r="DB26" t="s">
        <v>46</v>
      </c>
      <c r="DC26" t="s">
        <v>34</v>
      </c>
      <c r="DD26">
        <v>17.515999999999998</v>
      </c>
      <c r="DE26">
        <f>AVERAGE(DD24:DD26)</f>
        <v>17.458333333333332</v>
      </c>
      <c r="DF26" t="s">
        <v>46</v>
      </c>
      <c r="DG26" t="s">
        <v>49</v>
      </c>
      <c r="DH26">
        <v>28.658000000000001</v>
      </c>
      <c r="DI26">
        <f>DH26-DE26</f>
        <v>11.199666666666669</v>
      </c>
      <c r="DJ26">
        <f t="shared" si="5"/>
        <v>4.2517174141796799E-4</v>
      </c>
      <c r="DL26">
        <f t="shared" si="6"/>
        <v>4.4977512759982448</v>
      </c>
      <c r="EB26" t="s">
        <v>46</v>
      </c>
      <c r="EC26" t="s">
        <v>34</v>
      </c>
      <c r="ED26">
        <v>17.515999999999998</v>
      </c>
      <c r="EE26">
        <f>AVERAGE(ED24:ED26)</f>
        <v>17.458333333333332</v>
      </c>
      <c r="EF26" t="s">
        <v>46</v>
      </c>
      <c r="EG26" t="s">
        <v>52</v>
      </c>
      <c r="EH26">
        <v>20.245000000000001</v>
      </c>
      <c r="EI26">
        <f>EH26-EE26</f>
        <v>2.7866666666666688</v>
      </c>
      <c r="EJ26">
        <f t="shared" si="7"/>
        <v>0.14492047385944845</v>
      </c>
      <c r="EL26">
        <f t="shared" si="8"/>
        <v>39.956583416706799</v>
      </c>
    </row>
    <row r="27" spans="2:142">
      <c r="B27" t="s">
        <v>47</v>
      </c>
      <c r="C27" t="s">
        <v>34</v>
      </c>
      <c r="D27">
        <v>17.561</v>
      </c>
      <c r="F27" t="s">
        <v>47</v>
      </c>
      <c r="G27" t="s">
        <v>35</v>
      </c>
      <c r="H27">
        <v>19.175000000000001</v>
      </c>
      <c r="I27">
        <f>H27-E29</f>
        <v>1.6183333333333358</v>
      </c>
      <c r="J27">
        <f t="shared" si="0"/>
        <v>0.32571152330496383</v>
      </c>
      <c r="L27">
        <f t="shared" si="9"/>
        <v>87.3856109860142</v>
      </c>
      <c r="AB27" t="s">
        <v>47</v>
      </c>
      <c r="AC27" t="s">
        <v>34</v>
      </c>
      <c r="AD27">
        <v>17.561</v>
      </c>
      <c r="AF27" t="s">
        <v>47</v>
      </c>
      <c r="AG27" t="s">
        <v>49</v>
      </c>
      <c r="AH27">
        <v>21.576000000000001</v>
      </c>
      <c r="AI27">
        <f>AH27-AE29</f>
        <v>4.0193333333333356</v>
      </c>
      <c r="AJ27">
        <f t="shared" si="1"/>
        <v>6.1668034130375915E-2</v>
      </c>
      <c r="AL27">
        <f t="shared" si="2"/>
        <v>15.027610333388909</v>
      </c>
      <c r="BB27" t="s">
        <v>47</v>
      </c>
      <c r="BC27" t="s">
        <v>34</v>
      </c>
      <c r="BD27">
        <v>17.561</v>
      </c>
      <c r="BF27" t="s">
        <v>47</v>
      </c>
      <c r="BG27" t="s">
        <v>52</v>
      </c>
      <c r="BH27">
        <v>20.728999999999999</v>
      </c>
      <c r="BI27">
        <f>BH27-BE29</f>
        <v>3.1723333333333343</v>
      </c>
      <c r="BJ27">
        <f t="shared" si="3"/>
        <v>0.110925784899295</v>
      </c>
      <c r="BL27">
        <f t="shared" si="4"/>
        <v>12.81244036220048</v>
      </c>
      <c r="CB27" t="s">
        <v>47</v>
      </c>
      <c r="CC27" t="s">
        <v>34</v>
      </c>
      <c r="CD27">
        <v>16.675999999999998</v>
      </c>
      <c r="CF27" t="s">
        <v>47</v>
      </c>
      <c r="CG27" t="s">
        <v>35</v>
      </c>
      <c r="CH27">
        <v>30.581</v>
      </c>
      <c r="CI27">
        <f>CH27-CE29</f>
        <v>13.991333333333333</v>
      </c>
      <c r="CJ27">
        <f t="shared" si="10"/>
        <v>6.140291476014138E-5</v>
      </c>
      <c r="CL27">
        <f t="shared" si="11"/>
        <v>8.8967681361548951</v>
      </c>
      <c r="DB27" t="s">
        <v>47</v>
      </c>
      <c r="DC27" t="s">
        <v>34</v>
      </c>
      <c r="DD27">
        <v>16.675999999999998</v>
      </c>
      <c r="DF27" t="s">
        <v>47</v>
      </c>
      <c r="DG27" t="s">
        <v>49</v>
      </c>
      <c r="DH27">
        <v>28.478999999999999</v>
      </c>
      <c r="DI27">
        <f>DH27-DE29</f>
        <v>11.889333333333333</v>
      </c>
      <c r="DJ27">
        <f t="shared" si="5"/>
        <v>2.6360523952344853E-4</v>
      </c>
      <c r="DL27">
        <f t="shared" si="6"/>
        <v>2.7885926719218883</v>
      </c>
      <c r="EB27" t="s">
        <v>47</v>
      </c>
      <c r="EC27" t="s">
        <v>34</v>
      </c>
      <c r="ED27">
        <v>16.675999999999998</v>
      </c>
      <c r="EF27" t="s">
        <v>47</v>
      </c>
      <c r="EG27" t="s">
        <v>52</v>
      </c>
      <c r="EH27">
        <v>20.712</v>
      </c>
      <c r="EI27">
        <f>EH27-EE29</f>
        <v>4.1223333333333336</v>
      </c>
      <c r="EJ27">
        <f t="shared" si="7"/>
        <v>5.7418787127906878E-2</v>
      </c>
      <c r="EL27">
        <f t="shared" si="8"/>
        <v>15.831155505242378</v>
      </c>
    </row>
    <row r="28" spans="2:142">
      <c r="B28" t="s">
        <v>47</v>
      </c>
      <c r="C28" t="s">
        <v>34</v>
      </c>
      <c r="D28">
        <v>17.550999999999998</v>
      </c>
      <c r="F28" t="s">
        <v>47</v>
      </c>
      <c r="G28" t="s">
        <v>35</v>
      </c>
      <c r="H28">
        <v>19.091000000000001</v>
      </c>
      <c r="I28">
        <f>H28-E29</f>
        <v>1.5343333333333362</v>
      </c>
      <c r="J28">
        <f t="shared" si="0"/>
        <v>0.34523883571166497</v>
      </c>
      <c r="L28">
        <f t="shared" si="9"/>
        <v>92.624621593497821</v>
      </c>
      <c r="AB28" t="s">
        <v>47</v>
      </c>
      <c r="AC28" t="s">
        <v>34</v>
      </c>
      <c r="AD28">
        <v>17.550999999999998</v>
      </c>
      <c r="AF28" t="s">
        <v>47</v>
      </c>
      <c r="AG28" t="s">
        <v>49</v>
      </c>
      <c r="AH28">
        <v>21.620999999999999</v>
      </c>
      <c r="AI28">
        <f>AH28-AE29</f>
        <v>4.0643333333333338</v>
      </c>
      <c r="AJ28">
        <f t="shared" si="1"/>
        <v>5.9774197512977488E-2</v>
      </c>
      <c r="AL28">
        <f t="shared" si="2"/>
        <v>14.566109669022046</v>
      </c>
      <c r="BB28" t="s">
        <v>47</v>
      </c>
      <c r="BC28" t="s">
        <v>34</v>
      </c>
      <c r="BD28">
        <v>17.550999999999998</v>
      </c>
      <c r="BF28" t="s">
        <v>47</v>
      </c>
      <c r="BG28" t="s">
        <v>52</v>
      </c>
      <c r="BH28">
        <v>20.686</v>
      </c>
      <c r="BI28">
        <f>BH28-BE29</f>
        <v>3.1293333333333351</v>
      </c>
      <c r="BJ28">
        <f t="shared" si="3"/>
        <v>0.1142817284509086</v>
      </c>
      <c r="BL28">
        <f t="shared" si="4"/>
        <v>13.20006733867846</v>
      </c>
      <c r="CB28" t="s">
        <v>47</v>
      </c>
      <c r="CC28" t="s">
        <v>34</v>
      </c>
      <c r="CD28">
        <v>16.614000000000001</v>
      </c>
      <c r="CF28" t="s">
        <v>47</v>
      </c>
      <c r="CG28" t="s">
        <v>35</v>
      </c>
      <c r="CH28">
        <v>31.532</v>
      </c>
      <c r="CI28">
        <f>CH28-CE29</f>
        <v>14.942333333333334</v>
      </c>
      <c r="CJ28">
        <f t="shared" si="10"/>
        <v>3.1762118481657968E-5</v>
      </c>
      <c r="CL28">
        <f t="shared" si="11"/>
        <v>4.6020649792967658</v>
      </c>
      <c r="DB28" t="s">
        <v>47</v>
      </c>
      <c r="DC28" t="s">
        <v>34</v>
      </c>
      <c r="DD28">
        <v>16.614000000000001</v>
      </c>
      <c r="DF28" t="s">
        <v>47</v>
      </c>
      <c r="DG28" t="s">
        <v>49</v>
      </c>
      <c r="DH28">
        <v>28.611000000000001</v>
      </c>
      <c r="DI28">
        <f>DH28-DE29</f>
        <v>12.021333333333335</v>
      </c>
      <c r="DJ28">
        <f t="shared" si="5"/>
        <v>2.405570441883291E-4</v>
      </c>
      <c r="DL28">
        <f t="shared" si="6"/>
        <v>2.5447734340010841</v>
      </c>
      <c r="EB28" t="s">
        <v>47</v>
      </c>
      <c r="EC28" t="s">
        <v>34</v>
      </c>
      <c r="ED28">
        <v>16.614000000000001</v>
      </c>
      <c r="EF28" t="s">
        <v>47</v>
      </c>
      <c r="EG28" t="s">
        <v>52</v>
      </c>
      <c r="EH28">
        <v>20.734999999999999</v>
      </c>
      <c r="EI28">
        <f>EH28-EE29</f>
        <v>4.1453333333333333</v>
      </c>
      <c r="EJ28">
        <f t="shared" si="7"/>
        <v>5.6510652855845972E-2</v>
      </c>
      <c r="EL28">
        <f t="shared" si="8"/>
        <v>15.580770298591979</v>
      </c>
    </row>
    <row r="29" spans="2:142">
      <c r="B29" t="s">
        <v>47</v>
      </c>
      <c r="C29" t="s">
        <v>34</v>
      </c>
      <c r="D29">
        <v>17.558</v>
      </c>
      <c r="E29">
        <f t="shared" ref="E29" si="71">AVERAGE(D27:D29)</f>
        <v>17.556666666666665</v>
      </c>
      <c r="F29" t="s">
        <v>47</v>
      </c>
      <c r="G29" t="s">
        <v>35</v>
      </c>
      <c r="H29">
        <v>19.141999999999999</v>
      </c>
      <c r="I29">
        <f>H29-E29</f>
        <v>1.5853333333333346</v>
      </c>
      <c r="J29">
        <f t="shared" si="0"/>
        <v>0.33324766381758847</v>
      </c>
      <c r="L29">
        <f t="shared" si="9"/>
        <v>89.407492915428023</v>
      </c>
      <c r="AB29" t="s">
        <v>47</v>
      </c>
      <c r="AC29" t="s">
        <v>34</v>
      </c>
      <c r="AD29">
        <v>17.558</v>
      </c>
      <c r="AE29">
        <f>AVERAGE(AD27:AD29)</f>
        <v>17.556666666666665</v>
      </c>
      <c r="AF29" t="s">
        <v>47</v>
      </c>
      <c r="AG29" t="s">
        <v>49</v>
      </c>
      <c r="AH29">
        <v>21.606000000000002</v>
      </c>
      <c r="AI29">
        <f>AH29-AE29</f>
        <v>4.0493333333333368</v>
      </c>
      <c r="AJ29">
        <f t="shared" si="1"/>
        <v>6.0398924339573515E-2</v>
      </c>
      <c r="AL29">
        <f t="shared" si="2"/>
        <v>14.718346584748137</v>
      </c>
      <c r="BB29" t="s">
        <v>47</v>
      </c>
      <c r="BC29" t="s">
        <v>34</v>
      </c>
      <c r="BD29">
        <v>17.558</v>
      </c>
      <c r="BE29">
        <f t="shared" ref="BE29" si="72">AVERAGE(BD27:BD29)</f>
        <v>17.556666666666665</v>
      </c>
      <c r="BF29" t="s">
        <v>47</v>
      </c>
      <c r="BG29" t="s">
        <v>52</v>
      </c>
      <c r="BH29">
        <v>20.786999999999999</v>
      </c>
      <c r="BI29">
        <f>BH29-BE29</f>
        <v>3.2303333333333342</v>
      </c>
      <c r="BJ29">
        <f t="shared" si="3"/>
        <v>0.10655473925427092</v>
      </c>
      <c r="BL29">
        <f t="shared" si="4"/>
        <v>12.307564406640005</v>
      </c>
      <c r="CB29" t="s">
        <v>47</v>
      </c>
      <c r="CC29" t="s">
        <v>34</v>
      </c>
      <c r="CD29">
        <v>16.478999999999999</v>
      </c>
      <c r="CE29">
        <f t="shared" ref="CE29" si="73">AVERAGE(CD27:CD29)</f>
        <v>16.589666666666666</v>
      </c>
      <c r="CF29" t="s">
        <v>47</v>
      </c>
      <c r="CG29" t="s">
        <v>35</v>
      </c>
      <c r="CH29">
        <v>30.335000000000001</v>
      </c>
      <c r="CI29">
        <f t="shared" si="55"/>
        <v>13.745333333333335</v>
      </c>
      <c r="CJ29">
        <f t="shared" si="10"/>
        <v>7.2818606920146118E-5</v>
      </c>
      <c r="CL29">
        <f t="shared" si="11"/>
        <v>10.550806330563397</v>
      </c>
      <c r="DB29" t="s">
        <v>47</v>
      </c>
      <c r="DC29" t="s">
        <v>34</v>
      </c>
      <c r="DD29">
        <v>16.478999999999999</v>
      </c>
      <c r="DE29">
        <f>AVERAGE(DD27:DD29)</f>
        <v>16.589666666666666</v>
      </c>
      <c r="DF29" t="s">
        <v>47</v>
      </c>
      <c r="DG29" t="s">
        <v>49</v>
      </c>
      <c r="DH29">
        <v>28.526</v>
      </c>
      <c r="DI29">
        <f>DH29-DE29</f>
        <v>11.936333333333334</v>
      </c>
      <c r="DJ29">
        <f t="shared" si="5"/>
        <v>2.551559078703334E-4</v>
      </c>
      <c r="DL29">
        <f t="shared" si="6"/>
        <v>2.6992099860044538</v>
      </c>
      <c r="EB29" t="s">
        <v>47</v>
      </c>
      <c r="EC29" t="s">
        <v>34</v>
      </c>
      <c r="ED29">
        <v>16.478999999999999</v>
      </c>
      <c r="EE29">
        <f>AVERAGE(ED27:ED29)</f>
        <v>16.589666666666666</v>
      </c>
      <c r="EF29" t="s">
        <v>47</v>
      </c>
      <c r="EG29" t="s">
        <v>52</v>
      </c>
      <c r="EH29">
        <v>20.745999999999999</v>
      </c>
      <c r="EI29">
        <f>EH29-EE29</f>
        <v>4.1563333333333325</v>
      </c>
      <c r="EJ29">
        <f t="shared" si="7"/>
        <v>5.6081419110493233E-2</v>
      </c>
      <c r="EL29">
        <f t="shared" si="8"/>
        <v>15.46242460529756</v>
      </c>
    </row>
    <row r="30" spans="2:142">
      <c r="B30" t="s">
        <v>48</v>
      </c>
      <c r="C30" t="s">
        <v>34</v>
      </c>
      <c r="D30">
        <v>17.917999999999999</v>
      </c>
      <c r="F30" t="s">
        <v>48</v>
      </c>
      <c r="G30" t="s">
        <v>35</v>
      </c>
      <c r="H30">
        <v>19.026</v>
      </c>
      <c r="I30">
        <f>H30-E32</f>
        <v>1.1030000000000015</v>
      </c>
      <c r="J30">
        <f t="shared" si="0"/>
        <v>0.46554740991511395</v>
      </c>
      <c r="L30">
        <f t="shared" si="9"/>
        <v>124.90238124089312</v>
      </c>
      <c r="AB30" t="s">
        <v>48</v>
      </c>
      <c r="AC30" t="s">
        <v>34</v>
      </c>
      <c r="AD30">
        <v>17.917999999999999</v>
      </c>
      <c r="AF30" t="s">
        <v>48</v>
      </c>
      <c r="AG30" t="s">
        <v>49</v>
      </c>
      <c r="AH30">
        <v>21.263000000000002</v>
      </c>
      <c r="AI30">
        <f>AH30-AE32</f>
        <v>3.3400000000000034</v>
      </c>
      <c r="AJ30">
        <f t="shared" si="1"/>
        <v>9.8755163982921917E-2</v>
      </c>
      <c r="AL30">
        <f t="shared" si="2"/>
        <v>24.065208882899526</v>
      </c>
      <c r="BB30" t="s">
        <v>48</v>
      </c>
      <c r="BC30" t="s">
        <v>34</v>
      </c>
      <c r="BD30">
        <v>17.917999999999999</v>
      </c>
      <c r="BF30" t="s">
        <v>48</v>
      </c>
      <c r="BG30" t="s">
        <v>52</v>
      </c>
      <c r="BH30">
        <v>20.347000000000001</v>
      </c>
      <c r="BI30">
        <f>BH30-BE32</f>
        <v>2.424000000000003</v>
      </c>
      <c r="BJ30">
        <f t="shared" si="3"/>
        <v>0.18633879834986466</v>
      </c>
      <c r="BL30">
        <f t="shared" si="4"/>
        <v>21.522991639763603</v>
      </c>
      <c r="CB30" t="s">
        <v>48</v>
      </c>
      <c r="CC30" t="s">
        <v>34</v>
      </c>
      <c r="CD30">
        <v>17.024000000000001</v>
      </c>
      <c r="CF30" t="s">
        <v>48</v>
      </c>
      <c r="CG30" t="s">
        <v>35</v>
      </c>
      <c r="CH30">
        <v>30.640999999999998</v>
      </c>
      <c r="CI30">
        <f>CH30-CE32</f>
        <v>13.590999999999998</v>
      </c>
      <c r="CJ30">
        <f t="shared" si="10"/>
        <v>8.1040353905178272E-5</v>
      </c>
      <c r="CL30">
        <f t="shared" si="11"/>
        <v>11.742068616493897</v>
      </c>
      <c r="DB30" t="s">
        <v>48</v>
      </c>
      <c r="DC30" t="s">
        <v>34</v>
      </c>
      <c r="DD30">
        <v>17.024000000000001</v>
      </c>
      <c r="DF30" t="s">
        <v>48</v>
      </c>
      <c r="DG30" t="s">
        <v>49</v>
      </c>
      <c r="DH30">
        <v>28.518000000000001</v>
      </c>
      <c r="DI30">
        <f>DH30-DE32</f>
        <v>11.468</v>
      </c>
      <c r="DJ30">
        <f t="shared" si="5"/>
        <v>3.5301081409808296E-4</v>
      </c>
      <c r="DL30">
        <f t="shared" si="6"/>
        <v>3.7343846847760718</v>
      </c>
      <c r="EB30" t="s">
        <v>48</v>
      </c>
      <c r="EC30" t="s">
        <v>34</v>
      </c>
      <c r="ED30">
        <v>17.024000000000001</v>
      </c>
      <c r="EF30" t="s">
        <v>48</v>
      </c>
      <c r="EG30" t="s">
        <v>52</v>
      </c>
      <c r="EH30">
        <v>19.959</v>
      </c>
      <c r="EI30">
        <f>EH30-EE32</f>
        <v>2.9089999999999989</v>
      </c>
      <c r="EJ30">
        <f t="shared" si="7"/>
        <v>0.13313852542417731</v>
      </c>
      <c r="EL30">
        <f t="shared" si="8"/>
        <v>36.708136920997546</v>
      </c>
    </row>
    <row r="31" spans="2:142">
      <c r="B31" t="s">
        <v>48</v>
      </c>
      <c r="C31" t="s">
        <v>34</v>
      </c>
      <c r="D31">
        <v>17.896999999999998</v>
      </c>
      <c r="F31" t="s">
        <v>48</v>
      </c>
      <c r="G31" t="s">
        <v>35</v>
      </c>
      <c r="H31">
        <v>19.044</v>
      </c>
      <c r="I31">
        <f>H31-E32</f>
        <v>1.1210000000000022</v>
      </c>
      <c r="J31">
        <f t="shared" si="0"/>
        <v>0.4597750230758284</v>
      </c>
      <c r="L31">
        <f t="shared" si="9"/>
        <v>123.35369931008435</v>
      </c>
      <c r="AB31" t="s">
        <v>48</v>
      </c>
      <c r="AC31" t="s">
        <v>34</v>
      </c>
      <c r="AD31">
        <v>17.896999999999998</v>
      </c>
      <c r="AF31" t="s">
        <v>48</v>
      </c>
      <c r="AG31" t="s">
        <v>49</v>
      </c>
      <c r="AH31">
        <v>21.033000000000001</v>
      </c>
      <c r="AI31">
        <f>AH31-AE32</f>
        <v>3.110000000000003</v>
      </c>
      <c r="AJ31">
        <f t="shared" si="1"/>
        <v>0.11582350773629614</v>
      </c>
      <c r="AL31">
        <f t="shared" si="2"/>
        <v>28.224518038430038</v>
      </c>
      <c r="BB31" t="s">
        <v>48</v>
      </c>
      <c r="BC31" t="s">
        <v>34</v>
      </c>
      <c r="BD31">
        <v>17.896999999999998</v>
      </c>
      <c r="BF31" t="s">
        <v>48</v>
      </c>
      <c r="BG31" t="s">
        <v>52</v>
      </c>
      <c r="BH31">
        <v>20.431000000000001</v>
      </c>
      <c r="BI31">
        <f>BH31-BE32</f>
        <v>2.5080000000000027</v>
      </c>
      <c r="BJ31">
        <f t="shared" si="3"/>
        <v>0.17579914998913959</v>
      </c>
      <c r="BL31">
        <f t="shared" si="4"/>
        <v>20.30561358665404</v>
      </c>
      <c r="CB31" t="s">
        <v>48</v>
      </c>
      <c r="CC31" t="s">
        <v>34</v>
      </c>
      <c r="CD31">
        <v>17.048999999999999</v>
      </c>
      <c r="CF31" t="s">
        <v>48</v>
      </c>
      <c r="CG31" t="s">
        <v>35</v>
      </c>
      <c r="CH31">
        <v>30.359000000000002</v>
      </c>
      <c r="CI31">
        <f>CH31-CE32</f>
        <v>13.309000000000001</v>
      </c>
      <c r="CJ31">
        <f t="shared" si="10"/>
        <v>9.8535287415132402E-5</v>
      </c>
      <c r="CL31">
        <f t="shared" si="11"/>
        <v>14.276937972509302</v>
      </c>
      <c r="DB31" t="s">
        <v>48</v>
      </c>
      <c r="DC31" t="s">
        <v>34</v>
      </c>
      <c r="DD31">
        <v>17.048999999999999</v>
      </c>
      <c r="DF31" t="s">
        <v>48</v>
      </c>
      <c r="DG31" t="s">
        <v>49</v>
      </c>
      <c r="DH31">
        <v>28.526</v>
      </c>
      <c r="DI31">
        <f>DH31-DE32</f>
        <v>11.475999999999999</v>
      </c>
      <c r="DJ31">
        <f t="shared" si="5"/>
        <v>3.5105872383958941E-4</v>
      </c>
      <c r="DL31">
        <f t="shared" si="6"/>
        <v>3.71373416735993</v>
      </c>
      <c r="EB31" t="s">
        <v>48</v>
      </c>
      <c r="EC31" t="s">
        <v>34</v>
      </c>
      <c r="ED31">
        <v>17.048999999999999</v>
      </c>
      <c r="EF31" t="s">
        <v>48</v>
      </c>
      <c r="EG31" t="s">
        <v>52</v>
      </c>
      <c r="EH31">
        <v>20.109000000000002</v>
      </c>
      <c r="EI31">
        <f>EH31-EE32</f>
        <v>3.0590000000000011</v>
      </c>
      <c r="EJ31">
        <f t="shared" si="7"/>
        <v>0.1199911576298634</v>
      </c>
      <c r="EL31">
        <f t="shared" si="8"/>
        <v>33.083225381630683</v>
      </c>
    </row>
    <row r="32" spans="2:142">
      <c r="B32" t="s">
        <v>48</v>
      </c>
      <c r="C32" t="s">
        <v>34</v>
      </c>
      <c r="D32">
        <v>17.954000000000001</v>
      </c>
      <c r="E32">
        <f t="shared" ref="E32" si="74">AVERAGE(D30:D32)</f>
        <v>17.922999999999998</v>
      </c>
      <c r="F32" t="s">
        <v>48</v>
      </c>
      <c r="G32" t="s">
        <v>35</v>
      </c>
      <c r="H32">
        <v>19.084</v>
      </c>
      <c r="I32">
        <f>H32-E32</f>
        <v>1.1610000000000014</v>
      </c>
      <c r="J32">
        <f t="shared" si="0"/>
        <v>0.44720245089130245</v>
      </c>
      <c r="L32">
        <f>J32/0.00372729010680137</f>
        <v>119.98058591556104</v>
      </c>
      <c r="AB32" t="s">
        <v>48</v>
      </c>
      <c r="AC32" t="s">
        <v>34</v>
      </c>
      <c r="AD32">
        <v>17.954000000000001</v>
      </c>
      <c r="AE32">
        <f>AVERAGE(AD30:AD32)</f>
        <v>17.922999999999998</v>
      </c>
      <c r="AF32" t="s">
        <v>48</v>
      </c>
      <c r="AG32" t="s">
        <v>49</v>
      </c>
      <c r="AH32">
        <v>20.834</v>
      </c>
      <c r="AI32">
        <f>AH32-AE32</f>
        <v>2.9110000000000014</v>
      </c>
      <c r="AJ32">
        <f t="shared" si="1"/>
        <v>0.13295408411164797</v>
      </c>
      <c r="AL32">
        <f t="shared" si="2"/>
        <v>32.398992386207915</v>
      </c>
      <c r="BB32" t="s">
        <v>48</v>
      </c>
      <c r="BC32" t="s">
        <v>34</v>
      </c>
      <c r="BD32">
        <v>17.954000000000001</v>
      </c>
      <c r="BE32">
        <f t="shared" ref="BE32" si="75">AVERAGE(BD30:BD32)</f>
        <v>17.922999999999998</v>
      </c>
      <c r="BF32" t="s">
        <v>48</v>
      </c>
      <c r="BG32" t="s">
        <v>52</v>
      </c>
      <c r="BH32">
        <v>20.22</v>
      </c>
      <c r="BI32">
        <f>BH32-BE32</f>
        <v>2.2970000000000006</v>
      </c>
      <c r="BJ32">
        <f t="shared" si="3"/>
        <v>0.20348579626760857</v>
      </c>
      <c r="BL32">
        <f t="shared" si="4"/>
        <v>23.503549076533798</v>
      </c>
      <c r="CB32" t="s">
        <v>48</v>
      </c>
      <c r="CC32" t="s">
        <v>34</v>
      </c>
      <c r="CD32">
        <v>17.077000000000002</v>
      </c>
      <c r="CE32">
        <f t="shared" ref="CE32" si="76">AVERAGE(CD30:CD32)</f>
        <v>17.05</v>
      </c>
      <c r="CF32" t="s">
        <v>48</v>
      </c>
      <c r="CG32" t="s">
        <v>35</v>
      </c>
      <c r="CH32">
        <v>30.838000000000001</v>
      </c>
      <c r="CI32">
        <f t="shared" si="55"/>
        <v>13.788</v>
      </c>
      <c r="CJ32">
        <f t="shared" si="10"/>
        <v>7.0696582409341053E-5</v>
      </c>
      <c r="CL32">
        <f t="shared" si="11"/>
        <v>10.243342749630505</v>
      </c>
      <c r="DB32" t="s">
        <v>48</v>
      </c>
      <c r="DC32" t="s">
        <v>34</v>
      </c>
      <c r="DD32">
        <v>17.077000000000002</v>
      </c>
      <c r="DE32">
        <f>AVERAGE(DD30:DD32)</f>
        <v>17.05</v>
      </c>
      <c r="DF32" t="s">
        <v>48</v>
      </c>
      <c r="DG32" t="s">
        <v>49</v>
      </c>
      <c r="DH32">
        <v>28.225999999999999</v>
      </c>
      <c r="DI32">
        <f>DH32-DE32</f>
        <v>11.175999999999998</v>
      </c>
      <c r="DJ32">
        <f t="shared" si="5"/>
        <v>4.322039866111067E-4</v>
      </c>
      <c r="DL32">
        <f t="shared" si="6"/>
        <v>4.5721430727933168</v>
      </c>
      <c r="EB32" t="s">
        <v>48</v>
      </c>
      <c r="EC32" t="s">
        <v>34</v>
      </c>
      <c r="ED32">
        <v>17.077000000000002</v>
      </c>
      <c r="EE32">
        <f>AVERAGE(ED30:ED32)</f>
        <v>17.05</v>
      </c>
      <c r="EF32" t="s">
        <v>48</v>
      </c>
      <c r="EG32" t="s">
        <v>52</v>
      </c>
      <c r="EH32">
        <v>20.077000000000002</v>
      </c>
      <c r="EI32">
        <f>EH32-EE32</f>
        <v>3.027000000000001</v>
      </c>
      <c r="EJ32">
        <f t="shared" si="7"/>
        <v>0.12268238298168484</v>
      </c>
      <c r="EL32">
        <f t="shared" si="8"/>
        <v>33.825233514777558</v>
      </c>
    </row>
    <row r="35" spans="2:156">
      <c r="C35" t="s">
        <v>53</v>
      </c>
      <c r="D35" t="s">
        <v>175</v>
      </c>
      <c r="AC35" t="s">
        <v>53</v>
      </c>
      <c r="AD35" t="s">
        <v>175</v>
      </c>
      <c r="BC35" t="s">
        <v>53</v>
      </c>
      <c r="BD35" t="s">
        <v>175</v>
      </c>
      <c r="CC35" t="s">
        <v>31</v>
      </c>
      <c r="CD35" t="s">
        <v>175</v>
      </c>
      <c r="DC35" t="s">
        <v>31</v>
      </c>
      <c r="DD35" t="s">
        <v>175</v>
      </c>
      <c r="EB35" s="10"/>
      <c r="EC35" s="10" t="s">
        <v>31</v>
      </c>
      <c r="ED35" s="10" t="s">
        <v>175</v>
      </c>
      <c r="EE35" s="10"/>
      <c r="EF35" s="10"/>
      <c r="EG35" s="10"/>
      <c r="EH35" s="10"/>
      <c r="EI35" s="10"/>
      <c r="EJ35" s="10"/>
      <c r="EK35" s="10"/>
      <c r="EL35" s="10"/>
      <c r="EM35" s="10"/>
      <c r="EN35" s="10"/>
      <c r="EO35" s="10"/>
      <c r="EP35" s="10"/>
      <c r="EQ35" s="10"/>
      <c r="ER35" s="10"/>
      <c r="ES35" s="10"/>
    </row>
    <row r="36" spans="2:156">
      <c r="B36" t="s">
        <v>33</v>
      </c>
      <c r="C36" t="s">
        <v>34</v>
      </c>
      <c r="D36">
        <v>16.623999999999999</v>
      </c>
      <c r="F36" t="s">
        <v>33</v>
      </c>
      <c r="G36" t="s">
        <v>35</v>
      </c>
      <c r="H36">
        <v>24.504999999999999</v>
      </c>
      <c r="I36">
        <f>H36-E38</f>
        <v>7.9276666666666671</v>
      </c>
      <c r="J36">
        <f>POWER(2,-I36)</f>
        <v>4.1070930064856974E-3</v>
      </c>
      <c r="L36">
        <f>J36/0.00372729010680137</f>
        <v>1.1018978638103007</v>
      </c>
      <c r="AB36" t="s">
        <v>33</v>
      </c>
      <c r="AC36" t="s">
        <v>34</v>
      </c>
      <c r="AD36">
        <v>16.623999999999999</v>
      </c>
      <c r="AF36" t="s">
        <v>33</v>
      </c>
      <c r="AG36" t="s">
        <v>49</v>
      </c>
      <c r="AH36">
        <v>24.574000000000002</v>
      </c>
      <c r="AI36">
        <f>AH36-AE38</f>
        <v>7.9966666666666697</v>
      </c>
      <c r="AJ36">
        <f t="shared" ref="AJ36:AJ65" si="77">POWER(2,-AI36)</f>
        <v>3.9152857884459805E-3</v>
      </c>
      <c r="AL36">
        <f t="shared" ref="AL36:AL65" si="78">AJ36/0.0041036487347133</f>
        <v>0.95409866719976955</v>
      </c>
      <c r="BB36" t="s">
        <v>33</v>
      </c>
      <c r="BC36" t="s">
        <v>34</v>
      </c>
      <c r="BD36">
        <v>16.623999999999999</v>
      </c>
      <c r="BF36" t="s">
        <v>33</v>
      </c>
      <c r="BG36" t="s">
        <v>52</v>
      </c>
      <c r="BH36">
        <v>23.504999999999999</v>
      </c>
      <c r="BI36">
        <f>BH36-BE38</f>
        <v>6.9276666666666671</v>
      </c>
      <c r="BJ36">
        <f t="shared" ref="BJ36:BJ65" si="79">POWER(2,-BI36)</f>
        <v>8.2141860129713966E-3</v>
      </c>
      <c r="BL36">
        <f t="shared" ref="BL36:BL65" si="80">BJ36/0.00865766253449659</f>
        <v>0.94877641398493484</v>
      </c>
      <c r="CB36" s="6" t="s">
        <v>33</v>
      </c>
      <c r="CC36" s="6" t="s">
        <v>34</v>
      </c>
      <c r="CD36" s="6">
        <v>15.752000000000001</v>
      </c>
      <c r="CE36" s="6"/>
      <c r="CF36" s="6" t="s">
        <v>33</v>
      </c>
      <c r="CG36" s="6" t="s">
        <v>35</v>
      </c>
      <c r="CH36" s="6">
        <v>32.790999999999997</v>
      </c>
      <c r="CI36" s="6">
        <f>CH36-CE38</f>
        <v>17.141999999999996</v>
      </c>
      <c r="CJ36" s="6">
        <f>POWER(2,-CI36)</f>
        <v>6.9142298756968479E-6</v>
      </c>
      <c r="CK36" s="6"/>
      <c r="CL36" s="6">
        <f>CJ36/6.90171012894118E-06</f>
        <v>1.0018140064595249</v>
      </c>
      <c r="CM36" s="6"/>
      <c r="DB36" s="6" t="s">
        <v>33</v>
      </c>
      <c r="DC36" s="6" t="s">
        <v>34</v>
      </c>
      <c r="DD36" s="6">
        <v>15.752000000000001</v>
      </c>
      <c r="DE36" s="6"/>
      <c r="DF36" s="6" t="s">
        <v>33</v>
      </c>
      <c r="DG36" s="6" t="s">
        <v>49</v>
      </c>
      <c r="DH36" s="6">
        <v>28.809000000000001</v>
      </c>
      <c r="DI36" s="6">
        <f>DH36-DE38</f>
        <v>13.16</v>
      </c>
      <c r="DJ36" s="6">
        <f t="shared" ref="DJ36:DJ65" si="81">POWER(2,-DI36)</f>
        <v>1.0925599010351225E-4</v>
      </c>
      <c r="DK36" s="6"/>
      <c r="DL36" s="6">
        <f t="shared" ref="DL36:DL65" si="82">DJ36/0.000094529847323228</f>
        <v>1.1557829955012073</v>
      </c>
      <c r="DM36" s="101"/>
      <c r="DN36" s="101" t="s">
        <v>36</v>
      </c>
      <c r="DO36" s="101"/>
      <c r="DP36" s="101"/>
      <c r="DQ36" s="101" t="s">
        <v>2</v>
      </c>
      <c r="DR36" s="101"/>
      <c r="DS36" s="101"/>
      <c r="DT36" s="101" t="s">
        <v>663</v>
      </c>
      <c r="DU36" s="101" t="s">
        <v>396</v>
      </c>
      <c r="DV36" s="101" t="s">
        <v>664</v>
      </c>
      <c r="DW36" s="101" t="s">
        <v>663</v>
      </c>
      <c r="DX36" s="101" t="s">
        <v>396</v>
      </c>
      <c r="DY36" s="101" t="s">
        <v>664</v>
      </c>
      <c r="DZ36" s="101" t="s">
        <v>665</v>
      </c>
      <c r="EB36" s="14" t="s">
        <v>33</v>
      </c>
      <c r="EC36" s="14" t="s">
        <v>34</v>
      </c>
      <c r="ED36" s="14">
        <v>15.752000000000001</v>
      </c>
      <c r="EE36" s="14"/>
      <c r="EF36" s="14" t="s">
        <v>33</v>
      </c>
      <c r="EG36" s="14" t="s">
        <v>52</v>
      </c>
      <c r="EH36" s="14">
        <v>23.853000000000002</v>
      </c>
      <c r="EI36" s="14">
        <f>EH36-EE38</f>
        <v>8.2040000000000006</v>
      </c>
      <c r="EJ36" s="14">
        <f t="shared" ref="EJ36:EJ65" si="83">POWER(2,-EI36)</f>
        <v>3.3911727640665731E-3</v>
      </c>
      <c r="EK36" s="14"/>
      <c r="EL36" s="14">
        <f t="shared" ref="EL36:EL65" si="84">EJ36/0.00362694858937448</f>
        <v>0.93499333682351149</v>
      </c>
      <c r="EM36" s="109"/>
      <c r="EN36" s="109" t="s">
        <v>36</v>
      </c>
      <c r="EO36" s="109"/>
      <c r="EP36" s="109"/>
      <c r="EQ36" s="109" t="s">
        <v>2</v>
      </c>
      <c r="ER36" s="109"/>
      <c r="ES36" s="109"/>
      <c r="ET36" s="101" t="s">
        <v>663</v>
      </c>
      <c r="EU36" s="101" t="s">
        <v>396</v>
      </c>
      <c r="EV36" s="101" t="s">
        <v>664</v>
      </c>
      <c r="EW36" s="101" t="s">
        <v>663</v>
      </c>
      <c r="EX36" s="101" t="s">
        <v>396</v>
      </c>
      <c r="EY36" s="101" t="s">
        <v>664</v>
      </c>
      <c r="EZ36" s="101" t="s">
        <v>665</v>
      </c>
    </row>
    <row r="37" spans="2:156">
      <c r="B37" t="s">
        <v>33</v>
      </c>
      <c r="C37" t="s">
        <v>34</v>
      </c>
      <c r="D37">
        <v>16.664000000000001</v>
      </c>
      <c r="F37" t="s">
        <v>33</v>
      </c>
      <c r="G37" t="s">
        <v>35</v>
      </c>
      <c r="H37">
        <v>24.478000000000002</v>
      </c>
      <c r="I37">
        <f>H37-E38</f>
        <v>7.9006666666666696</v>
      </c>
      <c r="J37">
        <f t="shared" ref="J37:J65" si="85">POWER(2,-I37)</f>
        <v>4.1846809079943781E-3</v>
      </c>
      <c r="K37">
        <v>3.7272901068013701E-3</v>
      </c>
      <c r="L37">
        <f t="shared" ref="L37:L65" si="86">J37/0.00372729010680137</f>
        <v>1.1227140330070859</v>
      </c>
      <c r="AB37" t="s">
        <v>33</v>
      </c>
      <c r="AC37" t="s">
        <v>34</v>
      </c>
      <c r="AD37">
        <v>16.664000000000001</v>
      </c>
      <c r="AF37" t="s">
        <v>33</v>
      </c>
      <c r="AG37" t="s">
        <v>49</v>
      </c>
      <c r="AH37">
        <v>24.338000000000001</v>
      </c>
      <c r="AI37">
        <f>AH37-AE38</f>
        <v>7.760666666666669</v>
      </c>
      <c r="AJ37">
        <f t="shared" si="77"/>
        <v>4.6111213008301864E-3</v>
      </c>
      <c r="AK37">
        <v>4.1036487347133003E-3</v>
      </c>
      <c r="AL37">
        <f t="shared" si="78"/>
        <v>1.1236637438833663</v>
      </c>
      <c r="BB37" t="s">
        <v>33</v>
      </c>
      <c r="BC37" t="s">
        <v>34</v>
      </c>
      <c r="BD37">
        <v>16.664000000000001</v>
      </c>
      <c r="BF37" t="s">
        <v>33</v>
      </c>
      <c r="BG37" t="s">
        <v>52</v>
      </c>
      <c r="BH37">
        <v>23.594000000000001</v>
      </c>
      <c r="BI37">
        <f>BH37-BE38</f>
        <v>7.0166666666666693</v>
      </c>
      <c r="BJ37">
        <f t="shared" si="79"/>
        <v>7.7227657840069908E-3</v>
      </c>
      <c r="BK37">
        <v>8.6576625344965893E-3</v>
      </c>
      <c r="BL37">
        <f t="shared" si="80"/>
        <v>0.89201510837775344</v>
      </c>
      <c r="BM37" s="90"/>
      <c r="BN37" s="90" t="s">
        <v>36</v>
      </c>
      <c r="BO37" s="90"/>
      <c r="BP37" s="90"/>
      <c r="BQ37" s="90" t="s">
        <v>2</v>
      </c>
      <c r="BR37" s="90"/>
      <c r="BS37" s="90"/>
      <c r="BT37" s="90" t="s">
        <v>663</v>
      </c>
      <c r="BU37" s="90" t="s">
        <v>396</v>
      </c>
      <c r="BV37" s="90" t="s">
        <v>664</v>
      </c>
      <c r="BW37" s="90" t="s">
        <v>663</v>
      </c>
      <c r="BX37" s="90" t="s">
        <v>396</v>
      </c>
      <c r="BY37" s="90" t="s">
        <v>664</v>
      </c>
      <c r="BZ37" s="101" t="s">
        <v>665</v>
      </c>
      <c r="CB37" s="6" t="s">
        <v>33</v>
      </c>
      <c r="CC37" s="6" t="s">
        <v>34</v>
      </c>
      <c r="CD37" s="6">
        <v>15.586</v>
      </c>
      <c r="CE37" s="6"/>
      <c r="CF37" s="6" t="s">
        <v>33</v>
      </c>
      <c r="CG37" s="6" t="s">
        <v>35</v>
      </c>
      <c r="CH37" s="6">
        <v>32.627000000000002</v>
      </c>
      <c r="CI37" s="6">
        <f>CH37-CE38</f>
        <v>16.978000000000002</v>
      </c>
      <c r="CJ37" s="6">
        <f t="shared" ref="CJ37:CJ65" si="87">POWER(2,-CI37)</f>
        <v>7.7466285771898593E-6</v>
      </c>
      <c r="CK37" s="6">
        <v>6.9017101289411796E-6</v>
      </c>
      <c r="CL37" s="6">
        <f t="shared" ref="CL37:CL65" si="88">CJ37/6.90171012894118E-06</f>
        <v>1.1224216074659024</v>
      </c>
      <c r="CM37" s="101"/>
      <c r="CN37" s="101" t="s">
        <v>36</v>
      </c>
      <c r="CO37" s="101"/>
      <c r="CP37" s="101"/>
      <c r="CQ37" s="101" t="s">
        <v>2</v>
      </c>
      <c r="CR37" s="101"/>
      <c r="CS37" s="101"/>
      <c r="CT37" s="101" t="s">
        <v>663</v>
      </c>
      <c r="CU37" s="101" t="s">
        <v>396</v>
      </c>
      <c r="CV37" s="101" t="s">
        <v>664</v>
      </c>
      <c r="CW37" s="101" t="s">
        <v>663</v>
      </c>
      <c r="CX37" s="101" t="s">
        <v>396</v>
      </c>
      <c r="CY37" s="101" t="s">
        <v>664</v>
      </c>
      <c r="CZ37" s="101" t="s">
        <v>665</v>
      </c>
      <c r="DB37" s="6" t="s">
        <v>33</v>
      </c>
      <c r="DC37" s="6" t="s">
        <v>34</v>
      </c>
      <c r="DD37" s="6">
        <v>15.586</v>
      </c>
      <c r="DE37" s="6"/>
      <c r="DF37" s="6" t="s">
        <v>33</v>
      </c>
      <c r="DG37" s="6" t="s">
        <v>49</v>
      </c>
      <c r="DH37" s="6">
        <v>29.28</v>
      </c>
      <c r="DI37" s="6">
        <f>DH37-DE38</f>
        <v>13.631</v>
      </c>
      <c r="DJ37" s="6">
        <f t="shared" si="81"/>
        <v>7.882430116591396E-5</v>
      </c>
      <c r="DK37" s="6">
        <v>9.4529847323227996E-5</v>
      </c>
      <c r="DL37" s="6">
        <f t="shared" si="82"/>
        <v>0.83385621999777793</v>
      </c>
      <c r="DM37" s="101">
        <v>0</v>
      </c>
      <c r="DN37" s="101">
        <v>1.1557829955012073</v>
      </c>
      <c r="DO37" s="101">
        <v>0.83385621999777793</v>
      </c>
      <c r="DP37" s="101">
        <v>1.0103607845010159</v>
      </c>
      <c r="DQ37" s="101">
        <v>1.4140866731392916</v>
      </c>
      <c r="DR37" s="101">
        <v>1.1825248895791878</v>
      </c>
      <c r="DS37" s="101">
        <v>1.3276460256657849</v>
      </c>
      <c r="DT37" s="101">
        <f>AVERAGE(DN37:DP37)</f>
        <v>1.0000000000000002</v>
      </c>
      <c r="DU37" s="101">
        <f>STDEV(DN37:DP37)</f>
        <v>0.16121327981316128</v>
      </c>
      <c r="DV37" s="101">
        <f>DU37/SQRT(3)</f>
        <v>9.3076530497071125E-2</v>
      </c>
      <c r="DW37" s="101">
        <f>AVERAGE(DQ37:DS37)</f>
        <v>1.3080858627947547</v>
      </c>
      <c r="DX37" s="101">
        <f>STDEV(DQ37:DS37)</f>
        <v>0.1170135243467182</v>
      </c>
      <c r="DY37" s="101">
        <f>DX37/SQRT(3)</f>
        <v>6.7557789780404581E-2</v>
      </c>
      <c r="DZ37" s="99" t="s">
        <v>681</v>
      </c>
      <c r="EB37" s="14" t="s">
        <v>33</v>
      </c>
      <c r="EC37" s="14" t="s">
        <v>34</v>
      </c>
      <c r="ED37" s="14">
        <v>15.586</v>
      </c>
      <c r="EE37" s="14"/>
      <c r="EF37" s="14" t="s">
        <v>33</v>
      </c>
      <c r="EG37" s="14" t="s">
        <v>52</v>
      </c>
      <c r="EH37" s="14">
        <v>23.599</v>
      </c>
      <c r="EI37" s="14">
        <f>EH37-EE38</f>
        <v>7.9499999999999993</v>
      </c>
      <c r="EJ37" s="14">
        <f t="shared" si="83"/>
        <v>4.0440036087553838E-3</v>
      </c>
      <c r="EK37" s="14">
        <v>3.6269485893744798E-3</v>
      </c>
      <c r="EL37" s="14">
        <f t="shared" si="84"/>
        <v>1.1149878497320611</v>
      </c>
      <c r="EM37" s="109">
        <v>0</v>
      </c>
      <c r="EN37" s="109">
        <v>0.93499333682351149</v>
      </c>
      <c r="EO37" s="109">
        <v>1.1149878497320611</v>
      </c>
      <c r="EP37" s="109">
        <v>0.95001881344442607</v>
      </c>
      <c r="EQ37" s="109">
        <v>0.85442631694425542</v>
      </c>
      <c r="ER37" s="109">
        <v>0.82589368745108704</v>
      </c>
      <c r="ES37" s="109">
        <v>0.98011842985044728</v>
      </c>
      <c r="ET37" s="101">
        <f>AVERAGE(EN37:EP37)</f>
        <v>0.99999999999999956</v>
      </c>
      <c r="EU37" s="101">
        <f>STDEV(EN37:EP37)</f>
        <v>9.9865386528184982E-2</v>
      </c>
      <c r="EV37" s="101">
        <f>EU37/SQRT(3)</f>
        <v>5.7657307794773627E-2</v>
      </c>
      <c r="EW37" s="101">
        <f>AVERAGE(EQ37:ES37)</f>
        <v>0.88681281141526325</v>
      </c>
      <c r="EX37" s="101">
        <f>STDEV(EQ37:ES37)</f>
        <v>8.2054747334494429E-2</v>
      </c>
      <c r="EY37" s="101">
        <f>EX37/SQRT(3)</f>
        <v>4.7374330461857087E-2</v>
      </c>
      <c r="EZ37" s="99" t="s">
        <v>681</v>
      </c>
    </row>
    <row r="38" spans="2:156">
      <c r="B38" t="s">
        <v>33</v>
      </c>
      <c r="C38" t="s">
        <v>34</v>
      </c>
      <c r="D38">
        <v>16.443999999999999</v>
      </c>
      <c r="E38">
        <f>AVERAGE(D36:D38)</f>
        <v>16.577333333333332</v>
      </c>
      <c r="F38" t="s">
        <v>33</v>
      </c>
      <c r="G38" t="s">
        <v>35</v>
      </c>
      <c r="H38">
        <v>25.012</v>
      </c>
      <c r="I38">
        <f>H38-E38</f>
        <v>8.4346666666666685</v>
      </c>
      <c r="J38">
        <f t="shared" si="85"/>
        <v>2.8900964059240361E-3</v>
      </c>
      <c r="K38">
        <f>AVERAGE(J36:J38)</f>
        <v>3.7272901068013706E-3</v>
      </c>
      <c r="L38">
        <f t="shared" si="86"/>
        <v>0.77538810318261375</v>
      </c>
      <c r="M38" s="90"/>
      <c r="N38" s="90" t="s">
        <v>36</v>
      </c>
      <c r="O38" s="90"/>
      <c r="P38" s="90"/>
      <c r="Q38" s="90" t="s">
        <v>2</v>
      </c>
      <c r="R38" s="90"/>
      <c r="S38" s="90"/>
      <c r="T38" s="90" t="s">
        <v>663</v>
      </c>
      <c r="U38" s="90" t="s">
        <v>396</v>
      </c>
      <c r="V38" s="90" t="s">
        <v>664</v>
      </c>
      <c r="W38" s="90" t="s">
        <v>663</v>
      </c>
      <c r="X38" s="90" t="s">
        <v>396</v>
      </c>
      <c r="Y38" s="90" t="s">
        <v>664</v>
      </c>
      <c r="Z38" s="101" t="s">
        <v>665</v>
      </c>
      <c r="AB38" t="s">
        <v>33</v>
      </c>
      <c r="AC38" t="s">
        <v>34</v>
      </c>
      <c r="AD38">
        <v>16.443999999999999</v>
      </c>
      <c r="AE38">
        <f>AVERAGE(AD36:AD38)</f>
        <v>16.577333333333332</v>
      </c>
      <c r="AF38" t="s">
        <v>33</v>
      </c>
      <c r="AG38" t="s">
        <v>49</v>
      </c>
      <c r="AH38">
        <v>24.623000000000001</v>
      </c>
      <c r="AI38">
        <f>AH38-AE38</f>
        <v>8.0456666666666692</v>
      </c>
      <c r="AJ38">
        <f t="shared" si="77"/>
        <v>3.7845391148637253E-3</v>
      </c>
      <c r="AK38">
        <f>AVERAGE(AJ36:AJ38)</f>
        <v>4.1036487347132977E-3</v>
      </c>
      <c r="AL38">
        <f t="shared" si="78"/>
        <v>0.92223758891686192</v>
      </c>
      <c r="BB38" t="s">
        <v>33</v>
      </c>
      <c r="BC38" t="s">
        <v>34</v>
      </c>
      <c r="BD38">
        <v>16.443999999999999</v>
      </c>
      <c r="BE38">
        <f>AVERAGE(BD36:BD38)</f>
        <v>16.577333333333332</v>
      </c>
      <c r="BF38" t="s">
        <v>33</v>
      </c>
      <c r="BG38" t="s">
        <v>52</v>
      </c>
      <c r="BH38">
        <v>23.216000000000001</v>
      </c>
      <c r="BI38">
        <f>BH38-BE38</f>
        <v>6.6386666666666692</v>
      </c>
      <c r="BJ38">
        <f t="shared" si="79"/>
        <v>1.0036035806511393E-2</v>
      </c>
      <c r="BK38">
        <f>AVERAGE(BJ36:BJ38)</f>
        <v>8.6576625344965946E-3</v>
      </c>
      <c r="BL38">
        <f t="shared" si="80"/>
        <v>1.1592084776373131</v>
      </c>
      <c r="BM38" s="98">
        <v>0</v>
      </c>
      <c r="BN38" s="90">
        <v>0.94877641398493484</v>
      </c>
      <c r="BO38" s="90">
        <v>0.89201510837775344</v>
      </c>
      <c r="BP38" s="90">
        <v>1.1592084776373131</v>
      </c>
      <c r="BQ38" s="90">
        <v>0.7801409552151628</v>
      </c>
      <c r="BR38" s="90">
        <v>0.92006437842596389</v>
      </c>
      <c r="BS38" s="90">
        <v>0.78611196717280052</v>
      </c>
      <c r="BT38" s="90">
        <f>AVERAGE(BN38:BP38)</f>
        <v>1.0000000000000004</v>
      </c>
      <c r="BU38" s="90">
        <f>STDEV(BN38:BP38)</f>
        <v>0.14076919395681434</v>
      </c>
      <c r="BV38" s="90">
        <f>BU38/SQRT(3)</f>
        <v>8.1273132024573397E-2</v>
      </c>
      <c r="BW38" s="90">
        <f>AVERAGE(BQ38:BS38)</f>
        <v>0.82877243360464237</v>
      </c>
      <c r="BX38" s="90">
        <f>STDEV(BQ38:BS38)</f>
        <v>7.9117492616323282E-2</v>
      </c>
      <c r="BY38" s="90">
        <f>BX38/SQRT(3)</f>
        <v>4.5678505659642481E-2</v>
      </c>
      <c r="BZ38" s="94">
        <v>0.99980000000000002</v>
      </c>
      <c r="CB38" s="6" t="s">
        <v>33</v>
      </c>
      <c r="CC38" s="6" t="s">
        <v>34</v>
      </c>
      <c r="CD38" s="6">
        <v>15.609</v>
      </c>
      <c r="CE38" s="6">
        <f t="shared" ref="CE38" si="89">AVERAGE(CD36:CD38)</f>
        <v>15.649000000000001</v>
      </c>
      <c r="CF38" s="6" t="s">
        <v>33</v>
      </c>
      <c r="CG38" s="6" t="s">
        <v>35</v>
      </c>
      <c r="CH38" s="6">
        <v>32.984999999999999</v>
      </c>
      <c r="CI38" s="6">
        <f>CH38-CE38</f>
        <v>17.335999999999999</v>
      </c>
      <c r="CJ38" s="6">
        <f t="shared" si="87"/>
        <v>6.0442719339368452E-6</v>
      </c>
      <c r="CK38" s="6">
        <f>AVERAGE(CJ36:CJ38)</f>
        <v>6.901710128941183E-6</v>
      </c>
      <c r="CL38" s="6">
        <f t="shared" si="88"/>
        <v>0.87576438607457463</v>
      </c>
      <c r="CM38" s="101">
        <v>0</v>
      </c>
      <c r="CN38" s="101">
        <v>1.0018140064595249</v>
      </c>
      <c r="CO38" s="101">
        <v>1.1224216074659024</v>
      </c>
      <c r="CP38" s="101">
        <v>0.87576438607457463</v>
      </c>
      <c r="CQ38" s="101">
        <v>1.4445445397472216</v>
      </c>
      <c r="CR38" s="101">
        <v>1.1077364558678833</v>
      </c>
      <c r="CS38" s="101">
        <v>0.63887902802190399</v>
      </c>
      <c r="CT38" s="101">
        <f>AVERAGE(CN38:CP38)</f>
        <v>1.0000000000000007</v>
      </c>
      <c r="CU38" s="101">
        <f>STDEV(CN38:CP38)</f>
        <v>0.12333861593474449</v>
      </c>
      <c r="CV38" s="101">
        <f>CU38/SQRT(3)</f>
        <v>7.1209583111400604E-2</v>
      </c>
      <c r="CW38" s="101">
        <f>AVERAGE(CQ38:CS38)</f>
        <v>1.063720007879003</v>
      </c>
      <c r="CX38" s="101">
        <f>STDEV(CQ38:CS38)</f>
        <v>0.40463232071359917</v>
      </c>
      <c r="CY38" s="101">
        <f>CX38/SQRT(3)</f>
        <v>0.23361457928681947</v>
      </c>
      <c r="CZ38" s="99" t="s">
        <v>681</v>
      </c>
      <c r="DB38" s="6" t="s">
        <v>33</v>
      </c>
      <c r="DC38" s="6" t="s">
        <v>34</v>
      </c>
      <c r="DD38" s="6">
        <v>15.609</v>
      </c>
      <c r="DE38" s="6">
        <f>AVERAGE(DD36:DD38)</f>
        <v>15.649000000000001</v>
      </c>
      <c r="DF38" s="6" t="s">
        <v>33</v>
      </c>
      <c r="DG38" s="6" t="s">
        <v>49</v>
      </c>
      <c r="DH38" s="6">
        <v>29.003</v>
      </c>
      <c r="DI38" s="6">
        <f>DH38-DE38</f>
        <v>13.353999999999999</v>
      </c>
      <c r="DJ38" s="6">
        <f t="shared" si="81"/>
        <v>9.5509250700257886E-5</v>
      </c>
      <c r="DK38" s="6">
        <f>AVERAGE(DJ36:DJ38)</f>
        <v>9.4529847323228023E-5</v>
      </c>
      <c r="DL38" s="6">
        <f t="shared" si="82"/>
        <v>1.0103607845010159</v>
      </c>
      <c r="DM38" s="101" t="s">
        <v>38</v>
      </c>
      <c r="DN38" s="101">
        <v>4.0479848281296587</v>
      </c>
      <c r="DO38" s="101">
        <v>3.9372924701301857</v>
      </c>
      <c r="DP38" s="101">
        <v>4.8138923590348552</v>
      </c>
      <c r="DQ38" s="101">
        <v>6.9013114858656142</v>
      </c>
      <c r="DR38" s="101">
        <v>7.0025022869962879</v>
      </c>
      <c r="DS38" s="101">
        <v>6.4974361410333499</v>
      </c>
      <c r="DT38" s="101">
        <f t="shared" ref="DT38:DT41" si="90">AVERAGE(DN38:DP38)</f>
        <v>4.2663898857648999</v>
      </c>
      <c r="DU38" s="101">
        <f t="shared" ref="DU38:DU41" si="91">STDEV(DN38:DP38)</f>
        <v>0.47737031559095666</v>
      </c>
      <c r="DV38" s="101">
        <f t="shared" ref="DV38:DV41" si="92">DU38/SQRT(3)</f>
        <v>0.27560988020957544</v>
      </c>
      <c r="DW38" s="101">
        <f t="shared" ref="DW38:DW41" si="93">AVERAGE(DQ38:DS38)</f>
        <v>6.8004166379650846</v>
      </c>
      <c r="DX38" s="101">
        <f t="shared" ref="DX38:DX41" si="94">STDEV(DQ38:DS38)</f>
        <v>0.26722234318843413</v>
      </c>
      <c r="DY38" s="101">
        <f t="shared" ref="DY38:DY41" si="95">DX38/SQRT(3)</f>
        <v>0.15428089177332502</v>
      </c>
      <c r="DZ38" s="99">
        <v>0.98560000000000003</v>
      </c>
      <c r="EB38" s="14" t="s">
        <v>33</v>
      </c>
      <c r="EC38" s="14" t="s">
        <v>34</v>
      </c>
      <c r="ED38" s="14">
        <v>15.609</v>
      </c>
      <c r="EE38" s="14">
        <f>AVERAGE(ED36:ED38)</f>
        <v>15.649000000000001</v>
      </c>
      <c r="EF38" s="14" t="s">
        <v>33</v>
      </c>
      <c r="EG38" s="14" t="s">
        <v>52</v>
      </c>
      <c r="EH38" s="14">
        <v>23.83</v>
      </c>
      <c r="EI38" s="14">
        <f>EH38-EE38</f>
        <v>8.1809999999999974</v>
      </c>
      <c r="EJ38" s="14">
        <f t="shared" si="83"/>
        <v>3.4456693953014783E-3</v>
      </c>
      <c r="EK38" s="14">
        <f>AVERAGE(EJ36:EJ38)</f>
        <v>3.626948589374479E-3</v>
      </c>
      <c r="EL38" s="14">
        <f t="shared" si="84"/>
        <v>0.95001881344442607</v>
      </c>
      <c r="EM38" s="109" t="s">
        <v>38</v>
      </c>
      <c r="EN38" s="109">
        <v>4.8782419764110454</v>
      </c>
      <c r="EO38" s="109">
        <v>4.3239844121349407</v>
      </c>
      <c r="EP38" s="109">
        <v>4.2674117604884412</v>
      </c>
      <c r="EQ38" s="109">
        <v>9.2793772579603129</v>
      </c>
      <c r="ER38" s="109">
        <v>9.3180494639136118</v>
      </c>
      <c r="ES38" s="109">
        <v>10.175501460867912</v>
      </c>
      <c r="ET38" s="101">
        <f t="shared" ref="ET38:ET41" si="96">AVERAGE(EN38:EP38)</f>
        <v>4.489879383011476</v>
      </c>
      <c r="EU38" s="101">
        <f t="shared" ref="EU38:EU41" si="97">STDEV(EN38:EP38)</f>
        <v>0.33751925010672895</v>
      </c>
      <c r="EV38" s="101">
        <f t="shared" ref="EV38:EV41" si="98">EU38/SQRT(3)</f>
        <v>0.19486682990580059</v>
      </c>
      <c r="EW38" s="101">
        <f t="shared" ref="EW38:EW41" si="99">AVERAGE(EQ38:ES38)</f>
        <v>9.5909760609139454</v>
      </c>
      <c r="EX38" s="101">
        <f t="shared" ref="EX38:EX41" si="100">STDEV(EQ38:ES38)</f>
        <v>0.50658300629988728</v>
      </c>
      <c r="EY38" s="101">
        <f t="shared" ref="EY38:EY41" si="101">EX38/SQRT(3)</f>
        <v>0.29247583505412983</v>
      </c>
      <c r="EZ38" s="99" t="s">
        <v>666</v>
      </c>
    </row>
    <row r="39" spans="2:156">
      <c r="B39" t="s">
        <v>37</v>
      </c>
      <c r="C39" t="s">
        <v>34</v>
      </c>
      <c r="D39">
        <v>16.204999999999998</v>
      </c>
      <c r="F39" t="s">
        <v>37</v>
      </c>
      <c r="G39" t="s">
        <v>35</v>
      </c>
      <c r="H39">
        <v>24.324999999999999</v>
      </c>
      <c r="I39">
        <f t="shared" ref="I39" si="102">H39-E41</f>
        <v>8.2639999999999993</v>
      </c>
      <c r="J39">
        <f t="shared" si="85"/>
        <v>3.2530303550021475E-3</v>
      </c>
      <c r="L39">
        <f t="shared" si="86"/>
        <v>0.87276017207949086</v>
      </c>
      <c r="M39" s="98">
        <v>0</v>
      </c>
      <c r="N39" s="90">
        <v>1.1018978638103007</v>
      </c>
      <c r="O39" s="90">
        <v>1.1227140330070859</v>
      </c>
      <c r="P39" s="90">
        <v>0.77538810318261375</v>
      </c>
      <c r="Q39" s="90">
        <v>0.87276017207949086</v>
      </c>
      <c r="R39" s="90">
        <v>0.84069661638263904</v>
      </c>
      <c r="S39" s="90">
        <v>0.89543286267423883</v>
      </c>
      <c r="T39" s="90">
        <f>AVERAGE(N39:P39)</f>
        <v>1.0000000000000002</v>
      </c>
      <c r="U39" s="90">
        <f>STDEV(N39:P39)</f>
        <v>0.19479786027812288</v>
      </c>
      <c r="V39" s="90">
        <f>U39/SQRT(3)</f>
        <v>0.11246659706913735</v>
      </c>
      <c r="W39" s="90">
        <f>AVERAGE(Q39:S39)</f>
        <v>0.86962988371212291</v>
      </c>
      <c r="X39" s="90">
        <f>STDEV(Q39:S39)</f>
        <v>2.7502057986100371E-2</v>
      </c>
      <c r="Y39" s="90">
        <f>X39/SQRT(3)</f>
        <v>1.5878320581543749E-2</v>
      </c>
      <c r="Z39" s="94" t="s">
        <v>681</v>
      </c>
      <c r="AB39" t="s">
        <v>37</v>
      </c>
      <c r="AC39" t="s">
        <v>34</v>
      </c>
      <c r="AD39">
        <v>16.204999999999998</v>
      </c>
      <c r="AF39" t="s">
        <v>37</v>
      </c>
      <c r="AG39" t="s">
        <v>49</v>
      </c>
      <c r="AH39">
        <v>24.103999999999999</v>
      </c>
      <c r="AI39">
        <f>AH39-AE41</f>
        <v>8.0429999999999993</v>
      </c>
      <c r="AJ39">
        <f t="shared" si="77"/>
        <v>3.7915408975372944E-3</v>
      </c>
      <c r="AL39">
        <f t="shared" si="78"/>
        <v>0.92394382235110795</v>
      </c>
      <c r="BB39" t="s">
        <v>37</v>
      </c>
      <c r="BC39" t="s">
        <v>34</v>
      </c>
      <c r="BD39">
        <v>16.204999999999998</v>
      </c>
      <c r="BF39" t="s">
        <v>37</v>
      </c>
      <c r="BG39" t="s">
        <v>52</v>
      </c>
      <c r="BH39">
        <v>23.271000000000001</v>
      </c>
      <c r="BI39">
        <f>BH39-BE41</f>
        <v>7.2100000000000009</v>
      </c>
      <c r="BJ39">
        <f t="shared" si="79"/>
        <v>6.7541971195926968E-3</v>
      </c>
      <c r="BL39">
        <f t="shared" si="80"/>
        <v>0.7801409552151628</v>
      </c>
      <c r="BM39" s="98" t="s">
        <v>38</v>
      </c>
      <c r="BN39" s="90">
        <v>10.242339526586404</v>
      </c>
      <c r="BO39" s="90">
        <v>11.619478254512259</v>
      </c>
      <c r="BP39" s="90">
        <v>11.798024329421253</v>
      </c>
      <c r="BQ39" s="90">
        <v>13.62143429499903</v>
      </c>
      <c r="BR39" s="90">
        <v>12.744534000567581</v>
      </c>
      <c r="BS39" s="90">
        <v>13.093752576397295</v>
      </c>
      <c r="BT39" s="90">
        <f t="shared" ref="BT39:BT42" si="103">AVERAGE(BN39:BP39)</f>
        <v>11.219947370173307</v>
      </c>
      <c r="BU39" s="90">
        <f t="shared" ref="BU39:BU42" si="104">STDEV(BN39:BP39)</f>
        <v>0.85132690377922704</v>
      </c>
      <c r="BV39" s="90">
        <f t="shared" ref="BV39:BV42" si="105">BU39/SQRT(3)</f>
        <v>0.49151381706530739</v>
      </c>
      <c r="BW39" s="90">
        <f t="shared" ref="BW39:BW42" si="106">AVERAGE(BQ39:BS39)</f>
        <v>13.153240290654635</v>
      </c>
      <c r="BX39" s="90">
        <f t="shared" ref="BX39:BX42" si="107">STDEV(BQ39:BS39)</f>
        <v>0.44146644572850924</v>
      </c>
      <c r="BY39" s="90">
        <f t="shared" ref="BY39:BY42" si="108">BX39/SQRT(3)</f>
        <v>0.25488077127954212</v>
      </c>
      <c r="BZ39" s="94">
        <v>6.8699999999999997E-2</v>
      </c>
      <c r="CB39" s="6" t="s">
        <v>37</v>
      </c>
      <c r="CC39" s="6" t="s">
        <v>34</v>
      </c>
      <c r="CD39" s="6">
        <v>15.518000000000001</v>
      </c>
      <c r="CE39" s="6"/>
      <c r="CF39" s="6" t="s">
        <v>37</v>
      </c>
      <c r="CG39" s="6" t="s">
        <v>35</v>
      </c>
      <c r="CH39" s="6">
        <v>32.133000000000003</v>
      </c>
      <c r="CI39" s="6">
        <f t="shared" ref="CI39" si="109">CH39-CE41</f>
        <v>16.614000000000004</v>
      </c>
      <c r="CJ39" s="6">
        <f t="shared" si="87"/>
        <v>9.969827681680074E-6</v>
      </c>
      <c r="CK39" s="6"/>
      <c r="CL39" s="6">
        <f t="shared" si="88"/>
        <v>1.4445445397472216</v>
      </c>
      <c r="CM39" s="101" t="s">
        <v>38</v>
      </c>
      <c r="CN39" s="101">
        <v>3.5209091959163823</v>
      </c>
      <c r="CO39" s="101">
        <v>3.0843105231270993</v>
      </c>
      <c r="CP39" s="101">
        <v>2.9833805622000025</v>
      </c>
      <c r="CQ39" s="101">
        <v>7.2682834707832455</v>
      </c>
      <c r="CR39" s="101">
        <v>7.6402226800573292</v>
      </c>
      <c r="CS39" s="101">
        <v>8.9669334301131514</v>
      </c>
      <c r="CT39" s="101">
        <f t="shared" ref="CT39:CT42" si="110">AVERAGE(CN39:CP39)</f>
        <v>3.1962000937478279</v>
      </c>
      <c r="CU39" s="101">
        <f t="shared" ref="CU39:CU42" si="111">STDEV(CN39:CP39)</f>
        <v>0.28569864372537329</v>
      </c>
      <c r="CV39" s="101">
        <f t="shared" ref="CV39:CV42" si="112">CU39/SQRT(3)</f>
        <v>0.16494818886195525</v>
      </c>
      <c r="CW39" s="101">
        <f t="shared" ref="CW39:CW42" si="113">AVERAGE(CQ39:CS39)</f>
        <v>7.9584798603179081</v>
      </c>
      <c r="CX39" s="101">
        <f t="shared" ref="CX39:CX42" si="114">STDEV(CQ39:CS39)</f>
        <v>0.89292701027207932</v>
      </c>
      <c r="CY39" s="101">
        <f t="shared" ref="CY39:CY42" si="115">CX39/SQRT(3)</f>
        <v>0.51553164974727272</v>
      </c>
      <c r="CZ39" s="99">
        <v>0.83079999999999998</v>
      </c>
      <c r="DB39" s="6" t="s">
        <v>37</v>
      </c>
      <c r="DC39" s="6" t="s">
        <v>34</v>
      </c>
      <c r="DD39" s="6">
        <v>15.518000000000001</v>
      </c>
      <c r="DE39" s="6"/>
      <c r="DF39" s="6" t="s">
        <v>37</v>
      </c>
      <c r="DG39" s="6" t="s">
        <v>49</v>
      </c>
      <c r="DH39" s="6">
        <v>28.388000000000002</v>
      </c>
      <c r="DI39" s="6">
        <f>DH39-DE41</f>
        <v>12.869000000000002</v>
      </c>
      <c r="DJ39" s="6">
        <f t="shared" si="81"/>
        <v>1.3367339731366865E-4</v>
      </c>
      <c r="DK39" s="6"/>
      <c r="DL39" s="6">
        <f t="shared" si="82"/>
        <v>1.4140866731392916</v>
      </c>
      <c r="DM39" s="101">
        <v>1</v>
      </c>
      <c r="DN39" s="101">
        <v>14.930637725125507</v>
      </c>
      <c r="DO39" s="101">
        <v>12.459755755186329</v>
      </c>
      <c r="DP39" s="101">
        <v>12.503012893658161</v>
      </c>
      <c r="DQ39" s="101">
        <v>17.641123630701504</v>
      </c>
      <c r="DR39" s="101">
        <v>18.67285407116049</v>
      </c>
      <c r="DS39" s="101">
        <v>19.506331157479206</v>
      </c>
      <c r="DT39" s="101">
        <f t="shared" si="90"/>
        <v>13.297802124656664</v>
      </c>
      <c r="DU39" s="101">
        <f t="shared" si="91"/>
        <v>1.4142425070072049</v>
      </c>
      <c r="DV39" s="101">
        <f t="shared" si="92"/>
        <v>0.81651329212002099</v>
      </c>
      <c r="DW39" s="101">
        <f t="shared" si="93"/>
        <v>18.606769619780398</v>
      </c>
      <c r="DX39" s="101">
        <f t="shared" si="94"/>
        <v>0.934358146281555</v>
      </c>
      <c r="DY39" s="101">
        <f t="shared" si="95"/>
        <v>0.53945192727517555</v>
      </c>
      <c r="DZ39" s="99">
        <v>0.75070000000000003</v>
      </c>
      <c r="EB39" s="14" t="s">
        <v>37</v>
      </c>
      <c r="EC39" s="14" t="s">
        <v>34</v>
      </c>
      <c r="ED39" s="14">
        <v>15.518000000000001</v>
      </c>
      <c r="EE39" s="14"/>
      <c r="EF39" s="14" t="s">
        <v>37</v>
      </c>
      <c r="EG39" s="14" t="s">
        <v>52</v>
      </c>
      <c r="EH39" s="14">
        <v>23.853000000000002</v>
      </c>
      <c r="EI39" s="14">
        <f>EH39-EE41</f>
        <v>8.3340000000000014</v>
      </c>
      <c r="EJ39" s="14">
        <f t="shared" si="83"/>
        <v>3.0989603249653992E-3</v>
      </c>
      <c r="EK39" s="14"/>
      <c r="EL39" s="14">
        <f t="shared" si="84"/>
        <v>0.85442631694425542</v>
      </c>
      <c r="EM39" s="109">
        <v>1</v>
      </c>
      <c r="EN39" s="109">
        <v>38.515341770839179</v>
      </c>
      <c r="EO39" s="109">
        <v>37.827442178243189</v>
      </c>
      <c r="EP39" s="109">
        <v>37.879918513450107</v>
      </c>
      <c r="EQ39" s="109">
        <v>79.068326718686748</v>
      </c>
      <c r="ER39" s="109">
        <v>80.450416724804128</v>
      </c>
      <c r="ES39" s="109">
        <v>80.283298602623219</v>
      </c>
      <c r="ET39" s="101">
        <f t="shared" si="96"/>
        <v>38.074234154177489</v>
      </c>
      <c r="EU39" s="101">
        <f t="shared" si="97"/>
        <v>0.38291041843609142</v>
      </c>
      <c r="EV39" s="101">
        <f t="shared" si="98"/>
        <v>0.22107343315958963</v>
      </c>
      <c r="EW39" s="101">
        <f t="shared" si="99"/>
        <v>79.934014015371361</v>
      </c>
      <c r="EX39" s="101">
        <f t="shared" si="100"/>
        <v>0.75434938087146231</v>
      </c>
      <c r="EY39" s="101">
        <f t="shared" si="101"/>
        <v>0.43552381810916629</v>
      </c>
      <c r="EZ39" s="99" t="s">
        <v>666</v>
      </c>
    </row>
    <row r="40" spans="2:156">
      <c r="B40" t="s">
        <v>37</v>
      </c>
      <c r="C40" t="s">
        <v>34</v>
      </c>
      <c r="D40">
        <v>15.862</v>
      </c>
      <c r="F40" t="s">
        <v>37</v>
      </c>
      <c r="G40" t="s">
        <v>35</v>
      </c>
      <c r="H40">
        <v>24.379000000000001</v>
      </c>
      <c r="I40">
        <f t="shared" ref="I40" si="116">H40-E41</f>
        <v>8.3180000000000014</v>
      </c>
      <c r="J40">
        <f t="shared" si="85"/>
        <v>3.1335201810643973E-3</v>
      </c>
      <c r="L40">
        <f t="shared" si="86"/>
        <v>0.84069661638263904</v>
      </c>
      <c r="M40" s="98" t="s">
        <v>38</v>
      </c>
      <c r="N40" s="90">
        <v>47.945510909914475</v>
      </c>
      <c r="O40" s="90">
        <v>47.879090368347534</v>
      </c>
      <c r="P40" s="90">
        <v>44.518214872311745</v>
      </c>
      <c r="Q40" s="90">
        <v>58.959695631670868</v>
      </c>
      <c r="R40" s="90">
        <v>70.897220921480525</v>
      </c>
      <c r="S40" s="90">
        <v>60.912109850556497</v>
      </c>
      <c r="T40" s="90">
        <f t="shared" ref="T40:T43" si="117">AVERAGE(N40:P40)</f>
        <v>46.780938716857918</v>
      </c>
      <c r="U40" s="90">
        <f t="shared" ref="U40:U43" si="118">STDEV(N40:P40)</f>
        <v>1.9598577294267743</v>
      </c>
      <c r="V40" s="90">
        <f t="shared" ref="V40:V43" si="119">U40/SQRT(3)</f>
        <v>1.1315243876579169</v>
      </c>
      <c r="W40" s="90">
        <f t="shared" ref="W40:W43" si="120">AVERAGE(Q40:S40)</f>
        <v>63.58967546790263</v>
      </c>
      <c r="X40" s="90">
        <f t="shared" ref="X40:X43" si="121">STDEV(Q40:S40)</f>
        <v>6.4033698735593054</v>
      </c>
      <c r="Y40" s="90">
        <f t="shared" ref="Y40:Y43" si="122">X40/SQRT(3)</f>
        <v>3.696987320220205</v>
      </c>
      <c r="Z40" s="94">
        <v>0.11609999999999999</v>
      </c>
      <c r="AB40" t="s">
        <v>37</v>
      </c>
      <c r="AC40" t="s">
        <v>34</v>
      </c>
      <c r="AD40">
        <v>15.862</v>
      </c>
      <c r="AF40" t="s">
        <v>37</v>
      </c>
      <c r="AG40" t="s">
        <v>49</v>
      </c>
      <c r="AH40">
        <v>24.062999999999999</v>
      </c>
      <c r="AI40">
        <f>AH40-AE41</f>
        <v>8.0019999999999989</v>
      </c>
      <c r="AJ40">
        <f t="shared" si="77"/>
        <v>3.9008385394571493E-3</v>
      </c>
      <c r="AL40">
        <f t="shared" si="78"/>
        <v>0.95057808102809749</v>
      </c>
      <c r="BB40" t="s">
        <v>37</v>
      </c>
      <c r="BC40" t="s">
        <v>34</v>
      </c>
      <c r="BD40">
        <v>15.862</v>
      </c>
      <c r="BF40" t="s">
        <v>37</v>
      </c>
      <c r="BG40" t="s">
        <v>52</v>
      </c>
      <c r="BH40">
        <v>23.033000000000001</v>
      </c>
      <c r="BI40">
        <f>BH40-BE41</f>
        <v>6.9720000000000013</v>
      </c>
      <c r="BJ40">
        <f t="shared" si="79"/>
        <v>7.9656068984233601E-3</v>
      </c>
      <c r="BL40">
        <f t="shared" si="80"/>
        <v>0.92006437842596389</v>
      </c>
      <c r="BM40" s="98">
        <v>1</v>
      </c>
      <c r="BN40" s="90">
        <v>13.310320305730423</v>
      </c>
      <c r="BO40" s="90">
        <v>13.384333411919791</v>
      </c>
      <c r="BP40" s="90">
        <v>13.675042240702467</v>
      </c>
      <c r="BQ40" s="90">
        <v>19.846417697833548</v>
      </c>
      <c r="BR40" s="90">
        <v>23.260443792973149</v>
      </c>
      <c r="BS40" s="90">
        <v>19.104051391410835</v>
      </c>
      <c r="BT40" s="90">
        <f t="shared" si="103"/>
        <v>13.456565319450894</v>
      </c>
      <c r="BU40" s="90">
        <f t="shared" si="104"/>
        <v>0.19279162017998697</v>
      </c>
      <c r="BV40" s="90">
        <f t="shared" si="105"/>
        <v>0.11130829380841957</v>
      </c>
      <c r="BW40" s="90">
        <f t="shared" si="106"/>
        <v>20.736970960739175</v>
      </c>
      <c r="BX40" s="90">
        <f t="shared" si="107"/>
        <v>2.2166897131748353</v>
      </c>
      <c r="BY40" s="90">
        <f t="shared" si="108"/>
        <v>1.2798064026113656</v>
      </c>
      <c r="BZ40" s="94" t="s">
        <v>666</v>
      </c>
      <c r="CB40" s="6" t="s">
        <v>37</v>
      </c>
      <c r="CC40" s="6" t="s">
        <v>34</v>
      </c>
      <c r="CD40" s="6">
        <v>15.657999999999999</v>
      </c>
      <c r="CE40" s="6"/>
      <c r="CF40" s="6" t="s">
        <v>37</v>
      </c>
      <c r="CG40" s="6" t="s">
        <v>35</v>
      </c>
      <c r="CH40" s="6">
        <v>32.515999999999998</v>
      </c>
      <c r="CI40" s="6">
        <f t="shared" ref="CI40" si="123">CH40-CE41</f>
        <v>16.997</v>
      </c>
      <c r="CJ40" s="6">
        <f t="shared" si="87"/>
        <v>7.6452759176607747E-6</v>
      </c>
      <c r="CK40" s="6"/>
      <c r="CL40" s="6">
        <f t="shared" si="88"/>
        <v>1.1077364558678833</v>
      </c>
      <c r="CM40" s="101">
        <v>1</v>
      </c>
      <c r="CN40" s="101">
        <v>100.07570859330755</v>
      </c>
      <c r="CO40" s="101">
        <v>107.25848871482251</v>
      </c>
      <c r="CP40" s="101">
        <v>102.46220405143789</v>
      </c>
      <c r="CQ40" s="101">
        <v>167.2212853396309</v>
      </c>
      <c r="CR40" s="101">
        <v>154.40917686004772</v>
      </c>
      <c r="CS40" s="101">
        <v>161.63711396832855</v>
      </c>
      <c r="CT40" s="101">
        <f t="shared" si="110"/>
        <v>103.26546711985598</v>
      </c>
      <c r="CU40" s="101">
        <f t="shared" si="111"/>
        <v>3.6581424570840491</v>
      </c>
      <c r="CV40" s="101">
        <f t="shared" si="112"/>
        <v>2.1120295323314751</v>
      </c>
      <c r="CW40" s="101">
        <f t="shared" si="113"/>
        <v>161.08919205600239</v>
      </c>
      <c r="CX40" s="101">
        <f t="shared" si="114"/>
        <v>6.4236044974497872</v>
      </c>
      <c r="CY40" s="101">
        <f t="shared" si="115"/>
        <v>3.7086697857703257</v>
      </c>
      <c r="CZ40" s="99" t="s">
        <v>666</v>
      </c>
      <c r="DB40" s="6" t="s">
        <v>37</v>
      </c>
      <c r="DC40" s="6" t="s">
        <v>34</v>
      </c>
      <c r="DD40" s="6">
        <v>15.657999999999999</v>
      </c>
      <c r="DE40" s="6"/>
      <c r="DF40" s="6" t="s">
        <v>37</v>
      </c>
      <c r="DG40" s="6" t="s">
        <v>49</v>
      </c>
      <c r="DH40" s="6">
        <v>28.646000000000001</v>
      </c>
      <c r="DI40" s="6">
        <f>DH40-DE41</f>
        <v>13.127000000000001</v>
      </c>
      <c r="DJ40" s="6">
        <f t="shared" si="81"/>
        <v>1.1178389726783766E-4</v>
      </c>
      <c r="DK40" s="6"/>
      <c r="DL40" s="6">
        <f t="shared" si="82"/>
        <v>1.1825248895791878</v>
      </c>
      <c r="DM40" s="101">
        <v>3</v>
      </c>
      <c r="DN40" s="101">
        <v>17.000876419332439</v>
      </c>
      <c r="DO40" s="101">
        <v>17.796692238336306</v>
      </c>
      <c r="DP40" s="101">
        <v>15.503663049692245</v>
      </c>
      <c r="DQ40" s="101">
        <v>26.128225029016608</v>
      </c>
      <c r="DR40" s="101">
        <v>23.207789598572763</v>
      </c>
      <c r="DS40" s="101">
        <v>26.584938357713551</v>
      </c>
      <c r="DT40" s="101">
        <f t="shared" si="90"/>
        <v>16.767077235786996</v>
      </c>
      <c r="DU40" s="101">
        <f t="shared" si="91"/>
        <v>1.1642560966828976</v>
      </c>
      <c r="DV40" s="101">
        <f t="shared" si="92"/>
        <v>0.67218357082553393</v>
      </c>
      <c r="DW40" s="101">
        <f t="shared" si="93"/>
        <v>25.306984328434307</v>
      </c>
      <c r="DX40" s="101">
        <f t="shared" si="94"/>
        <v>1.8322419740747187</v>
      </c>
      <c r="DY40" s="101">
        <f t="shared" si="95"/>
        <v>1.0578453969525703</v>
      </c>
      <c r="DZ40" s="99">
        <v>0.29299999999999998</v>
      </c>
      <c r="EB40" s="14" t="s">
        <v>37</v>
      </c>
      <c r="EC40" s="14" t="s">
        <v>34</v>
      </c>
      <c r="ED40" s="14">
        <v>15.657999999999999</v>
      </c>
      <c r="EE40" s="14"/>
      <c r="EF40" s="14" t="s">
        <v>37</v>
      </c>
      <c r="EG40" s="14" t="s">
        <v>52</v>
      </c>
      <c r="EH40" s="14">
        <v>23.902000000000001</v>
      </c>
      <c r="EI40" s="14">
        <f>EH40-EE41</f>
        <v>8.3830000000000009</v>
      </c>
      <c r="EJ40" s="14">
        <f t="shared" si="83"/>
        <v>2.9954739446740077E-3</v>
      </c>
      <c r="EK40" s="14"/>
      <c r="EL40" s="14">
        <f t="shared" si="84"/>
        <v>0.82589368745108704</v>
      </c>
      <c r="EM40" s="109">
        <v>3</v>
      </c>
      <c r="EN40" s="109">
        <v>23.387968618389145</v>
      </c>
      <c r="EO40" s="109">
        <v>22.732660844578799</v>
      </c>
      <c r="EP40" s="109">
        <v>26.239978914253271</v>
      </c>
      <c r="EQ40" s="109">
        <v>45.940500065795248</v>
      </c>
      <c r="ER40" s="109">
        <v>44.746243163095599</v>
      </c>
      <c r="ES40" s="109">
        <v>49.614663218059867</v>
      </c>
      <c r="ET40" s="101">
        <f t="shared" si="96"/>
        <v>24.120202792407071</v>
      </c>
      <c r="EU40" s="101">
        <f t="shared" si="97"/>
        <v>1.8647909198261483</v>
      </c>
      <c r="EV40" s="101">
        <f t="shared" si="98"/>
        <v>1.0766375395439967</v>
      </c>
      <c r="EW40" s="101">
        <f t="shared" si="99"/>
        <v>46.76713548231691</v>
      </c>
      <c r="EX40" s="101">
        <f t="shared" si="100"/>
        <v>2.5372964040057524</v>
      </c>
      <c r="EY40" s="101">
        <f t="shared" si="101"/>
        <v>1.4649087618665906</v>
      </c>
      <c r="EZ40" s="99" t="s">
        <v>666</v>
      </c>
    </row>
    <row r="41" spans="2:156">
      <c r="B41" t="s">
        <v>37</v>
      </c>
      <c r="C41" t="s">
        <v>34</v>
      </c>
      <c r="D41">
        <v>16.116</v>
      </c>
      <c r="E41">
        <f t="shared" ref="E41" si="124">AVERAGE(D39:D41)</f>
        <v>16.061</v>
      </c>
      <c r="F41" t="s">
        <v>37</v>
      </c>
      <c r="G41" t="s">
        <v>35</v>
      </c>
      <c r="H41">
        <v>24.288</v>
      </c>
      <c r="I41">
        <f t="shared" ref="I41" si="125">H41-E41</f>
        <v>8.2270000000000003</v>
      </c>
      <c r="J41">
        <f t="shared" si="85"/>
        <v>3.3375380503505203E-3</v>
      </c>
      <c r="L41">
        <f t="shared" si="86"/>
        <v>0.89543286267423883</v>
      </c>
      <c r="M41" s="98">
        <v>1</v>
      </c>
      <c r="N41" s="90">
        <v>69.711455191896917</v>
      </c>
      <c r="O41" s="90">
        <v>91.85738691257535</v>
      </c>
      <c r="P41" s="90">
        <v>66.686546749024728</v>
      </c>
      <c r="Q41" s="90">
        <v>115.893606701529</v>
      </c>
      <c r="R41" s="90">
        <v>138.87635442600461</v>
      </c>
      <c r="S41" s="90">
        <v>138.49184070745835</v>
      </c>
      <c r="T41" s="90">
        <f t="shared" si="117"/>
        <v>76.085129617832322</v>
      </c>
      <c r="U41" s="90">
        <f t="shared" si="118"/>
        <v>13.742655962390334</v>
      </c>
      <c r="V41" s="90">
        <f t="shared" si="119"/>
        <v>7.9343261192664754</v>
      </c>
      <c r="W41" s="90">
        <f t="shared" si="120"/>
        <v>131.08726727833064</v>
      </c>
      <c r="X41" s="90">
        <f t="shared" si="121"/>
        <v>13.159500522141036</v>
      </c>
      <c r="Y41" s="90">
        <f t="shared" si="122"/>
        <v>7.5976411688591483</v>
      </c>
      <c r="Z41" s="94" t="s">
        <v>666</v>
      </c>
      <c r="AB41" t="s">
        <v>37</v>
      </c>
      <c r="AC41" t="s">
        <v>34</v>
      </c>
      <c r="AD41">
        <v>16.116</v>
      </c>
      <c r="AE41">
        <f>AVERAGE(AD39:AD41)</f>
        <v>16.061</v>
      </c>
      <c r="AF41" t="s">
        <v>37</v>
      </c>
      <c r="AG41" t="s">
        <v>49</v>
      </c>
      <c r="AH41">
        <v>24.276</v>
      </c>
      <c r="AI41">
        <f>AH41-AE41</f>
        <v>8.2149999999999999</v>
      </c>
      <c r="AJ41">
        <f t="shared" si="77"/>
        <v>3.3654146863750676E-3</v>
      </c>
      <c r="AL41">
        <f t="shared" si="78"/>
        <v>0.82010301171895772</v>
      </c>
      <c r="BB41" t="s">
        <v>37</v>
      </c>
      <c r="BC41" t="s">
        <v>34</v>
      </c>
      <c r="BD41">
        <v>16.116</v>
      </c>
      <c r="BE41">
        <f>AVERAGE(BD39:BD41)</f>
        <v>16.061</v>
      </c>
      <c r="BF41" t="s">
        <v>37</v>
      </c>
      <c r="BG41" t="s">
        <v>52</v>
      </c>
      <c r="BH41">
        <v>23.26</v>
      </c>
      <c r="BI41">
        <f>BH41-BE41</f>
        <v>7.1990000000000016</v>
      </c>
      <c r="BJ41">
        <f t="shared" si="79"/>
        <v>6.8058921261113679E-3</v>
      </c>
      <c r="BL41">
        <f t="shared" si="80"/>
        <v>0.78611196717280052</v>
      </c>
      <c r="BM41" s="98">
        <v>3</v>
      </c>
      <c r="BN41" s="90">
        <v>9.8706155107544902</v>
      </c>
      <c r="BO41" s="90">
        <v>8.9020650986274017</v>
      </c>
      <c r="BP41" s="90">
        <v>9.133324239560249</v>
      </c>
      <c r="BQ41" s="90">
        <v>22.887268433647403</v>
      </c>
      <c r="BR41" s="90">
        <v>20.987717691565312</v>
      </c>
      <c r="BS41" s="90">
        <v>20.88613129957659</v>
      </c>
      <c r="BT41" s="90">
        <f t="shared" si="103"/>
        <v>9.3020016163140475</v>
      </c>
      <c r="BU41" s="90">
        <f t="shared" si="104"/>
        <v>0.50582755784881395</v>
      </c>
      <c r="BV41" s="90">
        <f t="shared" si="105"/>
        <v>0.29203967668754377</v>
      </c>
      <c r="BW41" s="90">
        <f t="shared" si="106"/>
        <v>21.587039141596435</v>
      </c>
      <c r="BX41" s="90">
        <f t="shared" si="107"/>
        <v>1.1271766089170954</v>
      </c>
      <c r="BY41" s="90">
        <f t="shared" si="108"/>
        <v>0.65077571858253458</v>
      </c>
      <c r="BZ41" s="94" t="s">
        <v>666</v>
      </c>
      <c r="CB41" s="6" t="s">
        <v>37</v>
      </c>
      <c r="CC41" s="6" t="s">
        <v>34</v>
      </c>
      <c r="CD41" s="6">
        <v>15.381</v>
      </c>
      <c r="CE41" s="6">
        <f t="shared" ref="CE41" si="126">AVERAGE(CD39:CD41)</f>
        <v>15.519</v>
      </c>
      <c r="CF41" s="6" t="s">
        <v>37</v>
      </c>
      <c r="CG41" s="6" t="s">
        <v>35</v>
      </c>
      <c r="CH41" s="6">
        <v>33.31</v>
      </c>
      <c r="CI41" s="6">
        <f t="shared" ref="CI41" si="127">CH41-CE41</f>
        <v>17.791000000000004</v>
      </c>
      <c r="CJ41" s="6">
        <f t="shared" si="87"/>
        <v>4.4093578588668704E-6</v>
      </c>
      <c r="CK41" s="6"/>
      <c r="CL41" s="6">
        <f t="shared" si="88"/>
        <v>0.63887902802190399</v>
      </c>
      <c r="CM41" s="101">
        <v>3</v>
      </c>
      <c r="CN41" s="101">
        <v>60.475603408844329</v>
      </c>
      <c r="CO41" s="101">
        <v>59.767171114809656</v>
      </c>
      <c r="CP41" s="101">
        <v>44.393647804620436</v>
      </c>
      <c r="CQ41" s="101">
        <v>99.960163355614483</v>
      </c>
      <c r="CR41" s="101">
        <v>115.78313812084966</v>
      </c>
      <c r="CS41" s="101">
        <v>104.63932678851563</v>
      </c>
      <c r="CT41" s="101">
        <f t="shared" si="110"/>
        <v>54.878807442758138</v>
      </c>
      <c r="CU41" s="101">
        <f t="shared" si="111"/>
        <v>9.0873207578874187</v>
      </c>
      <c r="CV41" s="101">
        <f t="shared" si="112"/>
        <v>5.2465670857787758</v>
      </c>
      <c r="CW41" s="101">
        <f t="shared" si="113"/>
        <v>106.79420942165991</v>
      </c>
      <c r="CX41" s="101">
        <f t="shared" si="114"/>
        <v>8.1286082435609739</v>
      </c>
      <c r="CY41" s="101">
        <f t="shared" si="115"/>
        <v>4.69305415755694</v>
      </c>
      <c r="CZ41" s="99" t="s">
        <v>666</v>
      </c>
      <c r="DB41" s="6" t="s">
        <v>37</v>
      </c>
      <c r="DC41" s="6" t="s">
        <v>34</v>
      </c>
      <c r="DD41" s="6">
        <v>15.381</v>
      </c>
      <c r="DE41" s="6">
        <f>AVERAGE(DD39:DD41)</f>
        <v>15.519</v>
      </c>
      <c r="DF41" s="6" t="s">
        <v>37</v>
      </c>
      <c r="DG41" s="6" t="s">
        <v>49</v>
      </c>
      <c r="DH41" s="6">
        <v>28.478999999999999</v>
      </c>
      <c r="DI41" s="6">
        <f>DH41-DE41</f>
        <v>12.959999999999999</v>
      </c>
      <c r="DJ41" s="6">
        <f t="shared" si="81"/>
        <v>1.2550217610547709E-4</v>
      </c>
      <c r="DK41" s="6"/>
      <c r="DL41" s="6">
        <f t="shared" si="82"/>
        <v>1.3276460256657849</v>
      </c>
      <c r="DM41" s="101">
        <v>6</v>
      </c>
      <c r="DN41" s="101">
        <v>11.603894799286378</v>
      </c>
      <c r="DO41" s="101">
        <v>12.16392748793796</v>
      </c>
      <c r="DP41" s="101">
        <v>9.676848102403957</v>
      </c>
      <c r="DQ41" s="101">
        <v>51.240188674658356</v>
      </c>
      <c r="DR41" s="101">
        <v>23.234615780878585</v>
      </c>
      <c r="DS41" s="101">
        <v>21.188416718692185</v>
      </c>
      <c r="DT41" s="101">
        <f t="shared" si="90"/>
        <v>11.148223463209431</v>
      </c>
      <c r="DU41" s="101">
        <f t="shared" si="91"/>
        <v>1.3046525370299404</v>
      </c>
      <c r="DV41" s="101">
        <f t="shared" si="92"/>
        <v>0.75324149345316438</v>
      </c>
      <c r="DW41" s="101">
        <f t="shared" si="93"/>
        <v>31.887740391409707</v>
      </c>
      <c r="DX41" s="101">
        <f t="shared" si="94"/>
        <v>16.790910444862227</v>
      </c>
      <c r="DY41" s="101">
        <f t="shared" si="95"/>
        <v>9.6942366652801066</v>
      </c>
      <c r="DZ41" s="99">
        <v>6.9999999999999999E-4</v>
      </c>
      <c r="EB41" s="14" t="s">
        <v>37</v>
      </c>
      <c r="EC41" s="14" t="s">
        <v>34</v>
      </c>
      <c r="ED41" s="14">
        <v>15.381</v>
      </c>
      <c r="EE41" s="14">
        <f>AVERAGE(ED39:ED41)</f>
        <v>15.519</v>
      </c>
      <c r="EF41" s="14" t="s">
        <v>37</v>
      </c>
      <c r="EG41" s="14" t="s">
        <v>52</v>
      </c>
      <c r="EH41" s="14">
        <v>23.655000000000001</v>
      </c>
      <c r="EI41" s="14">
        <f>EH41-EE41</f>
        <v>8.136000000000001</v>
      </c>
      <c r="EJ41" s="14">
        <f t="shared" si="83"/>
        <v>3.5548391565660099E-3</v>
      </c>
      <c r="EK41" s="14"/>
      <c r="EL41" s="14">
        <f t="shared" si="84"/>
        <v>0.98011842985044728</v>
      </c>
      <c r="EM41" s="109">
        <v>6</v>
      </c>
      <c r="EN41" s="109">
        <v>16.175009512279193</v>
      </c>
      <c r="EO41" s="109">
        <v>16.641281786665481</v>
      </c>
      <c r="EP41" s="109">
        <v>16.276229866881984</v>
      </c>
      <c r="EQ41" s="109">
        <v>43.212036600196477</v>
      </c>
      <c r="ER41" s="109">
        <v>41.336986739512611</v>
      </c>
      <c r="ES41" s="109">
        <v>40.90942408290578</v>
      </c>
      <c r="ET41" s="101">
        <f t="shared" si="96"/>
        <v>16.364173721942219</v>
      </c>
      <c r="EU41" s="101">
        <f t="shared" si="97"/>
        <v>0.2452611866918249</v>
      </c>
      <c r="EV41" s="101">
        <f t="shared" si="98"/>
        <v>0.14160161215829217</v>
      </c>
      <c r="EW41" s="101">
        <f t="shared" si="99"/>
        <v>41.81948247420496</v>
      </c>
      <c r="EX41" s="101">
        <f t="shared" si="100"/>
        <v>1.2247888396344815</v>
      </c>
      <c r="EY41" s="101">
        <f t="shared" si="101"/>
        <v>0.70713216626341735</v>
      </c>
      <c r="EZ41" s="99" t="s">
        <v>666</v>
      </c>
    </row>
    <row r="42" spans="2:156">
      <c r="B42" t="s">
        <v>39</v>
      </c>
      <c r="C42" t="s">
        <v>34</v>
      </c>
      <c r="D42">
        <v>16.91</v>
      </c>
      <c r="F42" t="s">
        <v>39</v>
      </c>
      <c r="G42" t="s">
        <v>35</v>
      </c>
      <c r="H42">
        <v>19.422000000000001</v>
      </c>
      <c r="I42">
        <f>H42-E44</f>
        <v>2.4843333333333355</v>
      </c>
      <c r="J42">
        <f t="shared" si="85"/>
        <v>0.17870682848006139</v>
      </c>
      <c r="L42">
        <f t="shared" si="86"/>
        <v>47.945510909914475</v>
      </c>
      <c r="M42" s="98">
        <v>3</v>
      </c>
      <c r="N42" s="90">
        <v>85.567468549418308</v>
      </c>
      <c r="O42" s="90">
        <v>109.06092639246765</v>
      </c>
      <c r="P42" s="90">
        <v>98.223103695339091</v>
      </c>
      <c r="Q42" s="90">
        <v>129.27718138078751</v>
      </c>
      <c r="R42" s="90">
        <v>130.08617516415922</v>
      </c>
      <c r="S42" s="90">
        <v>150.78235903151102</v>
      </c>
      <c r="T42" s="90">
        <f t="shared" si="117"/>
        <v>97.61716621240835</v>
      </c>
      <c r="U42" s="90">
        <f t="shared" si="118"/>
        <v>11.758444222374807</v>
      </c>
      <c r="V42" s="90">
        <f t="shared" si="119"/>
        <v>6.7887409370392948</v>
      </c>
      <c r="W42" s="90">
        <f t="shared" si="120"/>
        <v>136.71523852548592</v>
      </c>
      <c r="X42" s="90">
        <f t="shared" si="121"/>
        <v>12.189197152957101</v>
      </c>
      <c r="Y42" s="90">
        <f t="shared" si="122"/>
        <v>7.0374362574652025</v>
      </c>
      <c r="Z42" s="94" t="s">
        <v>666</v>
      </c>
      <c r="AB42" t="s">
        <v>39</v>
      </c>
      <c r="AC42" t="s">
        <v>34</v>
      </c>
      <c r="AD42">
        <v>16.91</v>
      </c>
      <c r="AF42" t="s">
        <v>39</v>
      </c>
      <c r="AG42" t="s">
        <v>49</v>
      </c>
      <c r="AH42">
        <v>22.084</v>
      </c>
      <c r="AI42">
        <f>AH42-AE44</f>
        <v>5.1463333333333345</v>
      </c>
      <c r="AJ42">
        <f t="shared" si="77"/>
        <v>2.8235748114184004E-2</v>
      </c>
      <c r="AL42">
        <f t="shared" si="78"/>
        <v>6.8806445043246818</v>
      </c>
      <c r="BB42" t="s">
        <v>39</v>
      </c>
      <c r="BC42" t="s">
        <v>34</v>
      </c>
      <c r="BD42">
        <v>16.91</v>
      </c>
      <c r="BF42" t="s">
        <v>39</v>
      </c>
      <c r="BG42" t="s">
        <v>52</v>
      </c>
      <c r="BH42">
        <v>20.433</v>
      </c>
      <c r="BI42">
        <f>BH42-BE44</f>
        <v>3.4953333333333347</v>
      </c>
      <c r="BJ42">
        <f t="shared" si="79"/>
        <v>8.8674719184920647E-2</v>
      </c>
      <c r="BL42">
        <f t="shared" si="80"/>
        <v>10.242339526586404</v>
      </c>
      <c r="BM42" s="98">
        <v>6</v>
      </c>
      <c r="BN42" s="90">
        <v>16.135205541728126</v>
      </c>
      <c r="BO42" s="90">
        <v>16.090531213200407</v>
      </c>
      <c r="BP42" s="90">
        <v>15.58558120742468</v>
      </c>
      <c r="BQ42" s="90">
        <v>22.887268433647403</v>
      </c>
      <c r="BR42" s="90">
        <v>22.354190283791393</v>
      </c>
      <c r="BS42" s="90">
        <v>21.909328827584869</v>
      </c>
      <c r="BT42" s="90">
        <f t="shared" si="103"/>
        <v>15.937105987451071</v>
      </c>
      <c r="BU42" s="90">
        <f t="shared" si="104"/>
        <v>0.30524777171472162</v>
      </c>
      <c r="BV42" s="90">
        <f t="shared" si="105"/>
        <v>0.17623488316902797</v>
      </c>
      <c r="BW42" s="90">
        <f t="shared" si="106"/>
        <v>22.383595848341219</v>
      </c>
      <c r="BX42" s="90">
        <f t="shared" si="107"/>
        <v>0.48963249861126135</v>
      </c>
      <c r="BY42" s="90">
        <f t="shared" si="108"/>
        <v>0.28268945487720082</v>
      </c>
      <c r="BZ42" s="94" t="s">
        <v>666</v>
      </c>
      <c r="CB42" s="6" t="s">
        <v>39</v>
      </c>
      <c r="CC42" s="6" t="s">
        <v>34</v>
      </c>
      <c r="CD42" s="6">
        <v>15.802</v>
      </c>
      <c r="CE42" s="6"/>
      <c r="CF42" s="6" t="s">
        <v>330</v>
      </c>
      <c r="CG42" s="6" t="s">
        <v>35</v>
      </c>
      <c r="CH42" s="6">
        <v>30.995000000000001</v>
      </c>
      <c r="CI42" s="6">
        <f t="shared" ref="CI42" si="128">CH42-CE44</f>
        <v>15.328666666666667</v>
      </c>
      <c r="CJ42" s="6">
        <f t="shared" si="87"/>
        <v>2.4300294660538239E-5</v>
      </c>
      <c r="CK42" s="6"/>
      <c r="CL42" s="6">
        <f t="shared" si="88"/>
        <v>3.5209091959163823</v>
      </c>
      <c r="CM42" s="101">
        <v>6</v>
      </c>
      <c r="CN42" s="101">
        <v>77.293830206164202</v>
      </c>
      <c r="CO42" s="101">
        <v>65.949113154942168</v>
      </c>
      <c r="CP42" s="101">
        <v>67.662348801336734</v>
      </c>
      <c r="CQ42" s="101">
        <v>151.16161431096546</v>
      </c>
      <c r="CR42" s="101">
        <v>151.58130484380305</v>
      </c>
      <c r="CS42" s="101">
        <v>164.50048424466539</v>
      </c>
      <c r="CT42" s="101">
        <f t="shared" si="110"/>
        <v>70.301764054147711</v>
      </c>
      <c r="CU42" s="101">
        <f t="shared" si="111"/>
        <v>6.1155977549746003</v>
      </c>
      <c r="CV42" s="101">
        <f t="shared" si="112"/>
        <v>3.5308420100900566</v>
      </c>
      <c r="CW42" s="101">
        <f t="shared" si="113"/>
        <v>155.74780113314463</v>
      </c>
      <c r="CX42" s="101">
        <f t="shared" si="114"/>
        <v>7.5829500376742454</v>
      </c>
      <c r="CY42" s="101">
        <f t="shared" si="115"/>
        <v>4.3780182455027088</v>
      </c>
      <c r="CZ42" s="99" t="s">
        <v>666</v>
      </c>
      <c r="DB42" s="6" t="s">
        <v>39</v>
      </c>
      <c r="DC42" s="6" t="s">
        <v>34</v>
      </c>
      <c r="DD42" s="6">
        <v>15.802</v>
      </c>
      <c r="DE42" s="6"/>
      <c r="DF42" s="6" t="s">
        <v>39</v>
      </c>
      <c r="DG42" s="6" t="s">
        <v>49</v>
      </c>
      <c r="DH42" s="6">
        <v>27.018000000000001</v>
      </c>
      <c r="DI42" s="6">
        <f>DH42-DE44</f>
        <v>11.351666666666667</v>
      </c>
      <c r="DJ42" s="6">
        <f t="shared" si="81"/>
        <v>3.8265538776983998E-4</v>
      </c>
      <c r="DK42" s="6"/>
      <c r="DL42" s="6">
        <f t="shared" si="82"/>
        <v>4.0479848281296587</v>
      </c>
      <c r="DM42" s="108"/>
      <c r="DN42" s="101"/>
      <c r="DO42" s="101"/>
      <c r="DP42" s="101"/>
      <c r="DQ42" s="101"/>
      <c r="DR42" s="101"/>
      <c r="DS42" s="101"/>
      <c r="DT42" s="101"/>
      <c r="DU42" s="101"/>
      <c r="DV42" s="101"/>
      <c r="DW42" s="101"/>
      <c r="DX42" s="101"/>
      <c r="DY42" s="101"/>
      <c r="DZ42" s="101"/>
      <c r="EB42" s="14" t="s">
        <v>39</v>
      </c>
      <c r="EC42" s="14" t="s">
        <v>34</v>
      </c>
      <c r="ED42" s="14">
        <v>15.802</v>
      </c>
      <c r="EE42" s="14"/>
      <c r="EF42" s="14" t="s">
        <v>39</v>
      </c>
      <c r="EG42" s="14" t="s">
        <v>52</v>
      </c>
      <c r="EH42" s="14">
        <v>21.486999999999998</v>
      </c>
      <c r="EI42" s="14">
        <f>EH42-EE44</f>
        <v>5.8206666666666642</v>
      </c>
      <c r="EJ42" s="14">
        <f t="shared" si="83"/>
        <v>1.7693132854971417E-2</v>
      </c>
      <c r="EK42" s="14"/>
      <c r="EL42" s="14">
        <f t="shared" si="84"/>
        <v>4.8782419764110454</v>
      </c>
      <c r="EM42" s="14"/>
      <c r="EN42" s="14"/>
      <c r="EO42" s="10"/>
      <c r="EP42" s="10"/>
      <c r="EQ42" s="10"/>
      <c r="ER42" s="10"/>
      <c r="ES42" s="10"/>
    </row>
    <row r="43" spans="2:156">
      <c r="B43" t="s">
        <v>39</v>
      </c>
      <c r="C43" t="s">
        <v>34</v>
      </c>
      <c r="D43">
        <v>16.97</v>
      </c>
      <c r="F43" t="s">
        <v>39</v>
      </c>
      <c r="G43" t="s">
        <v>35</v>
      </c>
      <c r="H43">
        <v>19.423999999999999</v>
      </c>
      <c r="I43">
        <f>H43-E44</f>
        <v>2.4863333333333344</v>
      </c>
      <c r="J43">
        <f t="shared" si="85"/>
        <v>0.17845925985259053</v>
      </c>
      <c r="L43">
        <f t="shared" si="86"/>
        <v>47.879090368347534</v>
      </c>
      <c r="M43" s="98">
        <v>6</v>
      </c>
      <c r="N43" s="90">
        <v>108.08260225190324</v>
      </c>
      <c r="O43" s="90">
        <v>107.93287175911449</v>
      </c>
      <c r="P43" s="90">
        <v>104.69077448014012</v>
      </c>
      <c r="Q43" s="90">
        <v>133.37309349804943</v>
      </c>
      <c r="R43" s="90">
        <v>127.94002307609233</v>
      </c>
      <c r="S43" s="90">
        <v>125.22022933738074</v>
      </c>
      <c r="T43" s="90">
        <f t="shared" si="117"/>
        <v>106.90208283038595</v>
      </c>
      <c r="U43" s="90">
        <f t="shared" si="118"/>
        <v>1.9165120062284737</v>
      </c>
      <c r="V43" s="90">
        <f t="shared" si="119"/>
        <v>1.1064987227011591</v>
      </c>
      <c r="W43" s="90">
        <f t="shared" si="120"/>
        <v>128.84444863717417</v>
      </c>
      <c r="X43" s="90">
        <f t="shared" si="121"/>
        <v>4.150998398245008</v>
      </c>
      <c r="Y43" s="90">
        <f t="shared" si="122"/>
        <v>2.3965800426324608</v>
      </c>
      <c r="Z43" s="94">
        <v>2.3400000000000001E-2</v>
      </c>
      <c r="AB43" t="s">
        <v>39</v>
      </c>
      <c r="AC43" t="s">
        <v>34</v>
      </c>
      <c r="AD43">
        <v>16.97</v>
      </c>
      <c r="AF43" t="s">
        <v>39</v>
      </c>
      <c r="AG43" t="s">
        <v>49</v>
      </c>
      <c r="AH43">
        <v>22.353999999999999</v>
      </c>
      <c r="AI43">
        <f>AH43-AE44</f>
        <v>5.4163333333333341</v>
      </c>
      <c r="AJ43">
        <f t="shared" si="77"/>
        <v>2.3416457801786066E-2</v>
      </c>
      <c r="AL43">
        <f t="shared" si="78"/>
        <v>5.7062529752371818</v>
      </c>
      <c r="AM43" s="101"/>
      <c r="AN43" s="101" t="s">
        <v>36</v>
      </c>
      <c r="AO43" s="101"/>
      <c r="AP43" s="101"/>
      <c r="AQ43" s="101" t="s">
        <v>2</v>
      </c>
      <c r="AR43" s="101"/>
      <c r="AS43" s="101"/>
      <c r="AT43" s="101" t="s">
        <v>663</v>
      </c>
      <c r="AU43" s="101" t="s">
        <v>396</v>
      </c>
      <c r="AV43" s="101" t="s">
        <v>664</v>
      </c>
      <c r="AW43" s="101" t="s">
        <v>663</v>
      </c>
      <c r="AX43" s="101" t="s">
        <v>396</v>
      </c>
      <c r="AY43" s="101" t="s">
        <v>664</v>
      </c>
      <c r="AZ43" s="101" t="s">
        <v>665</v>
      </c>
      <c r="BB43" t="s">
        <v>39</v>
      </c>
      <c r="BC43" t="s">
        <v>34</v>
      </c>
      <c r="BD43">
        <v>16.97</v>
      </c>
      <c r="BF43" t="s">
        <v>39</v>
      </c>
      <c r="BG43" t="s">
        <v>52</v>
      </c>
      <c r="BH43">
        <v>20.251000000000001</v>
      </c>
      <c r="BI43">
        <f>BH43-BE44</f>
        <v>3.3133333333333361</v>
      </c>
      <c r="BJ43">
        <f t="shared" si="79"/>
        <v>0.10059752155448862</v>
      </c>
      <c r="BL43">
        <f t="shared" si="80"/>
        <v>11.619478254512259</v>
      </c>
      <c r="BM43" s="90"/>
      <c r="BN43" s="90"/>
      <c r="BO43" s="90"/>
      <c r="BP43" s="90"/>
      <c r="BQ43" s="90"/>
      <c r="BR43" s="90"/>
      <c r="BS43" s="90"/>
      <c r="BT43" s="90"/>
      <c r="BU43" s="90"/>
      <c r="BV43" s="90"/>
      <c r="BW43" s="90"/>
      <c r="BX43" s="90"/>
      <c r="BY43" s="90"/>
      <c r="BZ43" s="90"/>
      <c r="CB43" s="6" t="s">
        <v>39</v>
      </c>
      <c r="CC43" s="6" t="s">
        <v>34</v>
      </c>
      <c r="CD43" s="6">
        <v>16.013000000000002</v>
      </c>
      <c r="CE43" s="6"/>
      <c r="CF43" s="6" t="s">
        <v>330</v>
      </c>
      <c r="CG43" s="6" t="s">
        <v>35</v>
      </c>
      <c r="CH43" s="6">
        <v>31.186</v>
      </c>
      <c r="CI43" s="6">
        <f t="shared" ref="CI43" si="129">CH43-CE44</f>
        <v>15.519666666666666</v>
      </c>
      <c r="CJ43" s="6">
        <f t="shared" si="87"/>
        <v>2.1287017178266169E-5</v>
      </c>
      <c r="CK43" s="6"/>
      <c r="CL43" s="6">
        <f t="shared" si="88"/>
        <v>3.0843105231270993</v>
      </c>
      <c r="CM43" s="108"/>
      <c r="CN43" s="101"/>
      <c r="CO43" s="101"/>
      <c r="CP43" s="101"/>
      <c r="CQ43" s="101"/>
      <c r="CR43" s="101"/>
      <c r="CS43" s="101"/>
      <c r="CT43" s="101"/>
      <c r="CU43" s="101"/>
      <c r="CV43" s="101"/>
      <c r="CW43" s="101"/>
      <c r="CX43" s="101"/>
      <c r="CY43" s="101"/>
      <c r="CZ43" s="101"/>
      <c r="DB43" s="6" t="s">
        <v>39</v>
      </c>
      <c r="DC43" s="6" t="s">
        <v>34</v>
      </c>
      <c r="DD43" s="6">
        <v>16.013000000000002</v>
      </c>
      <c r="DE43" s="6"/>
      <c r="DF43" s="6" t="s">
        <v>39</v>
      </c>
      <c r="DG43" s="6" t="s">
        <v>49</v>
      </c>
      <c r="DH43" s="6">
        <v>27.058</v>
      </c>
      <c r="DI43" s="6">
        <f>DH43-DE44</f>
        <v>11.391666666666666</v>
      </c>
      <c r="DJ43" s="6">
        <f t="shared" si="81"/>
        <v>3.721916560683017E-4</v>
      </c>
      <c r="DK43" s="6"/>
      <c r="DL43" s="6">
        <f t="shared" si="82"/>
        <v>3.9372924701301857</v>
      </c>
      <c r="DM43" s="6"/>
      <c r="EB43" s="14" t="s">
        <v>39</v>
      </c>
      <c r="EC43" s="14" t="s">
        <v>34</v>
      </c>
      <c r="ED43" s="14">
        <v>16.013000000000002</v>
      </c>
      <c r="EE43" s="14"/>
      <c r="EF43" s="14" t="s">
        <v>39</v>
      </c>
      <c r="EG43" s="14" t="s">
        <v>52</v>
      </c>
      <c r="EH43" s="14">
        <v>21.661000000000001</v>
      </c>
      <c r="EI43" s="14">
        <f>EH43-EE44</f>
        <v>5.9946666666666673</v>
      </c>
      <c r="EJ43" s="14">
        <f t="shared" si="83"/>
        <v>1.5682869164070062E-2</v>
      </c>
      <c r="EK43" s="14"/>
      <c r="EL43" s="14">
        <f t="shared" si="84"/>
        <v>4.3239844121349407</v>
      </c>
      <c r="EM43" s="14"/>
      <c r="EN43" s="14"/>
      <c r="EO43" s="10"/>
      <c r="EP43" s="10"/>
      <c r="EQ43" s="10"/>
      <c r="ER43" s="10"/>
      <c r="ES43" s="10"/>
    </row>
    <row r="44" spans="2:156">
      <c r="B44" t="s">
        <v>39</v>
      </c>
      <c r="C44" t="s">
        <v>34</v>
      </c>
      <c r="D44">
        <v>16.933</v>
      </c>
      <c r="E44">
        <f t="shared" ref="E44" si="130">AVERAGE(D42:D44)</f>
        <v>16.937666666666665</v>
      </c>
      <c r="F44" t="s">
        <v>39</v>
      </c>
      <c r="G44" t="s">
        <v>35</v>
      </c>
      <c r="H44">
        <v>19.529</v>
      </c>
      <c r="I44">
        <f>H44-E44</f>
        <v>2.5913333333333348</v>
      </c>
      <c r="J44">
        <f t="shared" si="85"/>
        <v>0.1659323018660252</v>
      </c>
      <c r="L44">
        <f t="shared" si="86"/>
        <v>44.518214872311745</v>
      </c>
      <c r="O44" s="4"/>
      <c r="AB44" t="s">
        <v>39</v>
      </c>
      <c r="AC44" t="s">
        <v>34</v>
      </c>
      <c r="AD44">
        <v>16.933</v>
      </c>
      <c r="AE44">
        <f>AVERAGE(AD42:AD44)</f>
        <v>16.937666666666665</v>
      </c>
      <c r="AF44" t="s">
        <v>39</v>
      </c>
      <c r="AG44" t="s">
        <v>49</v>
      </c>
      <c r="AH44">
        <v>22.148</v>
      </c>
      <c r="AI44">
        <f>AH44-AE44</f>
        <v>5.2103333333333346</v>
      </c>
      <c r="AJ44">
        <f t="shared" si="77"/>
        <v>2.7010546995855672E-2</v>
      </c>
      <c r="AL44">
        <f t="shared" si="78"/>
        <v>6.5820806657670108</v>
      </c>
      <c r="AM44" s="101">
        <v>0</v>
      </c>
      <c r="AN44" s="101">
        <v>0.95409866719976955</v>
      </c>
      <c r="AO44" s="101">
        <v>1.1236637438833663</v>
      </c>
      <c r="AP44" s="101">
        <v>0.92223758891686192</v>
      </c>
      <c r="AQ44" s="101">
        <v>0.92394382235110795</v>
      </c>
      <c r="AR44" s="101">
        <v>0.95057808102809749</v>
      </c>
      <c r="AS44" s="101">
        <v>0.82010301171895772</v>
      </c>
      <c r="AT44" s="101">
        <f>AVERAGE(AN44:AP44)</f>
        <v>0.99999999999999922</v>
      </c>
      <c r="AU44" s="101">
        <f>STDEV(AN44:AP44)</f>
        <v>0.10827429630699821</v>
      </c>
      <c r="AV44" s="101">
        <f>AU44/SQRT(3)</f>
        <v>6.2512194119162728E-2</v>
      </c>
      <c r="AW44" s="101">
        <f>AVERAGE(AQ44:AS44)</f>
        <v>0.89820830503272109</v>
      </c>
      <c r="AX44" s="101">
        <f>STDEV(AQ44:AS44)</f>
        <v>6.8939637122195169E-2</v>
      </c>
      <c r="AY44" s="101">
        <f>AX44/SQRT(3)</f>
        <v>3.9802318050334504E-2</v>
      </c>
      <c r="AZ44" s="99" t="s">
        <v>681</v>
      </c>
      <c r="BB44" t="s">
        <v>39</v>
      </c>
      <c r="BC44" t="s">
        <v>34</v>
      </c>
      <c r="BD44">
        <v>16.933</v>
      </c>
      <c r="BE44">
        <f>AVERAGE(BD42:BD44)</f>
        <v>16.937666666666665</v>
      </c>
      <c r="BF44" t="s">
        <v>39</v>
      </c>
      <c r="BG44" t="s">
        <v>52</v>
      </c>
      <c r="BH44">
        <v>20.228999999999999</v>
      </c>
      <c r="BI44">
        <f>BH44-BE44</f>
        <v>3.2913333333333341</v>
      </c>
      <c r="BJ44">
        <f t="shared" si="79"/>
        <v>0.10214331321790963</v>
      </c>
      <c r="BL44">
        <f t="shared" si="80"/>
        <v>11.798024329421253</v>
      </c>
      <c r="CB44" s="6" t="s">
        <v>39</v>
      </c>
      <c r="CC44" s="6" t="s">
        <v>34</v>
      </c>
      <c r="CD44" s="6">
        <v>15.183999999999999</v>
      </c>
      <c r="CE44" s="6">
        <f t="shared" ref="CE44" si="131">AVERAGE(CD42:CD44)</f>
        <v>15.666333333333334</v>
      </c>
      <c r="CF44" s="6" t="s">
        <v>330</v>
      </c>
      <c r="CG44" s="6" t="s">
        <v>35</v>
      </c>
      <c r="CH44" s="6">
        <v>31.234000000000002</v>
      </c>
      <c r="CI44" s="6">
        <f t="shared" ref="CI44" si="132">CH44-CE44</f>
        <v>15.567666666666668</v>
      </c>
      <c r="CJ44" s="6">
        <f t="shared" si="87"/>
        <v>2.0590427844621989E-5</v>
      </c>
      <c r="CK44" s="6"/>
      <c r="CL44" s="6">
        <f t="shared" si="88"/>
        <v>2.9833805622000025</v>
      </c>
      <c r="CM44" s="108"/>
      <c r="CN44" s="101"/>
      <c r="CO44" s="101"/>
      <c r="CP44" s="101"/>
      <c r="CQ44" s="101"/>
      <c r="CR44" s="101"/>
      <c r="CS44" s="101"/>
      <c r="CT44" s="101"/>
      <c r="CU44" s="101"/>
      <c r="CV44" s="101"/>
      <c r="CW44" s="101"/>
      <c r="CX44" s="101"/>
      <c r="CY44" s="101"/>
      <c r="CZ44" s="101"/>
      <c r="DB44" s="6" t="s">
        <v>39</v>
      </c>
      <c r="DC44" s="6" t="s">
        <v>34</v>
      </c>
      <c r="DD44" s="6">
        <v>15.183999999999999</v>
      </c>
      <c r="DE44" s="6">
        <f>AVERAGE(DD42:DD44)</f>
        <v>15.666333333333334</v>
      </c>
      <c r="DF44" s="6" t="s">
        <v>39</v>
      </c>
      <c r="DG44" s="6" t="s">
        <v>49</v>
      </c>
      <c r="DH44" s="6">
        <v>26.768000000000001</v>
      </c>
      <c r="DI44" s="6">
        <f>DH44-DE44</f>
        <v>11.101666666666667</v>
      </c>
      <c r="DJ44" s="6">
        <f t="shared" si="81"/>
        <v>4.5505650973001868E-4</v>
      </c>
      <c r="DK44" s="6"/>
      <c r="DL44" s="6">
        <f t="shared" si="82"/>
        <v>4.8138923590348552</v>
      </c>
      <c r="DM44" s="6"/>
      <c r="EB44" s="14" t="s">
        <v>39</v>
      </c>
      <c r="EC44" s="14" t="s">
        <v>34</v>
      </c>
      <c r="ED44" s="14">
        <v>15.183999999999999</v>
      </c>
      <c r="EE44" s="14">
        <f>AVERAGE(ED42:ED44)</f>
        <v>15.666333333333334</v>
      </c>
      <c r="EF44" s="14" t="s">
        <v>39</v>
      </c>
      <c r="EG44" s="14" t="s">
        <v>52</v>
      </c>
      <c r="EH44" s="14">
        <v>21.68</v>
      </c>
      <c r="EI44" s="14">
        <f>EH44-EE44</f>
        <v>6.0136666666666656</v>
      </c>
      <c r="EJ44" s="14">
        <f t="shared" si="83"/>
        <v>1.5477683064983616E-2</v>
      </c>
      <c r="EK44" s="14"/>
      <c r="EL44" s="14">
        <f t="shared" si="84"/>
        <v>4.2674117604884412</v>
      </c>
      <c r="EM44" s="14"/>
      <c r="EN44" s="14"/>
      <c r="EO44" s="10"/>
      <c r="EP44" s="10"/>
      <c r="EQ44" s="10"/>
      <c r="ER44" s="10"/>
      <c r="ES44" s="10"/>
    </row>
    <row r="45" spans="2:156">
      <c r="B45" t="s">
        <v>40</v>
      </c>
      <c r="C45" t="s">
        <v>34</v>
      </c>
      <c r="D45">
        <v>17.488</v>
      </c>
      <c r="F45" t="s">
        <v>40</v>
      </c>
      <c r="G45" t="s">
        <v>35</v>
      </c>
      <c r="H45">
        <v>19.657</v>
      </c>
      <c r="I45">
        <f>H45-E47</f>
        <v>2.1859999999999999</v>
      </c>
      <c r="J45">
        <f t="shared" si="85"/>
        <v>0.21975989022794679</v>
      </c>
      <c r="L45">
        <f t="shared" si="86"/>
        <v>58.959695631670868</v>
      </c>
      <c r="AB45" t="s">
        <v>40</v>
      </c>
      <c r="AC45" t="s">
        <v>34</v>
      </c>
      <c r="AD45">
        <v>17.488</v>
      </c>
      <c r="AF45" t="s">
        <v>40</v>
      </c>
      <c r="AG45" t="s">
        <v>49</v>
      </c>
      <c r="AH45">
        <v>21.99</v>
      </c>
      <c r="AI45">
        <f>AH45-AE47</f>
        <v>4.5189999999999984</v>
      </c>
      <c r="AJ45">
        <f t="shared" si="77"/>
        <v>4.3615961378817757E-2</v>
      </c>
      <c r="AL45">
        <f t="shared" si="78"/>
        <v>10.628580611655341</v>
      </c>
      <c r="AM45" s="101" t="s">
        <v>38</v>
      </c>
      <c r="AN45" s="101">
        <v>6.8806445043246818</v>
      </c>
      <c r="AO45" s="101">
        <v>5.7062529752371818</v>
      </c>
      <c r="AP45" s="101">
        <v>6.5820806657670108</v>
      </c>
      <c r="AQ45" s="101">
        <v>10.628580611655341</v>
      </c>
      <c r="AR45" s="101">
        <v>9.4405901010433144</v>
      </c>
      <c r="AS45" s="101">
        <v>10.097155650489155</v>
      </c>
      <c r="AT45" s="101">
        <f t="shared" ref="AT45:AT48" si="133">AVERAGE(AN45:AP45)</f>
        <v>6.3896593817762906</v>
      </c>
      <c r="AU45" s="101">
        <f t="shared" ref="AU45:AU48" si="134">STDEV(AN45:AP45)</f>
        <v>0.61038375535198908</v>
      </c>
      <c r="AV45" s="101">
        <f t="shared" ref="AV45:AV48" si="135">AU45/SQRT(3)</f>
        <v>0.35240522546144559</v>
      </c>
      <c r="AW45" s="101">
        <f t="shared" ref="AW45:AW48" si="136">AVERAGE(AQ45:AS45)</f>
        <v>10.055442121062605</v>
      </c>
      <c r="AX45" s="101">
        <f t="shared" ref="AX45:AX48" si="137">STDEV(AQ45:AS45)</f>
        <v>0.59509274674538826</v>
      </c>
      <c r="AY45" s="101">
        <f t="shared" ref="AY45:AY48" si="138">AX45/SQRT(3)</f>
        <v>0.34357695752624373</v>
      </c>
      <c r="AZ45" s="99">
        <v>8.9999999999999998E-4</v>
      </c>
      <c r="BB45" t="s">
        <v>40</v>
      </c>
      <c r="BC45" t="s">
        <v>34</v>
      </c>
      <c r="BD45">
        <v>17.488</v>
      </c>
      <c r="BF45" t="s">
        <v>40</v>
      </c>
      <c r="BG45" t="s">
        <v>52</v>
      </c>
      <c r="BH45">
        <v>20.555</v>
      </c>
      <c r="BI45">
        <f>BH45-BE47</f>
        <v>3.0839999999999996</v>
      </c>
      <c r="BJ45">
        <f t="shared" si="79"/>
        <v>0.11792978136192007</v>
      </c>
      <c r="BL45">
        <f t="shared" si="80"/>
        <v>13.62143429499903</v>
      </c>
      <c r="CB45" s="6" t="s">
        <v>331</v>
      </c>
      <c r="CC45" s="6" t="s">
        <v>34</v>
      </c>
      <c r="CD45" s="6">
        <v>15.904</v>
      </c>
      <c r="CE45" s="6"/>
      <c r="CF45" s="6" t="s">
        <v>331</v>
      </c>
      <c r="CG45" s="6" t="s">
        <v>35</v>
      </c>
      <c r="CH45" s="6">
        <v>30.193000000000001</v>
      </c>
      <c r="CI45" s="6">
        <f t="shared" ref="CI45" si="139">CH45-CE47</f>
        <v>14.282999999999999</v>
      </c>
      <c r="CJ45" s="6">
        <f t="shared" si="87"/>
        <v>5.0163585650320476E-5</v>
      </c>
      <c r="CK45" s="6"/>
      <c r="CL45" s="6">
        <f t="shared" si="88"/>
        <v>7.2682834707832455</v>
      </c>
      <c r="CM45" s="6"/>
      <c r="DB45" s="6" t="s">
        <v>331</v>
      </c>
      <c r="DC45" s="6" t="s">
        <v>34</v>
      </c>
      <c r="DD45" s="6">
        <v>15.904</v>
      </c>
      <c r="DE45" s="6"/>
      <c r="DF45" s="6" t="s">
        <v>331</v>
      </c>
      <c r="DG45" s="6" t="s">
        <v>49</v>
      </c>
      <c r="DH45" s="6">
        <v>26.492000000000001</v>
      </c>
      <c r="DI45" s="6">
        <f>DH45-DE47</f>
        <v>10.581999999999999</v>
      </c>
      <c r="DJ45" s="6">
        <f t="shared" si="81"/>
        <v>6.5237992108891621E-4</v>
      </c>
      <c r="DK45" s="6"/>
      <c r="DL45" s="6">
        <f t="shared" si="82"/>
        <v>6.9013114858656142</v>
      </c>
      <c r="DM45" s="6"/>
      <c r="EB45" s="14" t="s">
        <v>331</v>
      </c>
      <c r="EC45" s="14" t="s">
        <v>34</v>
      </c>
      <c r="ED45" s="14">
        <v>15.904</v>
      </c>
      <c r="EE45" s="14"/>
      <c r="EF45" s="14" t="s">
        <v>40</v>
      </c>
      <c r="EG45" s="14" t="s">
        <v>52</v>
      </c>
      <c r="EH45" s="14">
        <v>20.803000000000001</v>
      </c>
      <c r="EI45" s="14">
        <f>EH45-EE47</f>
        <v>4.8929999999999989</v>
      </c>
      <c r="EJ45" s="14">
        <f t="shared" si="83"/>
        <v>3.3655824256032786E-2</v>
      </c>
      <c r="EK45" s="14"/>
      <c r="EL45" s="14">
        <f t="shared" si="84"/>
        <v>9.2793772579603129</v>
      </c>
      <c r="EM45" s="14"/>
      <c r="EN45" s="14"/>
      <c r="EO45" s="10"/>
      <c r="EP45" s="10"/>
      <c r="EQ45" s="10"/>
      <c r="ER45" s="10"/>
      <c r="ES45" s="10"/>
    </row>
    <row r="46" spans="2:156">
      <c r="B46" t="s">
        <v>40</v>
      </c>
      <c r="C46" t="s">
        <v>34</v>
      </c>
      <c r="D46">
        <v>17.474</v>
      </c>
      <c r="F46" t="s">
        <v>40</v>
      </c>
      <c r="G46" t="s">
        <v>35</v>
      </c>
      <c r="H46">
        <v>19.390999999999998</v>
      </c>
      <c r="I46">
        <f>H46-E47</f>
        <v>1.9199999999999982</v>
      </c>
      <c r="J46">
        <f t="shared" si="85"/>
        <v>0.26425451014034546</v>
      </c>
      <c r="L46">
        <f t="shared" si="86"/>
        <v>70.897220921480525</v>
      </c>
      <c r="AB46" t="s">
        <v>40</v>
      </c>
      <c r="AC46" t="s">
        <v>34</v>
      </c>
      <c r="AD46">
        <v>17.474</v>
      </c>
      <c r="AF46" t="s">
        <v>40</v>
      </c>
      <c r="AG46" t="s">
        <v>49</v>
      </c>
      <c r="AH46">
        <v>22.161000000000001</v>
      </c>
      <c r="AI46">
        <f>AH46-AE47</f>
        <v>4.6900000000000013</v>
      </c>
      <c r="AJ46">
        <f t="shared" si="77"/>
        <v>3.8740865623093305E-2</v>
      </c>
      <c r="AL46">
        <f t="shared" si="78"/>
        <v>9.4405901010433144</v>
      </c>
      <c r="AM46" s="101">
        <v>1</v>
      </c>
      <c r="AN46" s="101">
        <v>10.552725163657758</v>
      </c>
      <c r="AO46" s="101">
        <v>10.894618004317419</v>
      </c>
      <c r="AP46" s="101">
        <v>9.7915937838491036</v>
      </c>
      <c r="AQ46" s="101">
        <v>24.132024392808962</v>
      </c>
      <c r="AR46" s="101">
        <v>20.93546476005919</v>
      </c>
      <c r="AS46" s="101">
        <v>19.861147048043861</v>
      </c>
      <c r="AT46" s="101">
        <f t="shared" si="133"/>
        <v>10.412978983941427</v>
      </c>
      <c r="AU46" s="101">
        <f t="shared" si="134"/>
        <v>0.56463470827953488</v>
      </c>
      <c r="AV46" s="101">
        <f t="shared" si="135"/>
        <v>0.32599200081899532</v>
      </c>
      <c r="AW46" s="101">
        <f t="shared" si="136"/>
        <v>21.642878733637335</v>
      </c>
      <c r="AX46" s="101">
        <f t="shared" si="137"/>
        <v>2.2215814684627628</v>
      </c>
      <c r="AY46" s="101">
        <f t="shared" si="138"/>
        <v>1.2826306588436602</v>
      </c>
      <c r="AZ46" s="99" t="s">
        <v>666</v>
      </c>
      <c r="BB46" t="s">
        <v>40</v>
      </c>
      <c r="BC46" t="s">
        <v>34</v>
      </c>
      <c r="BD46">
        <v>17.474</v>
      </c>
      <c r="BF46" t="s">
        <v>40</v>
      </c>
      <c r="BG46" t="s">
        <v>52</v>
      </c>
      <c r="BH46">
        <v>20.651</v>
      </c>
      <c r="BI46">
        <f>BH46-BE47</f>
        <v>3.1799999999999997</v>
      </c>
      <c r="BJ46">
        <f t="shared" si="79"/>
        <v>0.11033787453633188</v>
      </c>
      <c r="BL46">
        <f t="shared" si="80"/>
        <v>12.744534000567581</v>
      </c>
      <c r="CB46" s="6" t="s">
        <v>331</v>
      </c>
      <c r="CC46" s="6" t="s">
        <v>34</v>
      </c>
      <c r="CD46" s="6">
        <v>15.909000000000001</v>
      </c>
      <c r="CE46" s="6"/>
      <c r="CF46" s="6" t="s">
        <v>331</v>
      </c>
      <c r="CG46" s="6" t="s">
        <v>35</v>
      </c>
      <c r="CH46" s="6">
        <v>30.120999999999999</v>
      </c>
      <c r="CI46" s="6">
        <f t="shared" ref="CI46" si="140">CH46-CE47</f>
        <v>14.210999999999997</v>
      </c>
      <c r="CJ46" s="6">
        <f t="shared" si="87"/>
        <v>5.2730602258317793E-5</v>
      </c>
      <c r="CK46" s="6"/>
      <c r="CL46" s="6">
        <f t="shared" si="88"/>
        <v>7.6402226800573292</v>
      </c>
      <c r="CM46" s="6"/>
      <c r="DB46" s="6" t="s">
        <v>331</v>
      </c>
      <c r="DC46" s="6" t="s">
        <v>34</v>
      </c>
      <c r="DD46" s="6">
        <v>15.909000000000001</v>
      </c>
      <c r="DE46" s="6"/>
      <c r="DF46" s="6" t="s">
        <v>331</v>
      </c>
      <c r="DG46" s="6" t="s">
        <v>49</v>
      </c>
      <c r="DH46" s="6">
        <v>26.471</v>
      </c>
      <c r="DI46" s="6">
        <f>DH46-DE47</f>
        <v>10.560999999999998</v>
      </c>
      <c r="DJ46" s="6">
        <f t="shared" si="81"/>
        <v>6.6194547207031398E-4</v>
      </c>
      <c r="DK46" s="6"/>
      <c r="DL46" s="6">
        <f t="shared" si="82"/>
        <v>7.0025022869962879</v>
      </c>
      <c r="DM46" s="6"/>
      <c r="EB46" s="14" t="s">
        <v>331</v>
      </c>
      <c r="EC46" s="14" t="s">
        <v>34</v>
      </c>
      <c r="ED46" s="14">
        <v>15.909000000000001</v>
      </c>
      <c r="EE46" s="14"/>
      <c r="EF46" s="14" t="s">
        <v>40</v>
      </c>
      <c r="EG46" s="14" t="s">
        <v>52</v>
      </c>
      <c r="EH46" s="14">
        <v>20.797000000000001</v>
      </c>
      <c r="EI46" s="14">
        <f>EH46-EE47</f>
        <v>4.8869999999999987</v>
      </c>
      <c r="EJ46" s="14">
        <f t="shared" si="83"/>
        <v>3.3796086358863102E-2</v>
      </c>
      <c r="EK46" s="14"/>
      <c r="EL46" s="14">
        <f t="shared" si="84"/>
        <v>9.3180494639136118</v>
      </c>
      <c r="EM46" s="14"/>
      <c r="EN46" s="14"/>
      <c r="EO46" s="10"/>
      <c r="EP46" s="10"/>
      <c r="EQ46" s="10"/>
      <c r="ER46" s="10"/>
      <c r="ES46" s="10"/>
    </row>
    <row r="47" spans="2:156">
      <c r="B47" t="s">
        <v>40</v>
      </c>
      <c r="C47" t="s">
        <v>34</v>
      </c>
      <c r="D47">
        <v>17.451000000000001</v>
      </c>
      <c r="E47">
        <f t="shared" ref="E47" si="141">AVERAGE(D45:D47)</f>
        <v>17.471</v>
      </c>
      <c r="F47" t="s">
        <v>40</v>
      </c>
      <c r="G47" t="s">
        <v>35</v>
      </c>
      <c r="H47">
        <v>19.61</v>
      </c>
      <c r="I47">
        <f>H47-E47</f>
        <v>2.1389999999999993</v>
      </c>
      <c r="J47">
        <f t="shared" si="85"/>
        <v>0.22703710443037753</v>
      </c>
      <c r="L47">
        <f t="shared" si="86"/>
        <v>60.912109850556497</v>
      </c>
      <c r="O47" s="4"/>
      <c r="AB47" t="s">
        <v>40</v>
      </c>
      <c r="AC47" t="s">
        <v>34</v>
      </c>
      <c r="AD47">
        <v>17.451000000000001</v>
      </c>
      <c r="AE47">
        <f>AVERAGE(AD45:AD47)</f>
        <v>17.471</v>
      </c>
      <c r="AF47" t="s">
        <v>40</v>
      </c>
      <c r="AG47" t="s">
        <v>49</v>
      </c>
      <c r="AH47">
        <v>22.064</v>
      </c>
      <c r="AI47">
        <f>AH47-AE47</f>
        <v>4.593</v>
      </c>
      <c r="AJ47">
        <f t="shared" si="77"/>
        <v>4.1435180009333071E-2</v>
      </c>
      <c r="AL47">
        <f t="shared" si="78"/>
        <v>10.097155650489155</v>
      </c>
      <c r="AM47" s="101">
        <v>3</v>
      </c>
      <c r="AN47" s="101">
        <v>8.5516948480613149</v>
      </c>
      <c r="AO47" s="101">
        <v>8.68912180710816</v>
      </c>
      <c r="AP47" s="101">
        <v>8.0289446845078682</v>
      </c>
      <c r="AQ47" s="101">
        <v>22.730282465937854</v>
      </c>
      <c r="AR47" s="101">
        <v>22.355279948452338</v>
      </c>
      <c r="AS47" s="101">
        <v>24.378605649683848</v>
      </c>
      <c r="AT47" s="101">
        <f t="shared" si="133"/>
        <v>8.4232537798924483</v>
      </c>
      <c r="AU47" s="101">
        <f t="shared" si="134"/>
        <v>0.34832641199809961</v>
      </c>
      <c r="AV47" s="101">
        <f t="shared" si="135"/>
        <v>0.2011063477329593</v>
      </c>
      <c r="AW47" s="101">
        <f t="shared" si="136"/>
        <v>23.15472268802468</v>
      </c>
      <c r="AX47" s="101">
        <f t="shared" si="137"/>
        <v>1.0763706842486147</v>
      </c>
      <c r="AY47" s="101">
        <f t="shared" si="138"/>
        <v>0.62144290429875937</v>
      </c>
      <c r="AZ47" s="99" t="s">
        <v>666</v>
      </c>
      <c r="BB47" t="s">
        <v>40</v>
      </c>
      <c r="BC47" t="s">
        <v>34</v>
      </c>
      <c r="BD47">
        <v>17.451000000000001</v>
      </c>
      <c r="BE47">
        <f>AVERAGE(BD45:BD47)</f>
        <v>17.471</v>
      </c>
      <c r="BF47" t="s">
        <v>40</v>
      </c>
      <c r="BG47" t="s">
        <v>52</v>
      </c>
      <c r="BH47">
        <v>20.611999999999998</v>
      </c>
      <c r="BI47">
        <f>BH47-BE47</f>
        <v>3.1409999999999982</v>
      </c>
      <c r="BJ47">
        <f t="shared" si="79"/>
        <v>0.11336129111664305</v>
      </c>
      <c r="BL47">
        <f t="shared" si="80"/>
        <v>13.093752576397295</v>
      </c>
      <c r="CB47" s="6" t="s">
        <v>331</v>
      </c>
      <c r="CC47" s="6" t="s">
        <v>34</v>
      </c>
      <c r="CD47" s="6">
        <v>15.917</v>
      </c>
      <c r="CE47" s="6">
        <f t="shared" ref="CE47" si="142">AVERAGE(CD45:CD47)</f>
        <v>15.910000000000002</v>
      </c>
      <c r="CF47" s="6" t="s">
        <v>331</v>
      </c>
      <c r="CG47" s="6" t="s">
        <v>35</v>
      </c>
      <c r="CH47" s="6">
        <v>29.89</v>
      </c>
      <c r="CI47" s="6">
        <f t="shared" ref="CI47" si="143">CH47-CE47</f>
        <v>13.979999999999999</v>
      </c>
      <c r="CJ47" s="6">
        <f t="shared" si="87"/>
        <v>6.1887175280153211E-5</v>
      </c>
      <c r="CK47" s="6"/>
      <c r="CL47" s="6">
        <f t="shared" si="88"/>
        <v>8.9669334301131514</v>
      </c>
      <c r="CM47" s="6"/>
      <c r="DB47" s="6" t="s">
        <v>331</v>
      </c>
      <c r="DC47" s="6" t="s">
        <v>34</v>
      </c>
      <c r="DD47" s="6">
        <v>15.917</v>
      </c>
      <c r="DE47" s="6">
        <f>AVERAGE(DD45:DD47)</f>
        <v>15.910000000000002</v>
      </c>
      <c r="DF47" s="6" t="s">
        <v>331</v>
      </c>
      <c r="DG47" s="6" t="s">
        <v>49</v>
      </c>
      <c r="DH47" s="6">
        <v>26.579000000000001</v>
      </c>
      <c r="DI47" s="6">
        <f>DH47-DE47</f>
        <v>10.668999999999999</v>
      </c>
      <c r="DJ47" s="6">
        <f t="shared" si="81"/>
        <v>6.1420164640430626E-4</v>
      </c>
      <c r="DK47" s="6"/>
      <c r="DL47" s="6">
        <f t="shared" si="82"/>
        <v>6.4974361410333499</v>
      </c>
      <c r="DM47" s="6"/>
      <c r="EB47" s="14" t="s">
        <v>331</v>
      </c>
      <c r="EC47" s="14" t="s">
        <v>34</v>
      </c>
      <c r="ED47" s="14">
        <v>15.917</v>
      </c>
      <c r="EE47" s="14">
        <f>AVERAGE(ED45:ED47)</f>
        <v>15.910000000000002</v>
      </c>
      <c r="EF47" s="14" t="s">
        <v>40</v>
      </c>
      <c r="EG47" s="14" t="s">
        <v>52</v>
      </c>
      <c r="EH47" s="14">
        <v>20.67</v>
      </c>
      <c r="EI47" s="14">
        <f>EH47-EE47</f>
        <v>4.76</v>
      </c>
      <c r="EJ47" s="14">
        <f t="shared" si="83"/>
        <v>3.6906020669672829E-2</v>
      </c>
      <c r="EK47" s="14"/>
      <c r="EL47" s="14">
        <f t="shared" si="84"/>
        <v>10.175501460867912</v>
      </c>
      <c r="EM47" s="14"/>
      <c r="EN47" s="14"/>
      <c r="EO47" s="10"/>
      <c r="EP47" s="10"/>
      <c r="EQ47" s="10"/>
      <c r="ER47" s="10"/>
      <c r="ES47" s="10"/>
    </row>
    <row r="48" spans="2:156">
      <c r="B48" t="s">
        <v>43</v>
      </c>
      <c r="C48" t="s">
        <v>34</v>
      </c>
      <c r="D48">
        <v>17.178000000000001</v>
      </c>
      <c r="F48" t="s">
        <v>43</v>
      </c>
      <c r="G48" t="s">
        <v>35</v>
      </c>
      <c r="H48">
        <v>19.004000000000001</v>
      </c>
      <c r="I48">
        <f>H48-E50</f>
        <v>1.9443333333333328</v>
      </c>
      <c r="J48">
        <f t="shared" si="85"/>
        <v>0.25983481726748436</v>
      </c>
      <c r="L48">
        <f t="shared" si="86"/>
        <v>69.711455191896917</v>
      </c>
      <c r="O48" s="4"/>
      <c r="AB48" t="s">
        <v>43</v>
      </c>
      <c r="AC48" t="s">
        <v>34</v>
      </c>
      <c r="AD48">
        <v>17.178000000000001</v>
      </c>
      <c r="AF48" t="s">
        <v>43</v>
      </c>
      <c r="AG48" t="s">
        <v>49</v>
      </c>
      <c r="AH48">
        <v>21.588999999999999</v>
      </c>
      <c r="AI48">
        <f>AH48-AE50</f>
        <v>4.5293333333333301</v>
      </c>
      <c r="AJ48">
        <f t="shared" si="77"/>
        <v>4.3304677265621365E-2</v>
      </c>
      <c r="AL48">
        <f t="shared" si="78"/>
        <v>10.552725163657758</v>
      </c>
      <c r="AM48" s="101">
        <v>6</v>
      </c>
      <c r="AN48" s="101">
        <v>13.391172443129081</v>
      </c>
      <c r="AO48" s="101">
        <v>13.493665268624531</v>
      </c>
      <c r="AP48" s="101">
        <v>13.767649543916695</v>
      </c>
      <c r="AQ48" s="101">
        <v>22.651641662757402</v>
      </c>
      <c r="AR48" s="101">
        <v>19.939311745644787</v>
      </c>
      <c r="AS48" s="101">
        <v>22.510773217165784</v>
      </c>
      <c r="AT48" s="101">
        <f t="shared" si="133"/>
        <v>13.550829085223436</v>
      </c>
      <c r="AU48" s="101">
        <f t="shared" si="134"/>
        <v>0.1946394828920299</v>
      </c>
      <c r="AV48" s="101">
        <f t="shared" si="135"/>
        <v>0.11237515784264303</v>
      </c>
      <c r="AW48" s="101">
        <f t="shared" si="136"/>
        <v>21.700575541855994</v>
      </c>
      <c r="AX48" s="101">
        <f t="shared" si="137"/>
        <v>1.5269245559699658</v>
      </c>
      <c r="AY48" s="101">
        <f t="shared" si="138"/>
        <v>0.88157030342150955</v>
      </c>
      <c r="AZ48" s="99" t="s">
        <v>666</v>
      </c>
      <c r="BB48" t="s">
        <v>43</v>
      </c>
      <c r="BC48" t="s">
        <v>34</v>
      </c>
      <c r="BD48">
        <v>17.178000000000001</v>
      </c>
      <c r="BF48" t="s">
        <v>43</v>
      </c>
      <c r="BG48" t="s">
        <v>52</v>
      </c>
      <c r="BH48">
        <v>20.177</v>
      </c>
      <c r="BI48">
        <f>BH48-BE50</f>
        <v>3.1173333333333311</v>
      </c>
      <c r="BJ48">
        <f t="shared" si="79"/>
        <v>0.11523626143307147</v>
      </c>
      <c r="BL48">
        <f t="shared" si="80"/>
        <v>13.310320305730423</v>
      </c>
      <c r="BN48" s="4"/>
      <c r="CB48" s="6" t="s">
        <v>43</v>
      </c>
      <c r="CC48" s="6" t="s">
        <v>34</v>
      </c>
      <c r="CD48" s="6">
        <v>15.92</v>
      </c>
      <c r="CE48" s="6"/>
      <c r="CF48" s="6" t="s">
        <v>332</v>
      </c>
      <c r="CG48" s="6" t="s">
        <v>35</v>
      </c>
      <c r="CH48" s="6">
        <v>26.25</v>
      </c>
      <c r="CI48" s="6">
        <f t="shared" ref="CI48" si="144">CH48-CE50</f>
        <v>10.499666666666668</v>
      </c>
      <c r="CJ48" s="6">
        <f t="shared" si="87"/>
        <v>6.9069353165939656E-4</v>
      </c>
      <c r="CK48" s="6"/>
      <c r="CL48" s="6">
        <f t="shared" si="88"/>
        <v>100.07570859330755</v>
      </c>
      <c r="CM48" s="6"/>
      <c r="DB48" s="6" t="s">
        <v>43</v>
      </c>
      <c r="DC48" s="6" t="s">
        <v>34</v>
      </c>
      <c r="DD48" s="6">
        <v>15.92</v>
      </c>
      <c r="DE48" s="6"/>
      <c r="DF48" s="6" t="s">
        <v>43</v>
      </c>
      <c r="DG48" s="6" t="s">
        <v>49</v>
      </c>
      <c r="DH48" s="6">
        <v>25.219000000000001</v>
      </c>
      <c r="DI48" s="6">
        <f>DH48-DE50</f>
        <v>9.4686666666666692</v>
      </c>
      <c r="DJ48" s="6">
        <f t="shared" si="81"/>
        <v>1.4113909045945423E-3</v>
      </c>
      <c r="DK48" s="6"/>
      <c r="DL48" s="6">
        <f t="shared" si="82"/>
        <v>14.930637725125507</v>
      </c>
      <c r="DM48" s="6"/>
      <c r="EB48" s="14" t="s">
        <v>43</v>
      </c>
      <c r="EC48" s="14" t="s">
        <v>34</v>
      </c>
      <c r="ED48" s="14">
        <v>15.92</v>
      </c>
      <c r="EE48" s="14"/>
      <c r="EF48" s="14" t="s">
        <v>43</v>
      </c>
      <c r="EG48" s="14" t="s">
        <v>52</v>
      </c>
      <c r="EH48" s="14">
        <v>18.59</v>
      </c>
      <c r="EI48" s="14">
        <f>EH48-EE50</f>
        <v>2.8396666666666679</v>
      </c>
      <c r="EJ48" s="14">
        <f t="shared" si="83"/>
        <v>0.13969316450502114</v>
      </c>
      <c r="EK48" s="14"/>
      <c r="EL48" s="14">
        <f t="shared" si="84"/>
        <v>38.515341770839179</v>
      </c>
      <c r="EM48" s="14"/>
      <c r="EN48" s="14"/>
      <c r="EO48" s="10"/>
      <c r="EP48" s="10"/>
      <c r="EQ48" s="10"/>
      <c r="ER48" s="10"/>
      <c r="ES48" s="10"/>
    </row>
    <row r="49" spans="2:149">
      <c r="B49" t="s">
        <v>43</v>
      </c>
      <c r="C49" t="s">
        <v>34</v>
      </c>
      <c r="D49">
        <v>17.248000000000001</v>
      </c>
      <c r="F49" t="s">
        <v>43</v>
      </c>
      <c r="G49" t="s">
        <v>35</v>
      </c>
      <c r="H49">
        <v>18.606000000000002</v>
      </c>
      <c r="I49">
        <f>H49-E50</f>
        <v>1.5463333333333331</v>
      </c>
      <c r="J49">
        <f t="shared" si="85"/>
        <v>0.34237912947586774</v>
      </c>
      <c r="L49">
        <f t="shared" si="86"/>
        <v>91.85738691257535</v>
      </c>
      <c r="O49" s="4"/>
      <c r="AB49" t="s">
        <v>43</v>
      </c>
      <c r="AC49" t="s">
        <v>34</v>
      </c>
      <c r="AD49">
        <v>17.248000000000001</v>
      </c>
      <c r="AF49" t="s">
        <v>43</v>
      </c>
      <c r="AG49" t="s">
        <v>49</v>
      </c>
      <c r="AH49">
        <v>21.542999999999999</v>
      </c>
      <c r="AI49">
        <f>AH49-AE50</f>
        <v>4.4833333333333307</v>
      </c>
      <c r="AJ49">
        <f t="shared" si="77"/>
        <v>4.4707685388601918E-2</v>
      </c>
      <c r="AL49">
        <f t="shared" si="78"/>
        <v>10.894618004317419</v>
      </c>
      <c r="AO49" s="4"/>
      <c r="BB49" t="s">
        <v>43</v>
      </c>
      <c r="BC49" t="s">
        <v>34</v>
      </c>
      <c r="BD49">
        <v>17.248000000000001</v>
      </c>
      <c r="BF49" t="s">
        <v>43</v>
      </c>
      <c r="BG49" t="s">
        <v>52</v>
      </c>
      <c r="BH49">
        <v>20.169</v>
      </c>
      <c r="BI49">
        <f>BH49-BE50</f>
        <v>3.109333333333332</v>
      </c>
      <c r="BJ49">
        <f t="shared" si="79"/>
        <v>0.11587704192958888</v>
      </c>
      <c r="BL49">
        <f t="shared" si="80"/>
        <v>13.384333411919791</v>
      </c>
      <c r="BN49" s="4"/>
      <c r="CB49" s="6" t="s">
        <v>43</v>
      </c>
      <c r="CC49" s="6" t="s">
        <v>34</v>
      </c>
      <c r="CD49" s="6">
        <v>15.571999999999999</v>
      </c>
      <c r="CE49" s="6"/>
      <c r="CF49" s="6" t="s">
        <v>332</v>
      </c>
      <c r="CG49" s="6" t="s">
        <v>35</v>
      </c>
      <c r="CH49" s="6">
        <v>26.15</v>
      </c>
      <c r="CI49" s="6">
        <f t="shared" ref="CI49" si="145">CH49-CE50</f>
        <v>10.399666666666667</v>
      </c>
      <c r="CJ49" s="6">
        <f t="shared" si="87"/>
        <v>7.4026699797801365E-4</v>
      </c>
      <c r="CK49" s="6"/>
      <c r="CL49" s="6">
        <f t="shared" si="88"/>
        <v>107.25848871482251</v>
      </c>
      <c r="CM49" s="6"/>
      <c r="DB49" s="6" t="s">
        <v>43</v>
      </c>
      <c r="DC49" s="6" t="s">
        <v>34</v>
      </c>
      <c r="DD49" s="6">
        <v>15.571999999999999</v>
      </c>
      <c r="DE49" s="6"/>
      <c r="DF49" s="6" t="s">
        <v>43</v>
      </c>
      <c r="DG49" s="6" t="s">
        <v>49</v>
      </c>
      <c r="DH49" s="6">
        <v>25.48</v>
      </c>
      <c r="DI49" s="6">
        <f>DH49-DE50</f>
        <v>9.7296666666666685</v>
      </c>
      <c r="DJ49" s="6">
        <f t="shared" si="81"/>
        <v>1.177818809222475E-3</v>
      </c>
      <c r="DK49" s="6"/>
      <c r="DL49" s="6">
        <f t="shared" si="82"/>
        <v>12.459755755186329</v>
      </c>
      <c r="DM49" s="6"/>
      <c r="EB49" s="14" t="s">
        <v>43</v>
      </c>
      <c r="EC49" s="14" t="s">
        <v>34</v>
      </c>
      <c r="ED49" s="14">
        <v>15.571999999999999</v>
      </c>
      <c r="EE49" s="14"/>
      <c r="EF49" s="14" t="s">
        <v>43</v>
      </c>
      <c r="EG49" s="14" t="s">
        <v>52</v>
      </c>
      <c r="EH49" s="14">
        <v>18.616</v>
      </c>
      <c r="EI49" s="14">
        <f>EH49-EE50</f>
        <v>2.8656666666666677</v>
      </c>
      <c r="EJ49" s="14">
        <f t="shared" si="83"/>
        <v>0.13719818804802383</v>
      </c>
      <c r="EK49" s="14"/>
      <c r="EL49" s="14">
        <f t="shared" si="84"/>
        <v>37.827442178243189</v>
      </c>
      <c r="EM49" s="14"/>
      <c r="EN49" s="14"/>
      <c r="EO49" s="10"/>
      <c r="EP49" s="10"/>
      <c r="EQ49" s="10"/>
      <c r="ER49" s="10"/>
      <c r="ES49" s="10"/>
    </row>
    <row r="50" spans="2:149">
      <c r="B50" t="s">
        <v>43</v>
      </c>
      <c r="C50" t="s">
        <v>34</v>
      </c>
      <c r="D50">
        <v>16.753</v>
      </c>
      <c r="E50">
        <f t="shared" ref="E50" si="146">AVERAGE(D48:D50)</f>
        <v>17.059666666666669</v>
      </c>
      <c r="F50" t="s">
        <v>43</v>
      </c>
      <c r="G50" t="s">
        <v>35</v>
      </c>
      <c r="H50">
        <v>19.068000000000001</v>
      </c>
      <c r="I50">
        <f>H50-E50</f>
        <v>2.0083333333333329</v>
      </c>
      <c r="J50">
        <f t="shared" si="85"/>
        <v>0.24856010595438693</v>
      </c>
      <c r="L50">
        <f t="shared" si="86"/>
        <v>66.686546749024728</v>
      </c>
      <c r="O50" s="4"/>
      <c r="AB50" t="s">
        <v>43</v>
      </c>
      <c r="AC50" t="s">
        <v>34</v>
      </c>
      <c r="AD50">
        <v>16.753</v>
      </c>
      <c r="AE50">
        <f>AVERAGE(AD48:AD50)</f>
        <v>17.059666666666669</v>
      </c>
      <c r="AF50" t="s">
        <v>43</v>
      </c>
      <c r="AG50" t="s">
        <v>49</v>
      </c>
      <c r="AH50">
        <v>21.696999999999999</v>
      </c>
      <c r="AI50">
        <f>AH50-AE50</f>
        <v>4.6373333333333306</v>
      </c>
      <c r="AJ50">
        <f t="shared" si="77"/>
        <v>4.018126144191899E-2</v>
      </c>
      <c r="AL50">
        <f t="shared" si="78"/>
        <v>9.7915937838491036</v>
      </c>
      <c r="AO50" s="4"/>
      <c r="BB50" t="s">
        <v>43</v>
      </c>
      <c r="BC50" t="s">
        <v>34</v>
      </c>
      <c r="BD50">
        <v>16.753</v>
      </c>
      <c r="BE50">
        <f>AVERAGE(BD48:BD50)</f>
        <v>17.059666666666669</v>
      </c>
      <c r="BF50" t="s">
        <v>43</v>
      </c>
      <c r="BG50" t="s">
        <v>52</v>
      </c>
      <c r="BH50">
        <v>20.138000000000002</v>
      </c>
      <c r="BI50">
        <f>BH50-BE50</f>
        <v>3.0783333333333331</v>
      </c>
      <c r="BJ50">
        <f t="shared" si="79"/>
        <v>0.11839390086498804</v>
      </c>
      <c r="BL50">
        <f t="shared" si="80"/>
        <v>13.675042240702467</v>
      </c>
      <c r="BN50" s="4"/>
      <c r="CB50" s="6" t="s">
        <v>43</v>
      </c>
      <c r="CC50" s="6" t="s">
        <v>34</v>
      </c>
      <c r="CD50" s="6">
        <v>15.759</v>
      </c>
      <c r="CE50" s="6">
        <f t="shared" ref="CE50" si="147">AVERAGE(CD48:CD50)</f>
        <v>15.750333333333332</v>
      </c>
      <c r="CF50" s="6" t="s">
        <v>332</v>
      </c>
      <c r="CG50" s="6" t="s">
        <v>35</v>
      </c>
      <c r="CH50" s="6">
        <v>26.216000000000001</v>
      </c>
      <c r="CI50" s="6">
        <f t="shared" ref="CI50" si="148">CH50-CE50</f>
        <v>10.465666666666669</v>
      </c>
      <c r="CJ50" s="6">
        <f t="shared" si="87"/>
        <v>7.0716443153544684E-4</v>
      </c>
      <c r="CK50" s="6"/>
      <c r="CL50" s="6">
        <f t="shared" si="88"/>
        <v>102.46220405143789</v>
      </c>
      <c r="CM50" s="6"/>
      <c r="DB50" s="6" t="s">
        <v>43</v>
      </c>
      <c r="DC50" s="6" t="s">
        <v>34</v>
      </c>
      <c r="DD50" s="6">
        <v>15.759</v>
      </c>
      <c r="DE50" s="6">
        <f>AVERAGE(DD48:DD50)</f>
        <v>15.750333333333332</v>
      </c>
      <c r="DF50" s="6" t="s">
        <v>43</v>
      </c>
      <c r="DG50" s="6" t="s">
        <v>49</v>
      </c>
      <c r="DH50" s="6">
        <v>25.475000000000001</v>
      </c>
      <c r="DI50" s="6">
        <f>DH50-DE50</f>
        <v>9.7246666666666695</v>
      </c>
      <c r="DJ50" s="6">
        <f t="shared" si="81"/>
        <v>1.1819078999178571E-3</v>
      </c>
      <c r="DK50" s="6"/>
      <c r="DL50" s="6">
        <f t="shared" si="82"/>
        <v>12.503012893658161</v>
      </c>
      <c r="DM50" s="6"/>
      <c r="EB50" s="14" t="s">
        <v>43</v>
      </c>
      <c r="EC50" s="14" t="s">
        <v>34</v>
      </c>
      <c r="ED50" s="14">
        <v>15.759</v>
      </c>
      <c r="EE50" s="14">
        <f>AVERAGE(ED48:ED50)</f>
        <v>15.750333333333332</v>
      </c>
      <c r="EF50" s="14" t="s">
        <v>43</v>
      </c>
      <c r="EG50" s="14" t="s">
        <v>52</v>
      </c>
      <c r="EH50" s="14">
        <v>18.614000000000001</v>
      </c>
      <c r="EI50" s="14">
        <f>EH50-EE50</f>
        <v>2.8636666666666688</v>
      </c>
      <c r="EJ50" s="14">
        <f t="shared" si="83"/>
        <v>0.13738851701797811</v>
      </c>
      <c r="EK50" s="14"/>
      <c r="EL50" s="14">
        <f t="shared" si="84"/>
        <v>37.879918513450107</v>
      </c>
      <c r="EM50" s="14"/>
      <c r="EN50" s="14"/>
      <c r="EO50" s="10"/>
      <c r="EP50" s="10"/>
      <c r="EQ50" s="10"/>
      <c r="ER50" s="10"/>
      <c r="ES50" s="10"/>
    </row>
    <row r="51" spans="2:149">
      <c r="B51" t="s">
        <v>44</v>
      </c>
      <c r="C51" t="s">
        <v>34</v>
      </c>
      <c r="D51">
        <v>17.478999999999999</v>
      </c>
      <c r="F51" t="s">
        <v>44</v>
      </c>
      <c r="G51" t="s">
        <v>35</v>
      </c>
      <c r="H51">
        <v>18.553000000000001</v>
      </c>
      <c r="I51">
        <f>H51-E53</f>
        <v>1.2110000000000021</v>
      </c>
      <c r="J51">
        <f t="shared" si="85"/>
        <v>0.43196909370013797</v>
      </c>
      <c r="L51">
        <f t="shared" si="86"/>
        <v>115.893606701529</v>
      </c>
      <c r="O51" s="4"/>
      <c r="AB51" t="s">
        <v>44</v>
      </c>
      <c r="AC51" t="s">
        <v>34</v>
      </c>
      <c r="AD51">
        <v>17.478999999999999</v>
      </c>
      <c r="AF51" t="s">
        <v>44</v>
      </c>
      <c r="AG51" t="s">
        <v>49</v>
      </c>
      <c r="AH51">
        <v>20.678000000000001</v>
      </c>
      <c r="AI51">
        <f>AH51-AE53</f>
        <v>3.3360000000000021</v>
      </c>
      <c r="AJ51">
        <f t="shared" si="77"/>
        <v>9.9029351365620993E-2</v>
      </c>
      <c r="AL51">
        <f t="shared" si="78"/>
        <v>24.132024392808962</v>
      </c>
      <c r="AO51" s="4"/>
      <c r="BB51" t="s">
        <v>44</v>
      </c>
      <c r="BC51" t="s">
        <v>34</v>
      </c>
      <c r="BD51">
        <v>17.478999999999999</v>
      </c>
      <c r="BF51" t="s">
        <v>44</v>
      </c>
      <c r="BG51" t="s">
        <v>52</v>
      </c>
      <c r="BH51">
        <v>19.882999999999999</v>
      </c>
      <c r="BI51">
        <f>BH51-BE53</f>
        <v>2.5410000000000004</v>
      </c>
      <c r="BJ51">
        <f t="shared" si="79"/>
        <v>0.17182358694650357</v>
      </c>
      <c r="BL51">
        <f t="shared" si="80"/>
        <v>19.846417697833548</v>
      </c>
      <c r="BN51" s="4"/>
      <c r="CB51" s="6" t="s">
        <v>44</v>
      </c>
      <c r="CC51" s="6" t="s">
        <v>34</v>
      </c>
      <c r="CD51" s="6">
        <v>16.552</v>
      </c>
      <c r="CE51" s="6"/>
      <c r="CF51" s="6" t="s">
        <v>44</v>
      </c>
      <c r="CG51" s="6" t="s">
        <v>35</v>
      </c>
      <c r="CH51" s="6">
        <v>26.274999999999999</v>
      </c>
      <c r="CI51" s="6">
        <f t="shared" ref="CI51" si="149">CH51-CE53</f>
        <v>9.7589999999999968</v>
      </c>
      <c r="CJ51" s="6">
        <f t="shared" si="87"/>
        <v>1.1541128388030937E-3</v>
      </c>
      <c r="CK51" s="6"/>
      <c r="CL51" s="6">
        <f t="shared" si="88"/>
        <v>167.2212853396309</v>
      </c>
      <c r="CM51" s="6"/>
      <c r="DB51" s="6" t="s">
        <v>44</v>
      </c>
      <c r="DC51" s="6" t="s">
        <v>34</v>
      </c>
      <c r="DD51" s="6">
        <v>16.552</v>
      </c>
      <c r="DE51" s="6"/>
      <c r="DF51" s="6" t="s">
        <v>44</v>
      </c>
      <c r="DG51" s="6" t="s">
        <v>49</v>
      </c>
      <c r="DH51" s="6">
        <v>25.744</v>
      </c>
      <c r="DI51" s="6">
        <f>DH51-DE53</f>
        <v>9.227999999999998</v>
      </c>
      <c r="DJ51" s="6">
        <f t="shared" si="81"/>
        <v>1.6676127234204027E-3</v>
      </c>
      <c r="DK51" s="6"/>
      <c r="DL51" s="6">
        <f t="shared" si="82"/>
        <v>17.641123630701504</v>
      </c>
      <c r="DM51" s="6"/>
      <c r="EB51" s="14" t="s">
        <v>44</v>
      </c>
      <c r="EC51" s="14" t="s">
        <v>34</v>
      </c>
      <c r="ED51" s="14">
        <v>16.552</v>
      </c>
      <c r="EE51" s="14"/>
      <c r="EF51" s="14" t="s">
        <v>44</v>
      </c>
      <c r="EG51" s="14" t="s">
        <v>52</v>
      </c>
      <c r="EH51" s="14">
        <v>18.318000000000001</v>
      </c>
      <c r="EI51" s="14">
        <f>EH51-EE53</f>
        <v>1.8019999999999996</v>
      </c>
      <c r="EJ51" s="14">
        <f t="shared" si="83"/>
        <v>0.2867767560565414</v>
      </c>
      <c r="EK51" s="14"/>
      <c r="EL51" s="14">
        <f t="shared" si="84"/>
        <v>79.068326718686748</v>
      </c>
      <c r="EM51" s="14"/>
      <c r="EN51" s="14"/>
      <c r="EO51" s="10"/>
      <c r="EP51" s="10"/>
      <c r="EQ51" s="10"/>
      <c r="ER51" s="10"/>
      <c r="ES51" s="10"/>
    </row>
    <row r="52" spans="2:149">
      <c r="B52" t="s">
        <v>44</v>
      </c>
      <c r="C52" t="s">
        <v>34</v>
      </c>
      <c r="D52">
        <v>17.417000000000002</v>
      </c>
      <c r="F52" t="s">
        <v>44</v>
      </c>
      <c r="G52" t="s">
        <v>35</v>
      </c>
      <c r="H52">
        <v>18.292000000000002</v>
      </c>
      <c r="I52">
        <f>H52-E53</f>
        <v>0.95000000000000284</v>
      </c>
      <c r="J52">
        <f t="shared" si="85"/>
        <v>0.51763246192068768</v>
      </c>
      <c r="L52">
        <f t="shared" si="86"/>
        <v>138.87635442600461</v>
      </c>
      <c r="AB52" t="s">
        <v>44</v>
      </c>
      <c r="AC52" t="s">
        <v>34</v>
      </c>
      <c r="AD52">
        <v>17.417000000000002</v>
      </c>
      <c r="AF52" t="s">
        <v>44</v>
      </c>
      <c r="AG52" t="s">
        <v>49</v>
      </c>
      <c r="AH52">
        <v>20.882999999999999</v>
      </c>
      <c r="AI52">
        <f>AH52-AE53</f>
        <v>3.5410000000000004</v>
      </c>
      <c r="AJ52">
        <f t="shared" si="77"/>
        <v>8.5911793473251785E-2</v>
      </c>
      <c r="AL52">
        <f t="shared" si="78"/>
        <v>20.93546476005919</v>
      </c>
      <c r="BB52" t="s">
        <v>44</v>
      </c>
      <c r="BC52" t="s">
        <v>34</v>
      </c>
      <c r="BD52">
        <v>17.417000000000002</v>
      </c>
      <c r="BF52" t="s">
        <v>44</v>
      </c>
      <c r="BG52" t="s">
        <v>52</v>
      </c>
      <c r="BH52">
        <v>19.654</v>
      </c>
      <c r="BI52">
        <f>BH52-BE53</f>
        <v>2.3120000000000012</v>
      </c>
      <c r="BJ52">
        <f t="shared" si="79"/>
        <v>0.20138107276218736</v>
      </c>
      <c r="BL52">
        <f t="shared" si="80"/>
        <v>23.260443792973149</v>
      </c>
      <c r="BN52" s="4"/>
      <c r="CB52" s="6" t="s">
        <v>44</v>
      </c>
      <c r="CC52" s="6" t="s">
        <v>34</v>
      </c>
      <c r="CD52" s="6">
        <v>16.523</v>
      </c>
      <c r="CE52" s="6"/>
      <c r="CF52" s="6" t="s">
        <v>44</v>
      </c>
      <c r="CG52" s="6" t="s">
        <v>35</v>
      </c>
      <c r="CH52" s="6">
        <v>26.39</v>
      </c>
      <c r="CI52" s="6">
        <f t="shared" ref="CI52" si="150">CH52-CE53</f>
        <v>9.8739999999999988</v>
      </c>
      <c r="CJ52" s="6">
        <f t="shared" si="87"/>
        <v>1.0656873799364615E-3</v>
      </c>
      <c r="CK52" s="6"/>
      <c r="CL52" s="6">
        <f t="shared" si="88"/>
        <v>154.40917686004772</v>
      </c>
      <c r="CM52" s="6"/>
      <c r="DB52" s="6" t="s">
        <v>44</v>
      </c>
      <c r="DC52" s="6" t="s">
        <v>34</v>
      </c>
      <c r="DD52" s="6">
        <v>16.523</v>
      </c>
      <c r="DE52" s="6"/>
      <c r="DF52" s="6" t="s">
        <v>44</v>
      </c>
      <c r="DG52" s="6" t="s">
        <v>49</v>
      </c>
      <c r="DH52" s="6">
        <v>25.661999999999999</v>
      </c>
      <c r="DI52" s="6">
        <f>DH52-DE53</f>
        <v>9.1459999999999972</v>
      </c>
      <c r="DJ52" s="6">
        <f t="shared" si="81"/>
        <v>1.7651420444357174E-3</v>
      </c>
      <c r="DK52" s="6"/>
      <c r="DL52" s="6">
        <f t="shared" si="82"/>
        <v>18.67285407116049</v>
      </c>
      <c r="DM52" s="6"/>
      <c r="EB52" s="14" t="s">
        <v>44</v>
      </c>
      <c r="EC52" s="14" t="s">
        <v>34</v>
      </c>
      <c r="ED52" s="14">
        <v>16.523</v>
      </c>
      <c r="EE52" s="14"/>
      <c r="EF52" s="14" t="s">
        <v>44</v>
      </c>
      <c r="EG52" s="14" t="s">
        <v>52</v>
      </c>
      <c r="EH52" s="14">
        <v>18.292999999999999</v>
      </c>
      <c r="EI52" s="14">
        <f>EH52-EE53</f>
        <v>1.7769999999999975</v>
      </c>
      <c r="EJ52" s="14">
        <f t="shared" si="83"/>
        <v>0.29178952545461739</v>
      </c>
      <c r="EK52" s="14"/>
      <c r="EL52" s="14">
        <f t="shared" si="84"/>
        <v>80.450416724804128</v>
      </c>
      <c r="EM52" s="14"/>
      <c r="EN52" s="14"/>
      <c r="EO52" s="10"/>
      <c r="EP52" s="10"/>
      <c r="EQ52" s="10"/>
      <c r="ER52" s="10"/>
      <c r="ES52" s="10"/>
    </row>
    <row r="53" spans="2:149">
      <c r="B53" t="s">
        <v>44</v>
      </c>
      <c r="C53" t="s">
        <v>34</v>
      </c>
      <c r="D53">
        <v>17.13</v>
      </c>
      <c r="E53">
        <f t="shared" ref="E53" si="151">AVERAGE(D51:D53)</f>
        <v>17.341999999999999</v>
      </c>
      <c r="F53" t="s">
        <v>44</v>
      </c>
      <c r="G53" t="s">
        <v>35</v>
      </c>
      <c r="H53">
        <v>18.295999999999999</v>
      </c>
      <c r="I53">
        <f>H53-E53</f>
        <v>0.95400000000000063</v>
      </c>
      <c r="J53">
        <f t="shared" si="85"/>
        <v>0.51619926774162073</v>
      </c>
      <c r="L53">
        <f t="shared" si="86"/>
        <v>138.49184070745835</v>
      </c>
      <c r="AB53" t="s">
        <v>44</v>
      </c>
      <c r="AC53" t="s">
        <v>34</v>
      </c>
      <c r="AD53">
        <v>17.13</v>
      </c>
      <c r="AE53">
        <f>AVERAGE(AD51:AD53)</f>
        <v>17.341999999999999</v>
      </c>
      <c r="AF53" t="s">
        <v>44</v>
      </c>
      <c r="AG53" t="s">
        <v>49</v>
      </c>
      <c r="AH53">
        <v>20.959</v>
      </c>
      <c r="AI53">
        <f>AH53-AE53</f>
        <v>3.6170000000000009</v>
      </c>
      <c r="AJ53">
        <f t="shared" si="77"/>
        <v>8.1503170953659984E-2</v>
      </c>
      <c r="AL53">
        <f t="shared" si="78"/>
        <v>19.861147048043861</v>
      </c>
      <c r="BB53" t="s">
        <v>44</v>
      </c>
      <c r="BC53" t="s">
        <v>34</v>
      </c>
      <c r="BD53">
        <v>17.13</v>
      </c>
      <c r="BE53">
        <f>AVERAGE(BD51:BD53)</f>
        <v>17.341999999999999</v>
      </c>
      <c r="BF53" t="s">
        <v>44</v>
      </c>
      <c r="BG53" t="s">
        <v>52</v>
      </c>
      <c r="BH53">
        <v>19.937999999999999</v>
      </c>
      <c r="BI53">
        <f>BH53-BE53</f>
        <v>2.5960000000000001</v>
      </c>
      <c r="BJ53">
        <f t="shared" si="79"/>
        <v>0.16539642998851503</v>
      </c>
      <c r="BL53">
        <f t="shared" si="80"/>
        <v>19.104051391410835</v>
      </c>
      <c r="CB53" s="6" t="s">
        <v>44</v>
      </c>
      <c r="CC53" s="6" t="s">
        <v>34</v>
      </c>
      <c r="CD53" s="6">
        <v>16.472999999999999</v>
      </c>
      <c r="CE53" s="6">
        <f t="shared" ref="CE53" si="152">AVERAGE(CD51:CD53)</f>
        <v>16.516000000000002</v>
      </c>
      <c r="CF53" s="6" t="s">
        <v>44</v>
      </c>
      <c r="CG53" s="6" t="s">
        <v>35</v>
      </c>
      <c r="CH53" s="6">
        <v>26.324000000000002</v>
      </c>
      <c r="CI53" s="6">
        <f t="shared" ref="CI53" si="153">CH53-CE53</f>
        <v>9.8079999999999998</v>
      </c>
      <c r="CJ53" s="6">
        <f t="shared" si="87"/>
        <v>1.1155725066880329E-3</v>
      </c>
      <c r="CK53" s="6"/>
      <c r="CL53" s="6">
        <f t="shared" si="88"/>
        <v>161.63711396832855</v>
      </c>
      <c r="CM53" s="6"/>
      <c r="DB53" s="6" t="s">
        <v>44</v>
      </c>
      <c r="DC53" s="6" t="s">
        <v>34</v>
      </c>
      <c r="DD53" s="6">
        <v>16.472999999999999</v>
      </c>
      <c r="DE53" s="6">
        <f>AVERAGE(DD51:DD53)</f>
        <v>16.516000000000002</v>
      </c>
      <c r="DF53" s="6" t="s">
        <v>44</v>
      </c>
      <c r="DG53" s="6" t="s">
        <v>49</v>
      </c>
      <c r="DH53" s="6">
        <v>25.599</v>
      </c>
      <c r="DI53" s="6">
        <f>DH53-DE53</f>
        <v>9.0829999999999984</v>
      </c>
      <c r="DJ53" s="6">
        <f t="shared" si="81"/>
        <v>1.8439305061528346E-3</v>
      </c>
      <c r="DK53" s="6"/>
      <c r="DL53" s="6">
        <f t="shared" si="82"/>
        <v>19.506331157479206</v>
      </c>
      <c r="DM53" s="6"/>
      <c r="EB53" s="14" t="s">
        <v>44</v>
      </c>
      <c r="EC53" s="14" t="s">
        <v>34</v>
      </c>
      <c r="ED53" s="14">
        <v>16.472999999999999</v>
      </c>
      <c r="EE53" s="14">
        <f>AVERAGE(ED51:ED53)</f>
        <v>16.516000000000002</v>
      </c>
      <c r="EF53" s="14" t="s">
        <v>44</v>
      </c>
      <c r="EG53" s="14" t="s">
        <v>52</v>
      </c>
      <c r="EH53" s="14">
        <v>18.295999999999999</v>
      </c>
      <c r="EI53" s="14">
        <f>EH53-EE53</f>
        <v>1.7799999999999976</v>
      </c>
      <c r="EJ53" s="14">
        <f t="shared" si="83"/>
        <v>0.29118339661711445</v>
      </c>
      <c r="EK53" s="14"/>
      <c r="EL53" s="14">
        <f t="shared" si="84"/>
        <v>80.283298602623219</v>
      </c>
      <c r="EM53" s="14"/>
      <c r="EN53" s="14"/>
      <c r="EO53" s="10"/>
      <c r="EP53" s="10"/>
      <c r="EQ53" s="10"/>
      <c r="ER53" s="10"/>
      <c r="ES53" s="10"/>
    </row>
    <row r="54" spans="2:149">
      <c r="B54" t="s">
        <v>45</v>
      </c>
      <c r="C54" t="s">
        <v>34</v>
      </c>
      <c r="D54">
        <v>16.516999999999999</v>
      </c>
      <c r="F54" t="s">
        <v>45</v>
      </c>
      <c r="G54" t="s">
        <v>35</v>
      </c>
      <c r="H54">
        <v>18.021999999999998</v>
      </c>
      <c r="I54">
        <f>H54-E56</f>
        <v>1.6486666666666636</v>
      </c>
      <c r="J54">
        <f t="shared" si="85"/>
        <v>0.31893477898828426</v>
      </c>
      <c r="L54">
        <f t="shared" si="86"/>
        <v>85.567468549418308</v>
      </c>
      <c r="AB54" t="s">
        <v>45</v>
      </c>
      <c r="AC54" t="s">
        <v>34</v>
      </c>
      <c r="AD54">
        <v>16.516999999999999</v>
      </c>
      <c r="AF54" t="s">
        <v>45</v>
      </c>
      <c r="AG54" t="s">
        <v>49</v>
      </c>
      <c r="AH54">
        <v>21.206</v>
      </c>
      <c r="AI54">
        <f>AH54-AE56</f>
        <v>4.8326666666666647</v>
      </c>
      <c r="AJ54">
        <f t="shared" si="77"/>
        <v>3.5093151742901063E-2</v>
      </c>
      <c r="AL54">
        <f t="shared" si="78"/>
        <v>8.5516948480613149</v>
      </c>
      <c r="BB54" t="s">
        <v>45</v>
      </c>
      <c r="BC54" t="s">
        <v>34</v>
      </c>
      <c r="BD54">
        <v>16.516999999999999</v>
      </c>
      <c r="BF54" t="s">
        <v>45</v>
      </c>
      <c r="BG54" t="s">
        <v>52</v>
      </c>
      <c r="BH54">
        <v>19.922000000000001</v>
      </c>
      <c r="BI54">
        <f>BH54-BE56</f>
        <v>3.5486666666666657</v>
      </c>
      <c r="BJ54">
        <f t="shared" si="79"/>
        <v>8.5456458099880062E-2</v>
      </c>
      <c r="BL54">
        <f t="shared" si="80"/>
        <v>9.8706155107544902</v>
      </c>
      <c r="CB54" s="6" t="s">
        <v>45</v>
      </c>
      <c r="CC54" s="6" t="s">
        <v>34</v>
      </c>
      <c r="CD54" s="6">
        <v>15.938000000000001</v>
      </c>
      <c r="CE54" s="6"/>
      <c r="CF54" s="6" t="s">
        <v>333</v>
      </c>
      <c r="CG54" s="6" t="s">
        <v>35</v>
      </c>
      <c r="CH54" s="6">
        <v>27.209</v>
      </c>
      <c r="CI54" s="6">
        <f t="shared" ref="CI54" si="154">CH54-CE56</f>
        <v>11.226333333333333</v>
      </c>
      <c r="CJ54" s="6">
        <f t="shared" si="87"/>
        <v>4.1738508460065064E-4</v>
      </c>
      <c r="CK54" s="6"/>
      <c r="CL54" s="6">
        <f t="shared" si="88"/>
        <v>60.475603408844329</v>
      </c>
      <c r="CM54" s="6"/>
      <c r="DB54" s="6" t="s">
        <v>45</v>
      </c>
      <c r="DC54" s="6" t="s">
        <v>34</v>
      </c>
      <c r="DD54" s="6">
        <v>15.938000000000001</v>
      </c>
      <c r="DE54" s="6"/>
      <c r="DF54" s="6" t="s">
        <v>45</v>
      </c>
      <c r="DG54" s="6" t="s">
        <v>49</v>
      </c>
      <c r="DH54" s="6">
        <v>25.263999999999999</v>
      </c>
      <c r="DI54" s="6">
        <f>DH54-DE56</f>
        <v>9.2813333333333325</v>
      </c>
      <c r="DJ54" s="6">
        <f t="shared" si="81"/>
        <v>1.6070902522805626E-3</v>
      </c>
      <c r="DK54" s="6"/>
      <c r="DL54" s="6">
        <f t="shared" si="82"/>
        <v>17.000876419332439</v>
      </c>
      <c r="DM54" s="6"/>
      <c r="EB54" s="14" t="s">
        <v>45</v>
      </c>
      <c r="EC54" s="14" t="s">
        <v>34</v>
      </c>
      <c r="ED54" s="14">
        <v>15.938000000000001</v>
      </c>
      <c r="EE54" s="14"/>
      <c r="EF54" s="14" t="s">
        <v>45</v>
      </c>
      <c r="EG54" s="14" t="s">
        <v>52</v>
      </c>
      <c r="EH54" s="14">
        <v>19.542000000000002</v>
      </c>
      <c r="EI54" s="14">
        <f>EH54-EE56</f>
        <v>3.5593333333333348</v>
      </c>
      <c r="EJ54" s="14">
        <f t="shared" si="83"/>
        <v>8.4826959788801115E-2</v>
      </c>
      <c r="EK54" s="14"/>
      <c r="EL54" s="14">
        <f t="shared" si="84"/>
        <v>23.387968618389145</v>
      </c>
      <c r="EM54" s="14"/>
      <c r="EN54" s="14"/>
      <c r="EO54" s="10"/>
      <c r="EP54" s="10"/>
      <c r="EQ54" s="10"/>
      <c r="ER54" s="10"/>
      <c r="ES54" s="10"/>
    </row>
    <row r="55" spans="2:149">
      <c r="B55" t="s">
        <v>45</v>
      </c>
      <c r="C55" t="s">
        <v>34</v>
      </c>
      <c r="D55">
        <v>16.073</v>
      </c>
      <c r="F55" t="s">
        <v>45</v>
      </c>
      <c r="G55" t="s">
        <v>35</v>
      </c>
      <c r="H55">
        <v>17.672000000000001</v>
      </c>
      <c r="I55">
        <f>H55-E56</f>
        <v>1.2986666666666657</v>
      </c>
      <c r="J55">
        <f t="shared" si="85"/>
        <v>0.40650171198123713</v>
      </c>
      <c r="L55">
        <f t="shared" si="86"/>
        <v>109.06092639246765</v>
      </c>
      <c r="AB55" t="s">
        <v>45</v>
      </c>
      <c r="AC55" t="s">
        <v>34</v>
      </c>
      <c r="AD55">
        <v>16.073</v>
      </c>
      <c r="AF55" t="s">
        <v>45</v>
      </c>
      <c r="AG55" t="s">
        <v>49</v>
      </c>
      <c r="AH55">
        <v>21.183</v>
      </c>
      <c r="AI55">
        <f>AH55-AE56</f>
        <v>4.809666666666665</v>
      </c>
      <c r="AJ55">
        <f t="shared" si="77"/>
        <v>3.5657103709509148E-2</v>
      </c>
      <c r="AL55">
        <f t="shared" si="78"/>
        <v>8.68912180710816</v>
      </c>
      <c r="BB55" t="s">
        <v>45</v>
      </c>
      <c r="BC55" t="s">
        <v>34</v>
      </c>
      <c r="BD55">
        <v>16.073</v>
      </c>
      <c r="BF55" t="s">
        <v>45</v>
      </c>
      <c r="BG55" t="s">
        <v>52</v>
      </c>
      <c r="BH55">
        <v>20.071000000000002</v>
      </c>
      <c r="BI55">
        <f>BH55-BE56</f>
        <v>3.6976666666666667</v>
      </c>
      <c r="BJ55">
        <f t="shared" si="79"/>
        <v>7.7071075484036147E-2</v>
      </c>
      <c r="BL55">
        <f t="shared" si="80"/>
        <v>8.9020650986274017</v>
      </c>
      <c r="CB55" s="6" t="s">
        <v>45</v>
      </c>
      <c r="CC55" s="6" t="s">
        <v>34</v>
      </c>
      <c r="CD55" s="6">
        <v>15.993</v>
      </c>
      <c r="CE55" s="6"/>
      <c r="CF55" s="6" t="s">
        <v>333</v>
      </c>
      <c r="CG55" s="6" t="s">
        <v>35</v>
      </c>
      <c r="CH55" s="6">
        <v>27.225999999999999</v>
      </c>
      <c r="CI55" s="6">
        <f t="shared" ref="CI55" si="155">CH55-CE56</f>
        <v>11.243333333333332</v>
      </c>
      <c r="CJ55" s="6">
        <f t="shared" si="87"/>
        <v>4.1249569026124251E-4</v>
      </c>
      <c r="CK55" s="6"/>
      <c r="CL55" s="6">
        <f t="shared" si="88"/>
        <v>59.767171114809656</v>
      </c>
      <c r="CM55" s="6"/>
      <c r="DB55" s="6" t="s">
        <v>45</v>
      </c>
      <c r="DC55" s="6" t="s">
        <v>34</v>
      </c>
      <c r="DD55" s="6">
        <v>15.993</v>
      </c>
      <c r="DE55" s="6"/>
      <c r="DF55" s="6" t="s">
        <v>45</v>
      </c>
      <c r="DG55" s="6" t="s">
        <v>49</v>
      </c>
      <c r="DH55" s="6">
        <v>25.198</v>
      </c>
      <c r="DI55" s="6">
        <f>DH55-DE56</f>
        <v>9.2153333333333336</v>
      </c>
      <c r="DJ55" s="6">
        <f t="shared" si="81"/>
        <v>1.6823186001484077E-3</v>
      </c>
      <c r="DK55" s="6"/>
      <c r="DL55" s="6">
        <f t="shared" si="82"/>
        <v>17.796692238336306</v>
      </c>
      <c r="DM55" s="6"/>
      <c r="EB55" s="14" t="s">
        <v>45</v>
      </c>
      <c r="EC55" s="14" t="s">
        <v>34</v>
      </c>
      <c r="ED55" s="14">
        <v>15.993</v>
      </c>
      <c r="EE55" s="14"/>
      <c r="EF55" s="14" t="s">
        <v>45</v>
      </c>
      <c r="EG55" s="14" t="s">
        <v>52</v>
      </c>
      <c r="EH55" s="14">
        <v>19.582999999999998</v>
      </c>
      <c r="EI55" s="14">
        <f>EH55-EE56</f>
        <v>3.6003333333333316</v>
      </c>
      <c r="EJ55" s="14">
        <f t="shared" si="83"/>
        <v>8.2450192182973545E-2</v>
      </c>
      <c r="EK55" s="14"/>
      <c r="EL55" s="14">
        <f t="shared" si="84"/>
        <v>22.732660844578799</v>
      </c>
      <c r="EM55" s="14"/>
      <c r="EN55" s="14"/>
      <c r="EO55" s="10"/>
      <c r="EP55" s="10"/>
      <c r="EQ55" s="10"/>
      <c r="ER55" s="10"/>
      <c r="ES55" s="10"/>
    </row>
    <row r="56" spans="2:149">
      <c r="B56" t="s">
        <v>45</v>
      </c>
      <c r="C56" t="s">
        <v>34</v>
      </c>
      <c r="D56">
        <v>16.53</v>
      </c>
      <c r="E56">
        <f t="shared" ref="E56" si="156">AVERAGE(D54:D56)</f>
        <v>16.373333333333335</v>
      </c>
      <c r="F56" t="s">
        <v>45</v>
      </c>
      <c r="G56" t="s">
        <v>35</v>
      </c>
      <c r="H56">
        <v>17.823</v>
      </c>
      <c r="I56">
        <f>H56-E56</f>
        <v>1.4496666666666655</v>
      </c>
      <c r="J56">
        <f t="shared" si="85"/>
        <v>0.3661060026629625</v>
      </c>
      <c r="L56">
        <f t="shared" si="86"/>
        <v>98.223103695339091</v>
      </c>
      <c r="AB56" t="s">
        <v>45</v>
      </c>
      <c r="AC56" t="s">
        <v>34</v>
      </c>
      <c r="AD56">
        <v>16.53</v>
      </c>
      <c r="AE56">
        <f>AVERAGE(AD54:AD56)</f>
        <v>16.373333333333335</v>
      </c>
      <c r="AF56" t="s">
        <v>45</v>
      </c>
      <c r="AG56" t="s">
        <v>49</v>
      </c>
      <c r="AH56">
        <v>21.297000000000001</v>
      </c>
      <c r="AI56">
        <f>AH56-AE56</f>
        <v>4.9236666666666657</v>
      </c>
      <c r="AJ56">
        <f t="shared" si="77"/>
        <v>3.2947968695663792E-2</v>
      </c>
      <c r="AL56">
        <f t="shared" si="78"/>
        <v>8.0289446845078682</v>
      </c>
      <c r="BB56" t="s">
        <v>45</v>
      </c>
      <c r="BC56" t="s">
        <v>34</v>
      </c>
      <c r="BD56">
        <v>16.53</v>
      </c>
      <c r="BE56">
        <f>AVERAGE(BD54:BD56)</f>
        <v>16.373333333333335</v>
      </c>
      <c r="BF56" t="s">
        <v>45</v>
      </c>
      <c r="BG56" t="s">
        <v>52</v>
      </c>
      <c r="BH56">
        <v>20.033999999999999</v>
      </c>
      <c r="BI56">
        <f>BH56-BE56</f>
        <v>3.6606666666666641</v>
      </c>
      <c r="BJ56">
        <f t="shared" si="79"/>
        <v>7.9073239084250319E-2</v>
      </c>
      <c r="BL56">
        <f t="shared" si="80"/>
        <v>9.133324239560249</v>
      </c>
      <c r="CB56" s="6" t="s">
        <v>45</v>
      </c>
      <c r="CC56" s="6" t="s">
        <v>34</v>
      </c>
      <c r="CD56" s="6">
        <v>16.016999999999999</v>
      </c>
      <c r="CE56" s="6">
        <f t="shared" ref="CE56" si="157">AVERAGE(CD54:CD56)</f>
        <v>15.982666666666667</v>
      </c>
      <c r="CF56" s="6" t="s">
        <v>333</v>
      </c>
      <c r="CG56" s="6" t="s">
        <v>35</v>
      </c>
      <c r="CH56" s="6">
        <v>27.655000000000001</v>
      </c>
      <c r="CI56" s="6">
        <f t="shared" ref="CI56" si="158">CH56-CE56</f>
        <v>11.672333333333334</v>
      </c>
      <c r="CJ56" s="6">
        <f t="shared" si="87"/>
        <v>3.0639208871379624E-4</v>
      </c>
      <c r="CK56" s="6"/>
      <c r="CL56" s="6">
        <f t="shared" si="88"/>
        <v>44.393647804620436</v>
      </c>
      <c r="CM56" s="6"/>
      <c r="DB56" s="6" t="s">
        <v>45</v>
      </c>
      <c r="DC56" s="6" t="s">
        <v>34</v>
      </c>
      <c r="DD56" s="6">
        <v>16.016999999999999</v>
      </c>
      <c r="DE56" s="6">
        <f>AVERAGE(DD54:DD56)</f>
        <v>15.982666666666667</v>
      </c>
      <c r="DF56" s="6" t="s">
        <v>45</v>
      </c>
      <c r="DG56" s="6" t="s">
        <v>49</v>
      </c>
      <c r="DH56" s="6">
        <v>25.396999999999998</v>
      </c>
      <c r="DI56" s="6">
        <f>DH56-DE56</f>
        <v>9.4143333333333317</v>
      </c>
      <c r="DJ56" s="6">
        <f t="shared" si="81"/>
        <v>1.4655589010381792E-3</v>
      </c>
      <c r="DK56" s="6"/>
      <c r="DL56" s="6">
        <f t="shared" si="82"/>
        <v>15.503663049692245</v>
      </c>
      <c r="DM56" s="6"/>
      <c r="EB56" s="14" t="s">
        <v>45</v>
      </c>
      <c r="EC56" s="14" t="s">
        <v>34</v>
      </c>
      <c r="ED56" s="14">
        <v>16.016999999999999</v>
      </c>
      <c r="EE56" s="14">
        <f>AVERAGE(ED54:ED56)</f>
        <v>15.982666666666667</v>
      </c>
      <c r="EF56" s="14" t="s">
        <v>45</v>
      </c>
      <c r="EG56" s="14" t="s">
        <v>52</v>
      </c>
      <c r="EH56" s="14">
        <v>19.376000000000001</v>
      </c>
      <c r="EI56" s="14">
        <f>EH56-EE56</f>
        <v>3.3933333333333344</v>
      </c>
      <c r="EJ56" s="14">
        <f t="shared" si="83"/>
        <v>9.5171054508267003E-2</v>
      </c>
      <c r="EK56" s="14"/>
      <c r="EL56" s="14">
        <f t="shared" si="84"/>
        <v>26.239978914253271</v>
      </c>
      <c r="EM56" s="14"/>
      <c r="EN56" s="14"/>
      <c r="EO56" s="10"/>
      <c r="EP56" s="10"/>
      <c r="EQ56" s="10"/>
      <c r="ER56" s="10"/>
      <c r="ES56" s="10"/>
    </row>
    <row r="57" spans="2:149">
      <c r="B57" t="s">
        <v>46</v>
      </c>
      <c r="C57" t="s">
        <v>34</v>
      </c>
      <c r="D57">
        <v>17.369</v>
      </c>
      <c r="F57" t="s">
        <v>46</v>
      </c>
      <c r="G57" t="s">
        <v>35</v>
      </c>
      <c r="H57">
        <v>18.434000000000001</v>
      </c>
      <c r="I57">
        <f>H57-E59</f>
        <v>1.0533333333333346</v>
      </c>
      <c r="J57">
        <f t="shared" si="85"/>
        <v>0.48185355919577555</v>
      </c>
      <c r="L57">
        <f t="shared" si="86"/>
        <v>129.27718138078751</v>
      </c>
      <c r="AB57" t="s">
        <v>46</v>
      </c>
      <c r="AC57" t="s">
        <v>34</v>
      </c>
      <c r="AD57">
        <v>17.369</v>
      </c>
      <c r="AF57" t="s">
        <v>46</v>
      </c>
      <c r="AG57" t="s">
        <v>49</v>
      </c>
      <c r="AH57">
        <v>20.803000000000001</v>
      </c>
      <c r="AI57">
        <f>AH57-AE59</f>
        <v>3.4223333333333343</v>
      </c>
      <c r="AJ57">
        <f t="shared" si="77"/>
        <v>9.3277094881021788E-2</v>
      </c>
      <c r="AL57">
        <f t="shared" si="78"/>
        <v>22.730282465937854</v>
      </c>
      <c r="BB57" t="s">
        <v>46</v>
      </c>
      <c r="BC57" t="s">
        <v>34</v>
      </c>
      <c r="BD57">
        <v>17.369</v>
      </c>
      <c r="BF57" t="s">
        <v>46</v>
      </c>
      <c r="BG57" t="s">
        <v>52</v>
      </c>
      <c r="BH57">
        <v>19.716000000000001</v>
      </c>
      <c r="BI57">
        <f>BH57-BE59</f>
        <v>2.3353333333333346</v>
      </c>
      <c r="BJ57">
        <f t="shared" si="79"/>
        <v>0.19815024643495555</v>
      </c>
      <c r="BL57">
        <f t="shared" si="80"/>
        <v>22.887268433647403</v>
      </c>
      <c r="CB57" s="6" t="s">
        <v>46</v>
      </c>
      <c r="CC57" s="6" t="s">
        <v>34</v>
      </c>
      <c r="CD57" s="6">
        <v>16.384</v>
      </c>
      <c r="CE57" s="6"/>
      <c r="CF57" s="6" t="s">
        <v>46</v>
      </c>
      <c r="CG57" s="6" t="s">
        <v>35</v>
      </c>
      <c r="CH57" s="6">
        <v>26.905000000000001</v>
      </c>
      <c r="CI57" s="6">
        <f t="shared" ref="CI57" si="159">CH57-CE59</f>
        <v>10.501333333333335</v>
      </c>
      <c r="CJ57" s="6">
        <f t="shared" si="87"/>
        <v>6.8989607192205941E-4</v>
      </c>
      <c r="CK57" s="6"/>
      <c r="CL57" s="6">
        <f t="shared" si="88"/>
        <v>99.960163355614483</v>
      </c>
      <c r="CM57" s="6"/>
      <c r="DB57" s="6" t="s">
        <v>46</v>
      </c>
      <c r="DC57" s="6" t="s">
        <v>34</v>
      </c>
      <c r="DD57" s="6">
        <v>16.384</v>
      </c>
      <c r="DE57" s="6"/>
      <c r="DF57" s="6" t="s">
        <v>46</v>
      </c>
      <c r="DG57" s="6" t="s">
        <v>49</v>
      </c>
      <c r="DH57" s="6">
        <v>25.065000000000001</v>
      </c>
      <c r="DI57" s="6">
        <f>DH57-DE59</f>
        <v>8.6613333333333351</v>
      </c>
      <c r="DJ57" s="6">
        <f t="shared" si="81"/>
        <v>2.4698971228198844E-3</v>
      </c>
      <c r="DK57" s="6"/>
      <c r="DL57" s="6">
        <f t="shared" si="82"/>
        <v>26.128225029016608</v>
      </c>
      <c r="DM57" s="6"/>
      <c r="EB57" s="14" t="s">
        <v>46</v>
      </c>
      <c r="EC57" s="14" t="s">
        <v>34</v>
      </c>
      <c r="ED57" s="14">
        <v>16.384</v>
      </c>
      <c r="EE57" s="14"/>
      <c r="EF57" s="14" t="s">
        <v>46</v>
      </c>
      <c r="EG57" s="14" t="s">
        <v>52</v>
      </c>
      <c r="EH57" s="14">
        <v>18.989000000000001</v>
      </c>
      <c r="EI57" s="14">
        <f>EH57-EE59</f>
        <v>2.5853333333333346</v>
      </c>
      <c r="EJ57" s="14">
        <f t="shared" si="83"/>
        <v>0.16662383190879426</v>
      </c>
      <c r="EK57" s="14"/>
      <c r="EL57" s="14">
        <f t="shared" si="84"/>
        <v>45.940500065795248</v>
      </c>
      <c r="EM57" s="14"/>
      <c r="EN57" s="14"/>
      <c r="EO57" s="10"/>
      <c r="EP57" s="10"/>
      <c r="EQ57" s="10"/>
      <c r="ER57" s="10"/>
      <c r="ES57" s="10"/>
    </row>
    <row r="58" spans="2:149">
      <c r="B58" t="s">
        <v>46</v>
      </c>
      <c r="C58" t="s">
        <v>34</v>
      </c>
      <c r="D58">
        <v>17.372</v>
      </c>
      <c r="F58" t="s">
        <v>46</v>
      </c>
      <c r="G58" t="s">
        <v>35</v>
      </c>
      <c r="H58">
        <v>18.425000000000001</v>
      </c>
      <c r="I58">
        <f>H58-E59</f>
        <v>1.0443333333333342</v>
      </c>
      <c r="J58">
        <f t="shared" si="85"/>
        <v>0.48486891372100072</v>
      </c>
      <c r="L58">
        <f t="shared" si="86"/>
        <v>130.08617516415922</v>
      </c>
      <c r="AB58" t="s">
        <v>46</v>
      </c>
      <c r="AC58" t="s">
        <v>34</v>
      </c>
      <c r="AD58">
        <v>17.372</v>
      </c>
      <c r="AF58" t="s">
        <v>46</v>
      </c>
      <c r="AG58" t="s">
        <v>49</v>
      </c>
      <c r="AH58">
        <v>20.827000000000002</v>
      </c>
      <c r="AI58">
        <f>AH58-AE59</f>
        <v>3.4463333333333352</v>
      </c>
      <c r="AJ58">
        <f t="shared" si="77"/>
        <v>9.1738216274628054E-2</v>
      </c>
      <c r="AL58">
        <f t="shared" si="78"/>
        <v>22.355279948452338</v>
      </c>
      <c r="BB58" t="s">
        <v>46</v>
      </c>
      <c r="BC58" t="s">
        <v>34</v>
      </c>
      <c r="BD58">
        <v>17.372</v>
      </c>
      <c r="BF58" t="s">
        <v>46</v>
      </c>
      <c r="BG58" t="s">
        <v>52</v>
      </c>
      <c r="BH58">
        <v>19.841000000000001</v>
      </c>
      <c r="BI58">
        <f>BH58-BE59</f>
        <v>2.4603333333333346</v>
      </c>
      <c r="BJ58">
        <f t="shared" si="79"/>
        <v>0.18170457714285623</v>
      </c>
      <c r="BL58">
        <f t="shared" si="80"/>
        <v>20.987717691565312</v>
      </c>
      <c r="CB58" s="6" t="s">
        <v>46</v>
      </c>
      <c r="CC58" s="6" t="s">
        <v>34</v>
      </c>
      <c r="CD58" s="6">
        <v>16.408999999999999</v>
      </c>
      <c r="CE58" s="6"/>
      <c r="CF58" s="6" t="s">
        <v>46</v>
      </c>
      <c r="CG58" s="6" t="s">
        <v>35</v>
      </c>
      <c r="CH58" s="6">
        <v>26.693000000000001</v>
      </c>
      <c r="CI58" s="6">
        <f t="shared" ref="CI58" si="160">CH58-CE59</f>
        <v>10.289333333333335</v>
      </c>
      <c r="CJ58" s="6">
        <f t="shared" si="87"/>
        <v>7.9910165712926374E-4</v>
      </c>
      <c r="CK58" s="6"/>
      <c r="CL58" s="6">
        <f t="shared" si="88"/>
        <v>115.78313812084966</v>
      </c>
      <c r="CM58" s="6"/>
      <c r="DB58" s="6" t="s">
        <v>46</v>
      </c>
      <c r="DC58" s="6" t="s">
        <v>34</v>
      </c>
      <c r="DD58" s="6">
        <v>16.408999999999999</v>
      </c>
      <c r="DE58" s="6"/>
      <c r="DF58" s="6" t="s">
        <v>46</v>
      </c>
      <c r="DG58" s="6" t="s">
        <v>49</v>
      </c>
      <c r="DH58" s="6">
        <v>25.236000000000001</v>
      </c>
      <c r="DI58" s="6">
        <f>DH58-DE59</f>
        <v>8.8323333333333345</v>
      </c>
      <c r="DJ58" s="6">
        <f t="shared" si="81"/>
        <v>2.1938288074626819E-3</v>
      </c>
      <c r="DK58" s="6"/>
      <c r="DL58" s="6">
        <f t="shared" si="82"/>
        <v>23.207789598572763</v>
      </c>
      <c r="DM58" s="6"/>
      <c r="EB58" s="14" t="s">
        <v>46</v>
      </c>
      <c r="EC58" s="14" t="s">
        <v>34</v>
      </c>
      <c r="ED58" s="14">
        <v>16.408999999999999</v>
      </c>
      <c r="EE58" s="14"/>
      <c r="EF58" s="14" t="s">
        <v>46</v>
      </c>
      <c r="EG58" s="14" t="s">
        <v>52</v>
      </c>
      <c r="EH58" s="14">
        <v>19.027000000000001</v>
      </c>
      <c r="EI58" s="14">
        <f>EH58-EE59</f>
        <v>2.6233333333333348</v>
      </c>
      <c r="EJ58" s="14">
        <f t="shared" si="83"/>
        <v>0.16229232352019704</v>
      </c>
      <c r="EK58" s="14"/>
      <c r="EL58" s="14">
        <f t="shared" si="84"/>
        <v>44.746243163095599</v>
      </c>
      <c r="EM58" s="14"/>
      <c r="EN58" s="14"/>
      <c r="EO58" s="10"/>
      <c r="EP58" s="10"/>
      <c r="EQ58" s="10"/>
      <c r="ER58" s="10"/>
      <c r="ES58" s="10"/>
    </row>
    <row r="59" spans="2:149">
      <c r="B59" t="s">
        <v>46</v>
      </c>
      <c r="C59" t="s">
        <v>34</v>
      </c>
      <c r="D59">
        <v>17.401</v>
      </c>
      <c r="E59">
        <f t="shared" ref="E59" si="161">AVERAGE(D57:D59)</f>
        <v>17.380666666666666</v>
      </c>
      <c r="F59" t="s">
        <v>46</v>
      </c>
      <c r="G59" t="s">
        <v>35</v>
      </c>
      <c r="H59">
        <v>18.212</v>
      </c>
      <c r="I59">
        <f>H59-E59</f>
        <v>0.83133333333333326</v>
      </c>
      <c r="J59">
        <f t="shared" si="85"/>
        <v>0.56200959509832327</v>
      </c>
      <c r="L59">
        <f t="shared" si="86"/>
        <v>150.78235903151102</v>
      </c>
      <c r="AB59" t="s">
        <v>46</v>
      </c>
      <c r="AC59" t="s">
        <v>34</v>
      </c>
      <c r="AD59">
        <v>17.401</v>
      </c>
      <c r="AE59">
        <f>AVERAGE(AD57:AD59)</f>
        <v>17.380666666666666</v>
      </c>
      <c r="AF59" t="s">
        <v>46</v>
      </c>
      <c r="AG59" t="s">
        <v>49</v>
      </c>
      <c r="AH59">
        <v>20.702000000000002</v>
      </c>
      <c r="AI59">
        <f>AH59-AE59</f>
        <v>3.3213333333333352</v>
      </c>
      <c r="AJ59">
        <f t="shared" si="77"/>
        <v>0.10004123422839964</v>
      </c>
      <c r="AL59">
        <f t="shared" si="78"/>
        <v>24.378605649683848</v>
      </c>
      <c r="BB59" t="s">
        <v>46</v>
      </c>
      <c r="BC59" t="s">
        <v>34</v>
      </c>
      <c r="BD59">
        <v>17.401</v>
      </c>
      <c r="BE59">
        <f>AVERAGE(BD57:BD59)</f>
        <v>17.380666666666666</v>
      </c>
      <c r="BF59" t="s">
        <v>46</v>
      </c>
      <c r="BG59" t="s">
        <v>52</v>
      </c>
      <c r="BH59">
        <v>19.847999999999999</v>
      </c>
      <c r="BI59">
        <f>BH59-BE59</f>
        <v>2.4673333333333325</v>
      </c>
      <c r="BJ59">
        <f t="shared" si="79"/>
        <v>0.18082507644292081</v>
      </c>
      <c r="BL59">
        <f t="shared" si="80"/>
        <v>20.88613129957659</v>
      </c>
      <c r="CB59" s="6" t="s">
        <v>46</v>
      </c>
      <c r="CC59" s="6" t="s">
        <v>34</v>
      </c>
      <c r="CD59" s="6">
        <v>16.417999999999999</v>
      </c>
      <c r="CE59" s="6">
        <f t="shared" ref="CE59" si="162">AVERAGE(CD57:CD59)</f>
        <v>16.403666666666666</v>
      </c>
      <c r="CF59" s="6" t="s">
        <v>46</v>
      </c>
      <c r="CG59" s="6" t="s">
        <v>35</v>
      </c>
      <c r="CH59" s="6">
        <v>26.838999999999999</v>
      </c>
      <c r="CI59" s="6">
        <f t="shared" ref="CI59" si="163">CH59-CE59</f>
        <v>10.435333333333332</v>
      </c>
      <c r="CJ59" s="6">
        <f t="shared" si="87"/>
        <v>7.2219030158188441E-4</v>
      </c>
      <c r="CK59" s="6"/>
      <c r="CL59" s="6">
        <f t="shared" si="88"/>
        <v>104.63932678851563</v>
      </c>
      <c r="CM59" s="6"/>
      <c r="DB59" s="6" t="s">
        <v>46</v>
      </c>
      <c r="DC59" s="6" t="s">
        <v>34</v>
      </c>
      <c r="DD59" s="6">
        <v>16.417999999999999</v>
      </c>
      <c r="DE59" s="6">
        <f>AVERAGE(DD57:DD59)</f>
        <v>16.403666666666666</v>
      </c>
      <c r="DF59" s="6" t="s">
        <v>46</v>
      </c>
      <c r="DG59" s="6" t="s">
        <v>49</v>
      </c>
      <c r="DH59" s="6">
        <v>25.04</v>
      </c>
      <c r="DI59" s="6">
        <f>DH59-DE59</f>
        <v>8.636333333333333</v>
      </c>
      <c r="DJ59" s="6">
        <f t="shared" si="81"/>
        <v>2.5130701640520897E-3</v>
      </c>
      <c r="DK59" s="6"/>
      <c r="DL59" s="6">
        <f t="shared" si="82"/>
        <v>26.584938357713551</v>
      </c>
      <c r="DM59" s="6"/>
      <c r="EB59" s="14" t="s">
        <v>46</v>
      </c>
      <c r="EC59" s="14" t="s">
        <v>34</v>
      </c>
      <c r="ED59" s="14">
        <v>16.417999999999999</v>
      </c>
      <c r="EE59" s="14">
        <f>AVERAGE(ED57:ED59)</f>
        <v>16.403666666666666</v>
      </c>
      <c r="EF59" s="14" t="s">
        <v>46</v>
      </c>
      <c r="EG59" s="14" t="s">
        <v>52</v>
      </c>
      <c r="EH59" s="14">
        <v>18.878</v>
      </c>
      <c r="EI59" s="14">
        <f>EH59-EE59</f>
        <v>2.4743333333333339</v>
      </c>
      <c r="EJ59" s="14">
        <f t="shared" si="83"/>
        <v>0.17994983277103213</v>
      </c>
      <c r="EK59" s="14"/>
      <c r="EL59" s="14">
        <f t="shared" si="84"/>
        <v>49.614663218059867</v>
      </c>
      <c r="EM59" s="14"/>
      <c r="EN59" s="14"/>
      <c r="EO59" s="10"/>
      <c r="EP59" s="10"/>
      <c r="EQ59" s="10"/>
      <c r="ER59" s="10"/>
      <c r="ES59" s="10"/>
    </row>
    <row r="60" spans="2:149">
      <c r="B60" t="s">
        <v>47</v>
      </c>
      <c r="C60" t="s">
        <v>34</v>
      </c>
      <c r="D60">
        <v>17.472000000000001</v>
      </c>
      <c r="F60" t="s">
        <v>47</v>
      </c>
      <c r="G60" t="s">
        <v>35</v>
      </c>
      <c r="H60">
        <v>18.707999999999998</v>
      </c>
      <c r="I60">
        <f>H60-E62</f>
        <v>1.3116666666666639</v>
      </c>
      <c r="J60">
        <f t="shared" si="85"/>
        <v>0.40285521409086644</v>
      </c>
      <c r="L60">
        <f t="shared" si="86"/>
        <v>108.08260225190324</v>
      </c>
      <c r="AB60" t="s">
        <v>47</v>
      </c>
      <c r="AC60" t="s">
        <v>34</v>
      </c>
      <c r="AD60">
        <v>17.472000000000001</v>
      </c>
      <c r="AF60" t="s">
        <v>47</v>
      </c>
      <c r="AG60" t="s">
        <v>49</v>
      </c>
      <c r="AH60">
        <v>21.582000000000001</v>
      </c>
      <c r="AI60">
        <f>AH60-AE62</f>
        <v>4.1856666666666662</v>
      </c>
      <c r="AJ60">
        <f t="shared" si="77"/>
        <v>5.4952667852574265E-2</v>
      </c>
      <c r="AL60">
        <f t="shared" si="78"/>
        <v>13.391172443129081</v>
      </c>
      <c r="BB60" t="s">
        <v>47</v>
      </c>
      <c r="BC60" t="s">
        <v>34</v>
      </c>
      <c r="BD60">
        <v>17.472000000000001</v>
      </c>
      <c r="BF60" t="s">
        <v>47</v>
      </c>
      <c r="BG60" t="s">
        <v>52</v>
      </c>
      <c r="BH60">
        <v>20.236000000000001</v>
      </c>
      <c r="BI60">
        <f>BH60-BE62</f>
        <v>2.8396666666666661</v>
      </c>
      <c r="BJ60">
        <f t="shared" si="79"/>
        <v>0.13969316450502134</v>
      </c>
      <c r="BL60">
        <f t="shared" si="80"/>
        <v>16.135205541728126</v>
      </c>
      <c r="CB60" s="6" t="s">
        <v>47</v>
      </c>
      <c r="CC60" s="6" t="s">
        <v>34</v>
      </c>
      <c r="CD60" s="6">
        <v>15.247999999999999</v>
      </c>
      <c r="CE60" s="6"/>
      <c r="CF60" s="6" t="s">
        <v>334</v>
      </c>
      <c r="CG60" s="6" t="s">
        <v>35</v>
      </c>
      <c r="CH60" s="6">
        <v>26.202999999999999</v>
      </c>
      <c r="CI60" s="6">
        <f t="shared" ref="CI60" si="164">CH60-CE62</f>
        <v>10.872333333333334</v>
      </c>
      <c r="CJ60" s="6">
        <f t="shared" si="87"/>
        <v>5.3345961083854317E-4</v>
      </c>
      <c r="CK60" s="6"/>
      <c r="CL60" s="6">
        <f t="shared" si="88"/>
        <v>77.293830206164202</v>
      </c>
      <c r="CM60" s="6"/>
      <c r="DB60" s="6" t="s">
        <v>47</v>
      </c>
      <c r="DC60" s="6" t="s">
        <v>34</v>
      </c>
      <c r="DD60" s="6">
        <v>15.247999999999999</v>
      </c>
      <c r="DE60" s="6"/>
      <c r="DF60" s="6" t="s">
        <v>47</v>
      </c>
      <c r="DG60" s="6" t="s">
        <v>49</v>
      </c>
      <c r="DH60" s="6">
        <v>25.163</v>
      </c>
      <c r="DI60" s="6">
        <f>DH60-DE62</f>
        <v>9.8323333333333345</v>
      </c>
      <c r="DJ60" s="6">
        <f t="shared" si="81"/>
        <v>1.0969144037313407E-3</v>
      </c>
      <c r="DK60" s="6"/>
      <c r="DL60" s="6">
        <f t="shared" si="82"/>
        <v>11.603894799286378</v>
      </c>
      <c r="DM60" s="6"/>
      <c r="EB60" s="14" t="s">
        <v>47</v>
      </c>
      <c r="EC60" s="14" t="s">
        <v>34</v>
      </c>
      <c r="ED60" s="14">
        <v>15.247999999999999</v>
      </c>
      <c r="EE60" s="14"/>
      <c r="EF60" s="14" t="s">
        <v>47</v>
      </c>
      <c r="EG60" s="14" t="s">
        <v>52</v>
      </c>
      <c r="EH60" s="14">
        <v>19.422000000000001</v>
      </c>
      <c r="EI60" s="14">
        <f>EH60-EE62</f>
        <v>4.0913333333333348</v>
      </c>
      <c r="EJ60" s="14">
        <f t="shared" si="83"/>
        <v>5.8665927933679807E-2</v>
      </c>
      <c r="EK60" s="14"/>
      <c r="EL60" s="14">
        <f t="shared" si="84"/>
        <v>16.175009512279193</v>
      </c>
      <c r="EM60" s="14"/>
      <c r="EN60" s="14"/>
      <c r="EO60" s="10"/>
      <c r="EP60" s="10"/>
      <c r="EQ60" s="10"/>
      <c r="ER60" s="10"/>
      <c r="ES60" s="10"/>
    </row>
    <row r="61" spans="2:149">
      <c r="B61" t="s">
        <v>47</v>
      </c>
      <c r="C61" t="s">
        <v>34</v>
      </c>
      <c r="D61">
        <v>17.358000000000001</v>
      </c>
      <c r="F61" t="s">
        <v>47</v>
      </c>
      <c r="G61" t="s">
        <v>35</v>
      </c>
      <c r="H61">
        <v>18.71</v>
      </c>
      <c r="I61">
        <f>H61-E62</f>
        <v>1.3136666666666663</v>
      </c>
      <c r="J61">
        <f t="shared" si="85"/>
        <v>0.40229712510640842</v>
      </c>
      <c r="L61">
        <f t="shared" si="86"/>
        <v>107.93287175911449</v>
      </c>
      <c r="AB61" t="s">
        <v>47</v>
      </c>
      <c r="AC61" t="s">
        <v>34</v>
      </c>
      <c r="AD61">
        <v>17.358000000000001</v>
      </c>
      <c r="AF61" t="s">
        <v>47</v>
      </c>
      <c r="AG61" t="s">
        <v>49</v>
      </c>
      <c r="AH61">
        <v>21.571000000000002</v>
      </c>
      <c r="AI61">
        <f>AH61-AE62</f>
        <v>4.174666666666667</v>
      </c>
      <c r="AJ61">
        <f t="shared" si="77"/>
        <v>5.5373262406235864E-2</v>
      </c>
      <c r="AL61">
        <f t="shared" si="78"/>
        <v>13.493665268624531</v>
      </c>
      <c r="BB61" t="s">
        <v>47</v>
      </c>
      <c r="BC61" t="s">
        <v>34</v>
      </c>
      <c r="BD61">
        <v>17.358000000000001</v>
      </c>
      <c r="BF61" t="s">
        <v>47</v>
      </c>
      <c r="BG61" t="s">
        <v>52</v>
      </c>
      <c r="BH61">
        <v>20.239999999999998</v>
      </c>
      <c r="BI61">
        <f>BH61-BE62</f>
        <v>2.8436666666666639</v>
      </c>
      <c r="BJ61">
        <f t="shared" si="79"/>
        <v>0.13930638924467312</v>
      </c>
      <c r="BL61">
        <f t="shared" si="80"/>
        <v>16.090531213200407</v>
      </c>
      <c r="CB61" s="6" t="s">
        <v>47</v>
      </c>
      <c r="CC61" s="6" t="s">
        <v>34</v>
      </c>
      <c r="CD61" s="6">
        <v>15.385</v>
      </c>
      <c r="CE61" s="6"/>
      <c r="CF61" s="6" t="s">
        <v>334</v>
      </c>
      <c r="CG61" s="6" t="s">
        <v>35</v>
      </c>
      <c r="CH61" s="6">
        <v>26.431999999999999</v>
      </c>
      <c r="CI61" s="6">
        <f t="shared" ref="CI61" si="165">CH61-CE62</f>
        <v>11.101333333333333</v>
      </c>
      <c r="CJ61" s="6">
        <f t="shared" si="87"/>
        <v>4.5516166225615236E-4</v>
      </c>
      <c r="CK61" s="6"/>
      <c r="CL61" s="6">
        <f t="shared" si="88"/>
        <v>65.949113154942168</v>
      </c>
      <c r="CM61" s="6"/>
      <c r="DB61" s="6" t="s">
        <v>47</v>
      </c>
      <c r="DC61" s="6" t="s">
        <v>34</v>
      </c>
      <c r="DD61" s="6">
        <v>15.385</v>
      </c>
      <c r="DE61" s="6"/>
      <c r="DF61" s="6" t="s">
        <v>47</v>
      </c>
      <c r="DG61" s="6" t="s">
        <v>49</v>
      </c>
      <c r="DH61" s="6">
        <v>25.094999999999999</v>
      </c>
      <c r="DI61" s="6">
        <f>DH61-DE62</f>
        <v>9.7643333333333331</v>
      </c>
      <c r="DJ61" s="6">
        <f t="shared" si="81"/>
        <v>1.1498542082855915E-3</v>
      </c>
      <c r="DK61" s="6"/>
      <c r="DL61" s="6">
        <f t="shared" si="82"/>
        <v>12.16392748793796</v>
      </c>
      <c r="DM61" s="6"/>
      <c r="EB61" s="14" t="s">
        <v>47</v>
      </c>
      <c r="EC61" s="14" t="s">
        <v>34</v>
      </c>
      <c r="ED61" s="14">
        <v>15.385</v>
      </c>
      <c r="EE61" s="14"/>
      <c r="EF61" s="14" t="s">
        <v>47</v>
      </c>
      <c r="EG61" s="14" t="s">
        <v>52</v>
      </c>
      <c r="EH61" s="14">
        <v>19.381</v>
      </c>
      <c r="EI61" s="14">
        <f>EH61-EE62</f>
        <v>4.0503333333333345</v>
      </c>
      <c r="EJ61" s="14">
        <f t="shared" si="83"/>
        <v>6.0357073501529593E-2</v>
      </c>
      <c r="EK61" s="14"/>
      <c r="EL61" s="14">
        <f t="shared" si="84"/>
        <v>16.641281786665481</v>
      </c>
      <c r="EM61" s="14"/>
      <c r="EN61" s="14"/>
      <c r="EO61" s="10"/>
      <c r="EP61" s="10"/>
      <c r="EQ61" s="10"/>
      <c r="ER61" s="10"/>
      <c r="ES61" s="10"/>
    </row>
    <row r="62" spans="2:149">
      <c r="B62" t="s">
        <v>47</v>
      </c>
      <c r="C62" t="s">
        <v>34</v>
      </c>
      <c r="D62">
        <v>17.359000000000002</v>
      </c>
      <c r="E62">
        <f t="shared" ref="E62" si="166">AVERAGE(D60:D62)</f>
        <v>17.396333333333335</v>
      </c>
      <c r="F62" t="s">
        <v>47</v>
      </c>
      <c r="G62" t="s">
        <v>35</v>
      </c>
      <c r="H62">
        <v>18.754000000000001</v>
      </c>
      <c r="I62">
        <f>H62-E62</f>
        <v>1.3576666666666668</v>
      </c>
      <c r="J62">
        <f t="shared" si="85"/>
        <v>0.39021288799319964</v>
      </c>
      <c r="L62">
        <f t="shared" si="86"/>
        <v>104.69077448014012</v>
      </c>
      <c r="AB62" t="s">
        <v>47</v>
      </c>
      <c r="AC62" t="s">
        <v>34</v>
      </c>
      <c r="AD62">
        <v>17.359000000000002</v>
      </c>
      <c r="AE62">
        <f>AVERAGE(AD60:AD62)</f>
        <v>17.396333333333335</v>
      </c>
      <c r="AF62" t="s">
        <v>47</v>
      </c>
      <c r="AG62" t="s">
        <v>49</v>
      </c>
      <c r="AH62">
        <v>21.542000000000002</v>
      </c>
      <c r="AI62">
        <f>AH62-AE62</f>
        <v>4.1456666666666671</v>
      </c>
      <c r="AJ62">
        <f t="shared" si="77"/>
        <v>5.6497597630869895E-2</v>
      </c>
      <c r="AL62">
        <f t="shared" si="78"/>
        <v>13.767649543916695</v>
      </c>
      <c r="BB62" t="s">
        <v>47</v>
      </c>
      <c r="BC62" t="s">
        <v>34</v>
      </c>
      <c r="BD62">
        <v>17.359000000000002</v>
      </c>
      <c r="BE62">
        <f>AVERAGE(BD60:BD62)</f>
        <v>17.396333333333335</v>
      </c>
      <c r="BF62" t="s">
        <v>47</v>
      </c>
      <c r="BG62" t="s">
        <v>52</v>
      </c>
      <c r="BH62">
        <v>20.286000000000001</v>
      </c>
      <c r="BI62">
        <f>BH62-BE62</f>
        <v>2.8896666666666668</v>
      </c>
      <c r="BJ62">
        <f t="shared" si="79"/>
        <v>0.13493470249787476</v>
      </c>
      <c r="BL62">
        <f t="shared" si="80"/>
        <v>15.58558120742468</v>
      </c>
      <c r="CB62" s="6" t="s">
        <v>47</v>
      </c>
      <c r="CC62" s="6" t="s">
        <v>34</v>
      </c>
      <c r="CD62" s="6">
        <v>15.359</v>
      </c>
      <c r="CE62" s="6">
        <f t="shared" ref="CE62" si="167">AVERAGE(CD60:CD62)</f>
        <v>15.330666666666666</v>
      </c>
      <c r="CF62" s="6" t="s">
        <v>334</v>
      </c>
      <c r="CG62" s="6" t="s">
        <v>35</v>
      </c>
      <c r="CH62" s="6">
        <v>26.395</v>
      </c>
      <c r="CI62" s="6">
        <f t="shared" ref="CI62" si="168">CH62-CE62</f>
        <v>11.064333333333334</v>
      </c>
      <c r="CJ62" s="6">
        <f t="shared" si="87"/>
        <v>4.6698591807013684E-4</v>
      </c>
      <c r="CK62" s="6"/>
      <c r="CL62" s="6">
        <f t="shared" si="88"/>
        <v>67.662348801336734</v>
      </c>
      <c r="CM62" s="6"/>
      <c r="DB62" s="6" t="s">
        <v>47</v>
      </c>
      <c r="DC62" s="6" t="s">
        <v>34</v>
      </c>
      <c r="DD62" s="6">
        <v>15.359</v>
      </c>
      <c r="DE62" s="6">
        <f>AVERAGE(DD60:DD62)</f>
        <v>15.330666666666666</v>
      </c>
      <c r="DF62" s="6" t="s">
        <v>47</v>
      </c>
      <c r="DG62" s="6" t="s">
        <v>49</v>
      </c>
      <c r="DH62" s="6">
        <v>25.425000000000001</v>
      </c>
      <c r="DI62" s="6">
        <f>DH62-DE62</f>
        <v>10.094333333333335</v>
      </c>
      <c r="DJ62" s="6">
        <f t="shared" si="81"/>
        <v>9.1475097369031466E-4</v>
      </c>
      <c r="DK62" s="6"/>
      <c r="DL62" s="6">
        <f t="shared" si="82"/>
        <v>9.676848102403957</v>
      </c>
      <c r="DM62" s="6"/>
      <c r="EB62" s="14" t="s">
        <v>47</v>
      </c>
      <c r="EC62" s="14" t="s">
        <v>34</v>
      </c>
      <c r="ED62" s="14">
        <v>15.359</v>
      </c>
      <c r="EE62" s="14">
        <f>AVERAGE(ED60:ED62)</f>
        <v>15.330666666666666</v>
      </c>
      <c r="EF62" s="14" t="s">
        <v>47</v>
      </c>
      <c r="EG62" s="14" t="s">
        <v>52</v>
      </c>
      <c r="EH62" s="14">
        <v>19.413</v>
      </c>
      <c r="EI62" s="14">
        <f>EH62-EE62</f>
        <v>4.0823333333333345</v>
      </c>
      <c r="EJ62" s="14">
        <f t="shared" si="83"/>
        <v>5.9033048956022391E-2</v>
      </c>
      <c r="EK62" s="14"/>
      <c r="EL62" s="14">
        <f t="shared" si="84"/>
        <v>16.276229866881984</v>
      </c>
      <c r="EM62" s="14"/>
      <c r="EN62" s="14"/>
      <c r="EO62" s="10"/>
      <c r="EP62" s="10"/>
      <c r="EQ62" s="10"/>
      <c r="ER62" s="10"/>
      <c r="ES62" s="10"/>
    </row>
    <row r="63" spans="2:149">
      <c r="B63" t="s">
        <v>48</v>
      </c>
      <c r="C63" t="s">
        <v>34</v>
      </c>
      <c r="D63">
        <v>17.462</v>
      </c>
      <c r="F63" t="s">
        <v>48</v>
      </c>
      <c r="G63" t="s">
        <v>35</v>
      </c>
      <c r="H63">
        <v>18.437999999999999</v>
      </c>
      <c r="I63">
        <f>H63-E65</f>
        <v>1.0083333333333329</v>
      </c>
      <c r="J63">
        <f t="shared" si="85"/>
        <v>0.49712021190877376</v>
      </c>
      <c r="L63">
        <f t="shared" si="86"/>
        <v>133.37309349804943</v>
      </c>
      <c r="AB63" t="s">
        <v>48</v>
      </c>
      <c r="AC63" t="s">
        <v>34</v>
      </c>
      <c r="AD63">
        <v>17.462</v>
      </c>
      <c r="AF63" t="s">
        <v>48</v>
      </c>
      <c r="AG63" t="s">
        <v>49</v>
      </c>
      <c r="AH63">
        <v>20.856999999999999</v>
      </c>
      <c r="AI63">
        <f>AH63-AE65</f>
        <v>3.4273333333333333</v>
      </c>
      <c r="AJ63">
        <f t="shared" si="77"/>
        <v>9.2954380648553492E-2</v>
      </c>
      <c r="AL63">
        <f t="shared" si="78"/>
        <v>22.651641662757402</v>
      </c>
      <c r="BB63" t="s">
        <v>48</v>
      </c>
      <c r="BC63" t="s">
        <v>34</v>
      </c>
      <c r="BD63">
        <v>17.462</v>
      </c>
      <c r="BF63" t="s">
        <v>48</v>
      </c>
      <c r="BG63" t="s">
        <v>52</v>
      </c>
      <c r="BH63">
        <v>19.765000000000001</v>
      </c>
      <c r="BI63">
        <f>BH63-BE65</f>
        <v>2.3353333333333346</v>
      </c>
      <c r="BJ63">
        <f t="shared" si="79"/>
        <v>0.19815024643495555</v>
      </c>
      <c r="BL63">
        <f t="shared" si="80"/>
        <v>22.887268433647403</v>
      </c>
      <c r="CB63" s="6" t="s">
        <v>48</v>
      </c>
      <c r="CC63" s="6" t="s">
        <v>34</v>
      </c>
      <c r="CD63" s="6">
        <v>15.993</v>
      </c>
      <c r="CE63" s="6"/>
      <c r="CF63" s="6" t="s">
        <v>48</v>
      </c>
      <c r="CG63" s="6" t="s">
        <v>35</v>
      </c>
      <c r="CH63" s="6">
        <v>25.873999999999999</v>
      </c>
      <c r="CI63" s="6">
        <f t="shared" ref="CI63" si="169">CH63-CE65</f>
        <v>9.9046666666666656</v>
      </c>
      <c r="CJ63" s="6">
        <f t="shared" si="87"/>
        <v>1.0432736445970903E-3</v>
      </c>
      <c r="CK63" s="6"/>
      <c r="CL63" s="6">
        <f t="shared" si="88"/>
        <v>151.16161431096546</v>
      </c>
      <c r="CM63" s="6"/>
      <c r="DB63" s="6" t="s">
        <v>48</v>
      </c>
      <c r="DC63" s="6" t="s">
        <v>34</v>
      </c>
      <c r="DD63" s="6">
        <v>15.993</v>
      </c>
      <c r="DE63" s="6"/>
      <c r="DF63" s="6" t="s">
        <v>48</v>
      </c>
      <c r="DG63" s="6" t="s">
        <v>49</v>
      </c>
      <c r="DH63" s="6">
        <v>23.658999999999999</v>
      </c>
      <c r="DI63" s="6">
        <f>DH63-DE65</f>
        <v>7.6896666666666658</v>
      </c>
      <c r="DJ63" s="6">
        <f t="shared" si="81"/>
        <v>4.8437272122288507E-3</v>
      </c>
      <c r="DK63" s="6"/>
      <c r="DL63" s="6">
        <f t="shared" si="82"/>
        <v>51.240188674658356</v>
      </c>
      <c r="DM63" s="6"/>
      <c r="EB63" s="14" t="s">
        <v>48</v>
      </c>
      <c r="EC63" s="14" t="s">
        <v>34</v>
      </c>
      <c r="ED63" s="14">
        <v>15.993</v>
      </c>
      <c r="EE63" s="14"/>
      <c r="EF63" s="14" t="s">
        <v>48</v>
      </c>
      <c r="EG63" s="14" t="s">
        <v>52</v>
      </c>
      <c r="EH63" s="14">
        <v>18.643000000000001</v>
      </c>
      <c r="EI63" s="14">
        <f>EH63-EE65</f>
        <v>2.6736666666666675</v>
      </c>
      <c r="EJ63" s="14">
        <f t="shared" si="83"/>
        <v>0.15672783519108099</v>
      </c>
      <c r="EK63" s="14"/>
      <c r="EL63" s="14">
        <f t="shared" si="84"/>
        <v>43.212036600196477</v>
      </c>
      <c r="EM63" s="14"/>
      <c r="EN63" s="14"/>
      <c r="EO63" s="10"/>
      <c r="EP63" s="10"/>
      <c r="EQ63" s="10"/>
      <c r="ER63" s="10"/>
      <c r="ES63" s="10"/>
    </row>
    <row r="64" spans="2:149">
      <c r="B64" t="s">
        <v>48</v>
      </c>
      <c r="C64" t="s">
        <v>34</v>
      </c>
      <c r="D64">
        <v>17.385000000000002</v>
      </c>
      <c r="F64" t="s">
        <v>48</v>
      </c>
      <c r="G64" t="s">
        <v>35</v>
      </c>
      <c r="H64">
        <v>18.498000000000001</v>
      </c>
      <c r="I64">
        <f>H64-E65</f>
        <v>1.0683333333333351</v>
      </c>
      <c r="J64">
        <f t="shared" si="85"/>
        <v>0.47686958227545795</v>
      </c>
      <c r="L64">
        <f t="shared" si="86"/>
        <v>127.94002307609233</v>
      </c>
      <c r="AB64" t="s">
        <v>48</v>
      </c>
      <c r="AC64" t="s">
        <v>34</v>
      </c>
      <c r="AD64">
        <v>17.385000000000002</v>
      </c>
      <c r="AF64" t="s">
        <v>48</v>
      </c>
      <c r="AG64" t="s">
        <v>49</v>
      </c>
      <c r="AH64">
        <v>21.041</v>
      </c>
      <c r="AI64">
        <f>AH64-AE65</f>
        <v>3.6113333333333344</v>
      </c>
      <c r="AJ64">
        <f t="shared" si="77"/>
        <v>8.1823931416069279E-2</v>
      </c>
      <c r="AL64">
        <f t="shared" si="78"/>
        <v>19.939311745644787</v>
      </c>
      <c r="BB64" t="s">
        <v>48</v>
      </c>
      <c r="BC64" t="s">
        <v>34</v>
      </c>
      <c r="BD64">
        <v>17.385000000000002</v>
      </c>
      <c r="BF64" t="s">
        <v>48</v>
      </c>
      <c r="BG64" t="s">
        <v>52</v>
      </c>
      <c r="BH64">
        <v>19.798999999999999</v>
      </c>
      <c r="BI64">
        <f>BH64-BE65</f>
        <v>2.3693333333333335</v>
      </c>
      <c r="BJ64">
        <f t="shared" si="79"/>
        <v>0.19353503570898842</v>
      </c>
      <c r="BL64">
        <f t="shared" si="80"/>
        <v>22.354190283791393</v>
      </c>
      <c r="CB64" s="6" t="s">
        <v>48</v>
      </c>
      <c r="CC64" s="6" t="s">
        <v>34</v>
      </c>
      <c r="CD64" s="6">
        <v>15.997999999999999</v>
      </c>
      <c r="CE64" s="6"/>
      <c r="CF64" s="6" t="s">
        <v>48</v>
      </c>
      <c r="CG64" s="6" t="s">
        <v>35</v>
      </c>
      <c r="CH64" s="6">
        <v>25.87</v>
      </c>
      <c r="CI64" s="6">
        <f t="shared" ref="CI64" si="170">CH64-CE65</f>
        <v>9.9006666666666678</v>
      </c>
      <c r="CJ64" s="6">
        <f t="shared" si="87"/>
        <v>1.0461702269985963E-3</v>
      </c>
      <c r="CK64" s="6"/>
      <c r="CL64" s="6">
        <f t="shared" si="88"/>
        <v>151.58130484380305</v>
      </c>
      <c r="CM64" s="6"/>
      <c r="DB64" s="6" t="s">
        <v>48</v>
      </c>
      <c r="DC64" s="6" t="s">
        <v>34</v>
      </c>
      <c r="DD64" s="6">
        <v>15.997999999999999</v>
      </c>
      <c r="DE64" s="6"/>
      <c r="DF64" s="6" t="s">
        <v>48</v>
      </c>
      <c r="DG64" s="6" t="s">
        <v>49</v>
      </c>
      <c r="DH64" s="6">
        <v>24.8</v>
      </c>
      <c r="DI64" s="6">
        <f>DH64-DE65</f>
        <v>8.8306666666666676</v>
      </c>
      <c r="DJ64" s="6">
        <f t="shared" si="81"/>
        <v>2.1963646823803164E-3</v>
      </c>
      <c r="DK64" s="6"/>
      <c r="DL64" s="6">
        <f t="shared" si="82"/>
        <v>23.234615780878585</v>
      </c>
      <c r="DM64" s="6"/>
      <c r="EB64" s="14" t="s">
        <v>48</v>
      </c>
      <c r="EC64" s="14" t="s">
        <v>34</v>
      </c>
      <c r="ED64" s="14">
        <v>15.997999999999999</v>
      </c>
      <c r="EE64" s="14"/>
      <c r="EF64" s="14" t="s">
        <v>48</v>
      </c>
      <c r="EG64" s="14" t="s">
        <v>52</v>
      </c>
      <c r="EH64" s="14">
        <v>18.707000000000001</v>
      </c>
      <c r="EI64" s="14">
        <f>EH64-EE65</f>
        <v>2.7376666666666676</v>
      </c>
      <c r="EJ64" s="14">
        <f t="shared" si="83"/>
        <v>0.14992712574386685</v>
      </c>
      <c r="EK64" s="14"/>
      <c r="EL64" s="14">
        <f t="shared" si="84"/>
        <v>41.336986739512611</v>
      </c>
      <c r="EM64" s="14"/>
      <c r="EN64" s="14"/>
      <c r="EO64" s="10"/>
      <c r="EP64" s="10"/>
      <c r="EQ64" s="10"/>
      <c r="ER64" s="10"/>
      <c r="ES64" s="10"/>
    </row>
    <row r="65" spans="2:149">
      <c r="B65" t="s">
        <v>48</v>
      </c>
      <c r="C65" t="s">
        <v>34</v>
      </c>
      <c r="D65">
        <v>17.442</v>
      </c>
      <c r="E65">
        <f t="shared" ref="E65" si="171">AVERAGE(D63:D65)</f>
        <v>17.429666666666666</v>
      </c>
      <c r="F65" t="s">
        <v>48</v>
      </c>
      <c r="G65" t="s">
        <v>35</v>
      </c>
      <c r="H65">
        <v>18.529</v>
      </c>
      <c r="I65">
        <f>H65-E65</f>
        <v>1.0993333333333339</v>
      </c>
      <c r="J65">
        <f t="shared" si="85"/>
        <v>0.46673212198061792</v>
      </c>
      <c r="L65">
        <f t="shared" si="86"/>
        <v>125.22022933738074</v>
      </c>
      <c r="AB65" t="s">
        <v>48</v>
      </c>
      <c r="AC65" t="s">
        <v>34</v>
      </c>
      <c r="AD65">
        <v>17.442</v>
      </c>
      <c r="AE65">
        <f>AVERAGE(AD63:AD65)</f>
        <v>17.429666666666666</v>
      </c>
      <c r="AF65" t="s">
        <v>48</v>
      </c>
      <c r="AG65" t="s">
        <v>49</v>
      </c>
      <c r="AH65">
        <v>20.866</v>
      </c>
      <c r="AI65">
        <f>AH65-AE65</f>
        <v>3.4363333333333337</v>
      </c>
      <c r="AJ65">
        <f t="shared" si="77"/>
        <v>9.237630603004042E-2</v>
      </c>
      <c r="AL65">
        <f t="shared" si="78"/>
        <v>22.510773217165784</v>
      </c>
      <c r="BB65" t="s">
        <v>48</v>
      </c>
      <c r="BC65" t="s">
        <v>34</v>
      </c>
      <c r="BD65">
        <v>17.442</v>
      </c>
      <c r="BE65">
        <f>AVERAGE(BD63:BD65)</f>
        <v>17.429666666666666</v>
      </c>
      <c r="BF65" t="s">
        <v>48</v>
      </c>
      <c r="BG65" t="s">
        <v>52</v>
      </c>
      <c r="BH65">
        <v>19.827999999999999</v>
      </c>
      <c r="BI65">
        <f>BH65-BE65</f>
        <v>2.3983333333333334</v>
      </c>
      <c r="BJ65">
        <f t="shared" si="79"/>
        <v>0.18968357534654759</v>
      </c>
      <c r="BL65">
        <f t="shared" si="80"/>
        <v>21.909328827584869</v>
      </c>
      <c r="CB65" s="6" t="s">
        <v>48</v>
      </c>
      <c r="CC65" s="6" t="s">
        <v>34</v>
      </c>
      <c r="CD65" s="6">
        <v>15.917</v>
      </c>
      <c r="CE65" s="6">
        <f t="shared" ref="CE65" si="172">AVERAGE(CD63:CD65)</f>
        <v>15.969333333333333</v>
      </c>
      <c r="CF65" s="6" t="s">
        <v>48</v>
      </c>
      <c r="CG65" s="6" t="s">
        <v>35</v>
      </c>
      <c r="CH65" s="6">
        <v>25.751999999999999</v>
      </c>
      <c r="CI65" s="6">
        <f t="shared" ref="CI65" si="173">CH65-CE65</f>
        <v>9.7826666666666657</v>
      </c>
      <c r="CJ65" s="6">
        <f t="shared" si="87"/>
        <v>1.1353346583271361E-3</v>
      </c>
      <c r="CK65" s="6"/>
      <c r="CL65" s="6">
        <f t="shared" si="88"/>
        <v>164.50048424466539</v>
      </c>
      <c r="CM65" s="6"/>
      <c r="DB65" s="6" t="s">
        <v>48</v>
      </c>
      <c r="DC65" s="6" t="s">
        <v>34</v>
      </c>
      <c r="DD65" s="6">
        <v>15.917</v>
      </c>
      <c r="DE65" s="6">
        <f>AVERAGE(DD63:DD65)</f>
        <v>15.969333333333333</v>
      </c>
      <c r="DF65" s="6" t="s">
        <v>48</v>
      </c>
      <c r="DG65" s="6" t="s">
        <v>49</v>
      </c>
      <c r="DH65" s="6">
        <v>24.933</v>
      </c>
      <c r="DI65" s="6">
        <f>DH65-DE65</f>
        <v>8.9636666666666667</v>
      </c>
      <c r="DJ65" s="6">
        <f t="shared" si="81"/>
        <v>2.0029377974389037E-3</v>
      </c>
      <c r="DK65" s="6"/>
      <c r="DL65" s="6">
        <f t="shared" si="82"/>
        <v>21.188416718692185</v>
      </c>
      <c r="DM65" s="6"/>
      <c r="EB65" s="14" t="s">
        <v>48</v>
      </c>
      <c r="EC65" s="14" t="s">
        <v>34</v>
      </c>
      <c r="ED65" s="14">
        <v>15.917</v>
      </c>
      <c r="EE65" s="14">
        <f>AVERAGE(ED63:ED65)</f>
        <v>15.969333333333333</v>
      </c>
      <c r="EF65" s="14" t="s">
        <v>48</v>
      </c>
      <c r="EG65" s="14" t="s">
        <v>52</v>
      </c>
      <c r="EH65" s="14">
        <v>18.722000000000001</v>
      </c>
      <c r="EI65" s="14">
        <f>EH65-EE65</f>
        <v>2.7526666666666681</v>
      </c>
      <c r="EJ65" s="14">
        <f t="shared" si="83"/>
        <v>0.1483763779696175</v>
      </c>
      <c r="EK65" s="14"/>
      <c r="EL65" s="14">
        <f t="shared" si="84"/>
        <v>40.90942408290578</v>
      </c>
      <c r="EM65" s="14"/>
      <c r="EN65" s="14"/>
      <c r="EO65" s="10"/>
      <c r="EP65" s="10"/>
      <c r="EQ65" s="10"/>
      <c r="ER65" s="10"/>
      <c r="ES65" s="10"/>
    </row>
  </sheetData>
  <phoneticPr fontId="2" type="noConversion"/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D2287F-D09B-A240-839B-B20762EA7743}">
  <dimension ref="A1:AO107"/>
  <sheetViews>
    <sheetView topLeftCell="T79" zoomScale="75" workbookViewId="0">
      <selection activeCell="AB95" sqref="AB95"/>
    </sheetView>
  </sheetViews>
  <sheetFormatPr baseColWidth="10" defaultRowHeight="16"/>
  <cols>
    <col min="1" max="1" width="25" bestFit="1" customWidth="1"/>
    <col min="15" max="15" width="16.33203125" bestFit="1" customWidth="1"/>
  </cols>
  <sheetData>
    <row r="1" spans="1:34">
      <c r="A1" t="s">
        <v>335</v>
      </c>
    </row>
    <row r="2" spans="1:34">
      <c r="B2" t="s">
        <v>328</v>
      </c>
      <c r="X2" t="s">
        <v>327</v>
      </c>
    </row>
    <row r="3" spans="1:34">
      <c r="A3" t="s">
        <v>56</v>
      </c>
      <c r="V3" t="s">
        <v>56</v>
      </c>
    </row>
    <row r="4" spans="1:34">
      <c r="B4" t="s">
        <v>31</v>
      </c>
      <c r="C4" t="s">
        <v>50</v>
      </c>
      <c r="G4" s="4" t="s">
        <v>50</v>
      </c>
      <c r="H4" s="4"/>
      <c r="I4" s="4"/>
      <c r="J4" s="4"/>
      <c r="K4" s="4"/>
      <c r="L4" s="4"/>
      <c r="M4" s="4"/>
      <c r="W4" t="s">
        <v>54</v>
      </c>
      <c r="X4" t="s">
        <v>50</v>
      </c>
      <c r="AB4" s="4" t="s">
        <v>50</v>
      </c>
      <c r="AC4" s="4"/>
      <c r="AG4" s="4"/>
      <c r="AH4" s="4"/>
    </row>
    <row r="5" spans="1:34">
      <c r="C5" t="s">
        <v>58</v>
      </c>
      <c r="D5">
        <v>4.9000000000000002E-2</v>
      </c>
      <c r="E5">
        <v>4.8000000000000001E-2</v>
      </c>
      <c r="F5">
        <v>4.8000000000000001E-2</v>
      </c>
      <c r="G5" s="4" t="s">
        <v>67</v>
      </c>
      <c r="H5">
        <v>25.714285714285719</v>
      </c>
      <c r="I5">
        <v>28.571428571428573</v>
      </c>
      <c r="J5">
        <v>27.142857142857142</v>
      </c>
      <c r="K5" s="4"/>
      <c r="L5" s="4"/>
      <c r="M5" s="4"/>
      <c r="X5" t="s">
        <v>58</v>
      </c>
      <c r="Y5">
        <v>9.6000000000000002E-2</v>
      </c>
      <c r="Z5">
        <v>0.10199999999999999</v>
      </c>
      <c r="AA5">
        <v>0.11</v>
      </c>
      <c r="AB5" s="4" t="s">
        <v>67</v>
      </c>
      <c r="AC5">
        <v>104.28571428571431</v>
      </c>
      <c r="AD5">
        <v>108.57142857142857</v>
      </c>
      <c r="AE5">
        <v>115.71428571428572</v>
      </c>
      <c r="AG5" s="4"/>
      <c r="AH5" s="4"/>
    </row>
    <row r="6" spans="1:34">
      <c r="C6" t="s">
        <v>59</v>
      </c>
      <c r="D6">
        <v>5.2000000000000005E-2</v>
      </c>
      <c r="E6">
        <v>4.9000000000000002E-2</v>
      </c>
      <c r="F6">
        <v>4.3999999999999997E-2</v>
      </c>
      <c r="G6" s="4" t="s">
        <v>68</v>
      </c>
      <c r="H6">
        <v>18.571428571428577</v>
      </c>
      <c r="I6">
        <v>25.714285714285719</v>
      </c>
      <c r="J6">
        <v>24.285714285714281</v>
      </c>
      <c r="K6" s="4"/>
      <c r="L6" s="4"/>
      <c r="M6" s="4"/>
      <c r="X6" t="s">
        <v>59</v>
      </c>
      <c r="Y6">
        <v>0.13</v>
      </c>
      <c r="Z6">
        <v>0.128</v>
      </c>
      <c r="AA6">
        <v>0.13200000000000001</v>
      </c>
      <c r="AB6" s="4" t="s">
        <v>68</v>
      </c>
      <c r="AC6">
        <v>145.71428571428572</v>
      </c>
      <c r="AD6">
        <v>142.85714285714286</v>
      </c>
      <c r="AE6">
        <v>151.42857142857144</v>
      </c>
      <c r="AG6" s="4"/>
      <c r="AH6" s="4"/>
    </row>
    <row r="7" spans="1:34">
      <c r="C7" t="s">
        <v>60</v>
      </c>
      <c r="D7">
        <v>0.20500000000000002</v>
      </c>
      <c r="E7">
        <v>0.21000000000000002</v>
      </c>
      <c r="F7">
        <v>0.20500000000000002</v>
      </c>
      <c r="G7" s="4" t="s">
        <v>69</v>
      </c>
      <c r="H7">
        <v>254.28571428571431</v>
      </c>
      <c r="I7">
        <v>244.28571428571431</v>
      </c>
      <c r="J7">
        <v>254.28571428571431</v>
      </c>
      <c r="K7" s="4"/>
      <c r="L7" s="4"/>
      <c r="M7" s="4"/>
      <c r="X7" t="s">
        <v>60</v>
      </c>
      <c r="Y7">
        <v>0.71</v>
      </c>
      <c r="Z7">
        <v>0.70000000000000007</v>
      </c>
      <c r="AA7">
        <v>0.68</v>
      </c>
      <c r="AB7" s="4" t="s">
        <v>69</v>
      </c>
      <c r="AC7">
        <v>982.85714285714278</v>
      </c>
      <c r="AD7">
        <v>964.28571428571433</v>
      </c>
      <c r="AE7">
        <v>937.14285714285722</v>
      </c>
      <c r="AG7" s="4"/>
      <c r="AH7" s="4"/>
    </row>
    <row r="8" spans="1:34">
      <c r="C8" t="s">
        <v>61</v>
      </c>
      <c r="D8">
        <v>0.34200000000000003</v>
      </c>
      <c r="E8">
        <v>0.30600000000000005</v>
      </c>
      <c r="F8">
        <v>0.318</v>
      </c>
      <c r="G8" s="4" t="s">
        <v>70</v>
      </c>
      <c r="H8">
        <v>445.71428571428578</v>
      </c>
      <c r="I8">
        <v>392.85714285714289</v>
      </c>
      <c r="J8">
        <v>408.57142857142861</v>
      </c>
      <c r="K8" s="4"/>
      <c r="L8" s="4"/>
      <c r="M8" s="4"/>
      <c r="X8" t="s">
        <v>61</v>
      </c>
      <c r="Y8">
        <v>0.96</v>
      </c>
      <c r="Z8">
        <v>0.97199999999999998</v>
      </c>
      <c r="AA8">
        <v>0.97199999999999998</v>
      </c>
      <c r="AB8" s="4" t="s">
        <v>70</v>
      </c>
      <c r="AC8">
        <v>1335.7142857142856</v>
      </c>
      <c r="AD8">
        <v>1351.4285714285713</v>
      </c>
      <c r="AE8">
        <v>1348.5714285714284</v>
      </c>
      <c r="AG8" s="4"/>
      <c r="AH8" s="4"/>
    </row>
    <row r="9" spans="1:34">
      <c r="C9" t="s">
        <v>62</v>
      </c>
      <c r="D9">
        <v>0.24</v>
      </c>
      <c r="E9">
        <v>0.25</v>
      </c>
      <c r="F9">
        <v>0.21499999999999997</v>
      </c>
      <c r="G9" s="4" t="s">
        <v>71</v>
      </c>
      <c r="H9">
        <v>304.28571428571428</v>
      </c>
      <c r="I9">
        <v>318.57142857142856</v>
      </c>
      <c r="J9">
        <v>271.42857142857139</v>
      </c>
      <c r="K9" s="4"/>
      <c r="L9" s="4"/>
      <c r="M9" s="4"/>
      <c r="X9" t="s">
        <v>62</v>
      </c>
      <c r="Y9">
        <v>0.68</v>
      </c>
      <c r="Z9">
        <v>0.68</v>
      </c>
      <c r="AA9">
        <v>0.66</v>
      </c>
      <c r="AB9" s="4" t="s">
        <v>71</v>
      </c>
      <c r="AC9">
        <v>932.85714285714289</v>
      </c>
      <c r="AD9">
        <v>932.85714285714289</v>
      </c>
      <c r="AE9">
        <v>907.14285714285711</v>
      </c>
      <c r="AG9" s="4"/>
      <c r="AH9" s="4"/>
    </row>
    <row r="10" spans="1:34">
      <c r="C10" t="s">
        <v>63</v>
      </c>
      <c r="D10">
        <v>0.33600000000000002</v>
      </c>
      <c r="E10">
        <v>0.35400000000000004</v>
      </c>
      <c r="F10">
        <v>0.33600000000000002</v>
      </c>
      <c r="G10" s="4" t="s">
        <v>72</v>
      </c>
      <c r="H10">
        <v>441.42857142857144</v>
      </c>
      <c r="I10">
        <v>470</v>
      </c>
      <c r="J10">
        <v>442.85714285714283</v>
      </c>
      <c r="K10" s="4"/>
      <c r="L10" s="4"/>
      <c r="M10" s="4"/>
      <c r="X10" t="s">
        <v>63</v>
      </c>
      <c r="Y10">
        <v>1.0680000000000001</v>
      </c>
      <c r="Z10">
        <v>1.0920000000000001</v>
      </c>
      <c r="AA10">
        <v>1.056</v>
      </c>
      <c r="AB10" s="4" t="s">
        <v>72</v>
      </c>
      <c r="AC10">
        <v>1488.5714285714287</v>
      </c>
      <c r="AD10">
        <v>1522.8571428571429</v>
      </c>
      <c r="AE10">
        <v>1474.2857142857144</v>
      </c>
      <c r="AF10" s="4"/>
      <c r="AG10" s="4"/>
      <c r="AH10" s="4"/>
    </row>
    <row r="11" spans="1:34">
      <c r="G11" s="4"/>
      <c r="H11" s="4"/>
      <c r="I11" s="4"/>
      <c r="J11" s="4"/>
      <c r="K11" s="4"/>
      <c r="L11" s="4"/>
      <c r="M11" s="4"/>
      <c r="AB11" s="4"/>
      <c r="AC11" s="4"/>
      <c r="AD11" s="4"/>
      <c r="AE11" s="4"/>
      <c r="AF11" s="4"/>
      <c r="AG11" s="4"/>
      <c r="AH11" s="4"/>
    </row>
    <row r="12" spans="1:34">
      <c r="A12" t="s">
        <v>64</v>
      </c>
      <c r="G12" s="4"/>
      <c r="H12" s="4"/>
      <c r="I12" s="4"/>
      <c r="J12" s="4"/>
      <c r="K12" s="4"/>
      <c r="L12" s="4"/>
      <c r="M12" s="4"/>
      <c r="V12" t="s">
        <v>64</v>
      </c>
      <c r="AB12" s="4"/>
      <c r="AC12" s="4"/>
      <c r="AD12" s="4"/>
      <c r="AE12" s="4"/>
      <c r="AF12" s="4"/>
      <c r="AG12" s="4"/>
      <c r="AH12" s="4"/>
    </row>
    <row r="13" spans="1:34">
      <c r="B13" t="s">
        <v>31</v>
      </c>
      <c r="C13" t="s">
        <v>50</v>
      </c>
      <c r="G13" s="4"/>
      <c r="H13" s="4"/>
      <c r="I13" s="4"/>
      <c r="J13" s="4"/>
      <c r="K13" s="4"/>
      <c r="L13" s="4"/>
      <c r="M13" s="4"/>
      <c r="W13" t="s">
        <v>53</v>
      </c>
      <c r="X13" t="s">
        <v>50</v>
      </c>
      <c r="AB13" s="4"/>
      <c r="AC13" s="4"/>
      <c r="AD13" s="4"/>
      <c r="AE13" s="4"/>
      <c r="AF13" s="4"/>
      <c r="AG13" s="4"/>
      <c r="AH13" s="4"/>
    </row>
    <row r="14" spans="1:34">
      <c r="C14" t="s">
        <v>58</v>
      </c>
      <c r="D14">
        <v>3.1E-2</v>
      </c>
      <c r="E14">
        <v>2.8000000000000001E-2</v>
      </c>
      <c r="F14">
        <v>2.9000000000000001E-2</v>
      </c>
      <c r="H14" s="4"/>
      <c r="I14" s="4"/>
      <c r="J14" s="4"/>
      <c r="K14" s="4"/>
      <c r="L14" s="4"/>
      <c r="M14" s="4"/>
      <c r="X14" t="s">
        <v>58</v>
      </c>
      <c r="Y14">
        <v>2.3E-2</v>
      </c>
      <c r="Z14">
        <v>2.5999999999999999E-2</v>
      </c>
      <c r="AA14">
        <v>2.9000000000000001E-2</v>
      </c>
      <c r="AB14" s="4" t="s">
        <v>50</v>
      </c>
      <c r="AC14" s="4"/>
      <c r="AD14" s="4"/>
      <c r="AE14" s="4"/>
      <c r="AF14" s="4"/>
      <c r="AG14" s="4"/>
      <c r="AH14" s="4"/>
    </row>
    <row r="15" spans="1:34">
      <c r="C15" t="s">
        <v>59</v>
      </c>
      <c r="D15">
        <v>3.9E-2</v>
      </c>
      <c r="E15">
        <v>3.1E-2</v>
      </c>
      <c r="F15">
        <v>2.7E-2</v>
      </c>
      <c r="G15" s="4" t="s">
        <v>50</v>
      </c>
      <c r="H15" s="4"/>
      <c r="I15" s="4"/>
      <c r="J15" s="4"/>
      <c r="K15" s="4"/>
      <c r="L15" s="4"/>
      <c r="M15" s="4"/>
      <c r="X15" t="s">
        <v>59</v>
      </c>
      <c r="Y15">
        <v>2.8000000000000001E-2</v>
      </c>
      <c r="Z15">
        <v>2.8000000000000001E-2</v>
      </c>
      <c r="AA15">
        <v>2.5999999999999999E-2</v>
      </c>
      <c r="AB15" s="4"/>
      <c r="AC15" s="4"/>
      <c r="AD15" s="4"/>
      <c r="AE15" s="4"/>
      <c r="AF15" s="4"/>
      <c r="AG15" s="4"/>
      <c r="AH15" s="4"/>
    </row>
    <row r="16" spans="1:34">
      <c r="C16" t="s">
        <v>60</v>
      </c>
      <c r="D16">
        <v>2.7E-2</v>
      </c>
      <c r="E16">
        <v>3.9E-2</v>
      </c>
      <c r="F16">
        <v>2.7E-2</v>
      </c>
      <c r="X16" t="s">
        <v>60</v>
      </c>
      <c r="Y16">
        <v>2.1999999999999999E-2</v>
      </c>
      <c r="Z16">
        <v>2.5000000000000001E-2</v>
      </c>
      <c r="AA16">
        <v>2.4E-2</v>
      </c>
      <c r="AB16" s="4"/>
      <c r="AC16" s="4" t="s">
        <v>337</v>
      </c>
      <c r="AD16" s="4"/>
      <c r="AE16" s="4"/>
      <c r="AF16" s="4" t="s">
        <v>1</v>
      </c>
      <c r="AG16" s="4"/>
      <c r="AH16" s="4"/>
    </row>
    <row r="17" spans="1:34">
      <c r="C17" t="s">
        <v>61</v>
      </c>
      <c r="D17">
        <v>0.03</v>
      </c>
      <c r="E17">
        <v>3.1E-2</v>
      </c>
      <c r="F17">
        <v>3.2000000000000001E-2</v>
      </c>
      <c r="G17" s="4"/>
      <c r="H17" s="4" t="s">
        <v>337</v>
      </c>
      <c r="I17" s="4"/>
      <c r="J17" s="4"/>
      <c r="K17" s="4" t="s">
        <v>1</v>
      </c>
      <c r="L17" s="4"/>
      <c r="M17" s="4"/>
      <c r="X17" t="s">
        <v>61</v>
      </c>
      <c r="Y17">
        <v>2.5000000000000001E-2</v>
      </c>
      <c r="Z17">
        <v>2.5999999999999999E-2</v>
      </c>
      <c r="AA17">
        <v>2.8000000000000001E-2</v>
      </c>
      <c r="AB17" s="4">
        <v>0</v>
      </c>
      <c r="AC17">
        <v>104.28571428571431</v>
      </c>
      <c r="AD17">
        <v>108.57142857142857</v>
      </c>
      <c r="AE17">
        <v>115.71428571428572</v>
      </c>
      <c r="AF17">
        <v>145.71428571428572</v>
      </c>
      <c r="AG17">
        <v>142.85714285714286</v>
      </c>
      <c r="AH17">
        <v>151.42857142857144</v>
      </c>
    </row>
    <row r="18" spans="1:34">
      <c r="C18" t="s">
        <v>62</v>
      </c>
      <c r="D18">
        <v>2.7E-2</v>
      </c>
      <c r="E18">
        <v>2.7E-2</v>
      </c>
      <c r="F18">
        <v>2.5000000000000001E-2</v>
      </c>
      <c r="G18" s="4">
        <v>0</v>
      </c>
      <c r="H18">
        <v>25.714285714285719</v>
      </c>
      <c r="I18">
        <v>28.571428571428573</v>
      </c>
      <c r="J18">
        <v>27.142857142857142</v>
      </c>
      <c r="K18">
        <v>18.571428571428577</v>
      </c>
      <c r="L18">
        <v>25.714285714285719</v>
      </c>
      <c r="M18">
        <v>24.285714285714281</v>
      </c>
      <c r="X18" t="s">
        <v>62</v>
      </c>
      <c r="Y18">
        <v>2.7E-2</v>
      </c>
      <c r="Z18">
        <v>2.7E-2</v>
      </c>
      <c r="AA18">
        <v>2.5000000000000001E-2</v>
      </c>
      <c r="AB18" s="4">
        <v>3</v>
      </c>
      <c r="AC18">
        <v>982.85714285714278</v>
      </c>
      <c r="AD18">
        <v>964.28571428571433</v>
      </c>
      <c r="AE18">
        <v>937.14285714285722</v>
      </c>
      <c r="AF18">
        <v>1335.7142857142856</v>
      </c>
      <c r="AG18">
        <v>1351.4285714285713</v>
      </c>
      <c r="AH18">
        <v>1348.5714285714284</v>
      </c>
    </row>
    <row r="19" spans="1:34">
      <c r="C19" t="s">
        <v>63</v>
      </c>
      <c r="D19">
        <v>2.7E-2</v>
      </c>
      <c r="E19">
        <v>2.5000000000000001E-2</v>
      </c>
      <c r="F19">
        <v>2.5999999999999999E-2</v>
      </c>
      <c r="G19" s="4">
        <v>3</v>
      </c>
      <c r="H19">
        <v>254.28571428571431</v>
      </c>
      <c r="I19">
        <v>244.28571428571431</v>
      </c>
      <c r="J19">
        <v>254.28571428571431</v>
      </c>
      <c r="K19">
        <v>445.71428571428578</v>
      </c>
      <c r="L19">
        <v>392.85714285714289</v>
      </c>
      <c r="M19">
        <v>408.57142857142861</v>
      </c>
      <c r="X19" t="s">
        <v>63</v>
      </c>
      <c r="Y19">
        <v>2.5999999999999999E-2</v>
      </c>
      <c r="Z19">
        <v>2.5999999999999999E-2</v>
      </c>
      <c r="AA19">
        <v>2.4E-2</v>
      </c>
      <c r="AB19" s="4">
        <v>6</v>
      </c>
      <c r="AC19">
        <v>932.85714285714289</v>
      </c>
      <c r="AD19">
        <v>932.85714285714289</v>
      </c>
      <c r="AE19">
        <v>907.14285714285711</v>
      </c>
      <c r="AF19">
        <v>1488.5714285714287</v>
      </c>
      <c r="AG19">
        <v>1522.8571428571429</v>
      </c>
      <c r="AH19">
        <v>1474.2857142857144</v>
      </c>
    </row>
    <row r="20" spans="1:34">
      <c r="G20" s="4">
        <v>6</v>
      </c>
      <c r="H20">
        <v>304.28571428571428</v>
      </c>
      <c r="I20">
        <v>318.57142857142856</v>
      </c>
      <c r="J20">
        <v>271.42857142857139</v>
      </c>
      <c r="K20">
        <v>441.42857142857144</v>
      </c>
      <c r="L20">
        <v>470</v>
      </c>
      <c r="M20">
        <v>442.85714285714283</v>
      </c>
      <c r="AB20" s="4"/>
      <c r="AC20" s="4"/>
      <c r="AD20" s="4"/>
      <c r="AE20" s="4"/>
      <c r="AF20" s="4"/>
      <c r="AG20" s="4"/>
      <c r="AH20" s="4"/>
    </row>
    <row r="21" spans="1:34">
      <c r="A21" t="s">
        <v>65</v>
      </c>
      <c r="G21" s="4"/>
      <c r="H21" s="4"/>
      <c r="I21" s="4"/>
      <c r="J21" s="4"/>
      <c r="K21" s="4"/>
      <c r="L21" s="4"/>
      <c r="M21" s="4"/>
      <c r="V21" t="s">
        <v>65</v>
      </c>
      <c r="AB21" s="4"/>
      <c r="AC21" s="4"/>
      <c r="AD21" s="4"/>
      <c r="AE21" s="4"/>
      <c r="AF21" s="4"/>
      <c r="AG21" s="4"/>
      <c r="AH21" s="4"/>
    </row>
    <row r="22" spans="1:34">
      <c r="B22" t="s">
        <v>31</v>
      </c>
      <c r="C22" t="s">
        <v>50</v>
      </c>
      <c r="G22" s="4"/>
      <c r="H22" s="4"/>
      <c r="I22" s="4"/>
      <c r="J22" s="4"/>
      <c r="K22" s="4"/>
      <c r="L22" s="4"/>
      <c r="M22" s="4"/>
      <c r="W22" t="s">
        <v>53</v>
      </c>
      <c r="X22" t="s">
        <v>50</v>
      </c>
      <c r="AB22" s="4" t="s">
        <v>50</v>
      </c>
      <c r="AC22" s="4"/>
      <c r="AD22" s="4"/>
      <c r="AE22" s="4"/>
      <c r="AF22" s="4"/>
      <c r="AG22" s="4"/>
      <c r="AH22" s="4"/>
    </row>
    <row r="23" spans="1:34">
      <c r="C23" t="s">
        <v>58</v>
      </c>
      <c r="D23">
        <f t="shared" ref="D23:F28" si="0">D5-D14</f>
        <v>1.8000000000000002E-2</v>
      </c>
      <c r="E23">
        <f t="shared" si="0"/>
        <v>0.02</v>
      </c>
      <c r="F23">
        <f t="shared" si="0"/>
        <v>1.9E-2</v>
      </c>
      <c r="G23" s="4" t="s">
        <v>50</v>
      </c>
      <c r="H23" s="4"/>
      <c r="I23" s="4"/>
      <c r="J23" s="4"/>
      <c r="K23" s="4"/>
      <c r="L23" s="4"/>
      <c r="M23" s="4"/>
      <c r="X23" t="s">
        <v>58</v>
      </c>
      <c r="Y23">
        <f t="shared" ref="Y23:AA28" si="1">Y5-Y14</f>
        <v>7.3000000000000009E-2</v>
      </c>
      <c r="Z23">
        <f t="shared" si="1"/>
        <v>7.5999999999999998E-2</v>
      </c>
      <c r="AA23">
        <f t="shared" si="1"/>
        <v>8.1000000000000003E-2</v>
      </c>
      <c r="AB23" s="4"/>
      <c r="AC23" s="4" t="s">
        <v>337</v>
      </c>
      <c r="AD23" s="4"/>
      <c r="AE23" s="4"/>
      <c r="AF23" s="4" t="s">
        <v>1</v>
      </c>
      <c r="AG23" s="4"/>
      <c r="AH23" s="4"/>
    </row>
    <row r="24" spans="1:34">
      <c r="C24" t="s">
        <v>59</v>
      </c>
      <c r="D24">
        <f t="shared" si="0"/>
        <v>1.3000000000000005E-2</v>
      </c>
      <c r="E24">
        <f t="shared" si="0"/>
        <v>1.8000000000000002E-2</v>
      </c>
      <c r="F24">
        <f t="shared" si="0"/>
        <v>1.6999999999999998E-2</v>
      </c>
      <c r="G24" s="4"/>
      <c r="H24" s="4" t="s">
        <v>337</v>
      </c>
      <c r="I24" s="4"/>
      <c r="J24" s="4"/>
      <c r="K24" s="4" t="s">
        <v>1</v>
      </c>
      <c r="L24" s="4"/>
      <c r="M24" s="4"/>
      <c r="X24" t="s">
        <v>59</v>
      </c>
      <c r="Y24">
        <f t="shared" si="1"/>
        <v>0.10200000000000001</v>
      </c>
      <c r="Z24">
        <f t="shared" si="1"/>
        <v>0.1</v>
      </c>
      <c r="AA24">
        <f t="shared" si="1"/>
        <v>0.10600000000000001</v>
      </c>
      <c r="AB24" s="4">
        <v>0</v>
      </c>
      <c r="AC24" s="4">
        <f t="shared" ref="AC24:AH26" si="2">AC17/10</f>
        <v>10.428571428571431</v>
      </c>
      <c r="AD24" s="4">
        <f t="shared" si="2"/>
        <v>10.857142857142858</v>
      </c>
      <c r="AE24" s="4">
        <f t="shared" si="2"/>
        <v>11.571428571428573</v>
      </c>
      <c r="AF24" s="4">
        <f t="shared" si="2"/>
        <v>14.571428571428573</v>
      </c>
      <c r="AG24" s="4">
        <f t="shared" si="2"/>
        <v>14.285714285714286</v>
      </c>
      <c r="AH24" s="4">
        <f t="shared" si="2"/>
        <v>15.142857142857144</v>
      </c>
    </row>
    <row r="25" spans="1:34">
      <c r="C25" t="s">
        <v>60</v>
      </c>
      <c r="D25">
        <f t="shared" si="0"/>
        <v>0.17800000000000002</v>
      </c>
      <c r="E25">
        <f t="shared" si="0"/>
        <v>0.17100000000000001</v>
      </c>
      <c r="F25">
        <f t="shared" si="0"/>
        <v>0.17800000000000002</v>
      </c>
      <c r="G25" s="4">
        <v>0</v>
      </c>
      <c r="H25" s="4">
        <f>H18/10</f>
        <v>2.5714285714285721</v>
      </c>
      <c r="I25" s="4">
        <f t="shared" ref="I25:M25" si="3">I18/10</f>
        <v>2.8571428571428572</v>
      </c>
      <c r="J25" s="4">
        <f t="shared" si="3"/>
        <v>2.7142857142857144</v>
      </c>
      <c r="K25" s="4">
        <f t="shared" si="3"/>
        <v>1.8571428571428577</v>
      </c>
      <c r="L25" s="4">
        <f t="shared" si="3"/>
        <v>2.5714285714285721</v>
      </c>
      <c r="M25" s="4">
        <f t="shared" si="3"/>
        <v>2.4285714285714279</v>
      </c>
      <c r="X25" t="s">
        <v>60</v>
      </c>
      <c r="Y25">
        <f t="shared" si="1"/>
        <v>0.68799999999999994</v>
      </c>
      <c r="Z25">
        <f t="shared" si="1"/>
        <v>0.67500000000000004</v>
      </c>
      <c r="AA25">
        <f t="shared" si="1"/>
        <v>0.65600000000000003</v>
      </c>
      <c r="AB25" s="4">
        <v>3</v>
      </c>
      <c r="AC25" s="4">
        <f t="shared" si="2"/>
        <v>98.285714285714278</v>
      </c>
      <c r="AD25" s="4">
        <f t="shared" si="2"/>
        <v>96.428571428571431</v>
      </c>
      <c r="AE25" s="4">
        <f t="shared" si="2"/>
        <v>93.714285714285722</v>
      </c>
      <c r="AF25" s="4">
        <f t="shared" si="2"/>
        <v>133.57142857142856</v>
      </c>
      <c r="AG25" s="4">
        <f t="shared" si="2"/>
        <v>135.14285714285714</v>
      </c>
      <c r="AH25" s="4">
        <f t="shared" si="2"/>
        <v>134.85714285714283</v>
      </c>
    </row>
    <row r="26" spans="1:34">
      <c r="C26" t="s">
        <v>61</v>
      </c>
      <c r="D26">
        <f t="shared" si="0"/>
        <v>0.31200000000000006</v>
      </c>
      <c r="E26">
        <f t="shared" si="0"/>
        <v>0.27500000000000002</v>
      </c>
      <c r="F26">
        <f t="shared" si="0"/>
        <v>0.28600000000000003</v>
      </c>
      <c r="G26" s="4">
        <v>3</v>
      </c>
      <c r="H26" s="4">
        <f t="shared" ref="H26:M27" si="4">H19/10</f>
        <v>25.428571428571431</v>
      </c>
      <c r="I26" s="4">
        <f t="shared" si="4"/>
        <v>24.428571428571431</v>
      </c>
      <c r="J26" s="4">
        <f t="shared" si="4"/>
        <v>25.428571428571431</v>
      </c>
      <c r="K26" s="4">
        <f t="shared" si="4"/>
        <v>44.571428571428577</v>
      </c>
      <c r="L26" s="4">
        <f t="shared" si="4"/>
        <v>39.285714285714292</v>
      </c>
      <c r="M26" s="4">
        <f t="shared" si="4"/>
        <v>40.857142857142861</v>
      </c>
      <c r="X26" t="s">
        <v>61</v>
      </c>
      <c r="Y26">
        <f t="shared" si="1"/>
        <v>0.93499999999999994</v>
      </c>
      <c r="Z26">
        <f t="shared" si="1"/>
        <v>0.94599999999999995</v>
      </c>
      <c r="AA26">
        <f t="shared" si="1"/>
        <v>0.94399999999999995</v>
      </c>
      <c r="AB26" s="4">
        <v>6</v>
      </c>
      <c r="AC26" s="4">
        <f t="shared" si="2"/>
        <v>93.285714285714292</v>
      </c>
      <c r="AD26" s="4">
        <f t="shared" si="2"/>
        <v>93.285714285714292</v>
      </c>
      <c r="AE26" s="4">
        <f t="shared" si="2"/>
        <v>90.714285714285708</v>
      </c>
      <c r="AF26" s="4">
        <f t="shared" si="2"/>
        <v>148.85714285714286</v>
      </c>
      <c r="AG26" s="4">
        <f t="shared" si="2"/>
        <v>152.28571428571428</v>
      </c>
      <c r="AH26" s="4">
        <f t="shared" si="2"/>
        <v>147.42857142857144</v>
      </c>
    </row>
    <row r="27" spans="1:34">
      <c r="C27" t="s">
        <v>62</v>
      </c>
      <c r="D27">
        <f t="shared" si="0"/>
        <v>0.21299999999999999</v>
      </c>
      <c r="E27">
        <f t="shared" si="0"/>
        <v>0.223</v>
      </c>
      <c r="F27">
        <f t="shared" si="0"/>
        <v>0.18999999999999997</v>
      </c>
      <c r="G27" s="4">
        <v>6</v>
      </c>
      <c r="H27" s="4">
        <f t="shared" si="4"/>
        <v>30.428571428571427</v>
      </c>
      <c r="I27" s="4">
        <f t="shared" si="4"/>
        <v>31.857142857142854</v>
      </c>
      <c r="J27" s="4">
        <f t="shared" si="4"/>
        <v>27.142857142857139</v>
      </c>
      <c r="K27" s="4">
        <f t="shared" si="4"/>
        <v>44.142857142857146</v>
      </c>
      <c r="L27" s="4">
        <f t="shared" si="4"/>
        <v>47</v>
      </c>
      <c r="M27" s="4">
        <f t="shared" si="4"/>
        <v>44.285714285714285</v>
      </c>
      <c r="X27" t="s">
        <v>62</v>
      </c>
      <c r="Y27">
        <f t="shared" si="1"/>
        <v>0.65300000000000002</v>
      </c>
      <c r="Z27">
        <f t="shared" si="1"/>
        <v>0.65300000000000002</v>
      </c>
      <c r="AA27">
        <f t="shared" si="1"/>
        <v>0.63500000000000001</v>
      </c>
    </row>
    <row r="28" spans="1:34">
      <c r="C28" t="s">
        <v>63</v>
      </c>
      <c r="D28">
        <f t="shared" si="0"/>
        <v>0.309</v>
      </c>
      <c r="E28">
        <f t="shared" si="0"/>
        <v>0.32900000000000001</v>
      </c>
      <c r="F28">
        <f t="shared" si="0"/>
        <v>0.31</v>
      </c>
      <c r="X28" t="s">
        <v>63</v>
      </c>
      <c r="Y28">
        <f t="shared" si="1"/>
        <v>1.042</v>
      </c>
      <c r="Z28">
        <f t="shared" si="1"/>
        <v>1.0660000000000001</v>
      </c>
      <c r="AA28">
        <f t="shared" si="1"/>
        <v>1.032</v>
      </c>
    </row>
    <row r="30" spans="1:34">
      <c r="G30" t="s">
        <v>701</v>
      </c>
    </row>
    <row r="31" spans="1:34">
      <c r="G31" s="98"/>
      <c r="H31" s="98" t="s">
        <v>337</v>
      </c>
      <c r="I31" s="98"/>
      <c r="J31" s="98"/>
      <c r="K31" s="98" t="s">
        <v>1</v>
      </c>
      <c r="L31" s="98"/>
      <c r="M31" s="98"/>
      <c r="N31" s="98" t="s">
        <v>663</v>
      </c>
      <c r="O31" s="98" t="s">
        <v>396</v>
      </c>
      <c r="P31" s="98" t="s">
        <v>664</v>
      </c>
      <c r="Q31" s="98" t="s">
        <v>663</v>
      </c>
      <c r="R31" s="98" t="s">
        <v>396</v>
      </c>
      <c r="S31" s="98" t="s">
        <v>664</v>
      </c>
      <c r="T31" s="98" t="s">
        <v>665</v>
      </c>
    </row>
    <row r="32" spans="1:34">
      <c r="A32" t="s">
        <v>74</v>
      </c>
      <c r="B32" t="s">
        <v>31</v>
      </c>
      <c r="C32" t="s">
        <v>50</v>
      </c>
      <c r="G32" s="98">
        <v>0</v>
      </c>
      <c r="H32" s="98">
        <v>2.5714285714285721</v>
      </c>
      <c r="I32" s="98">
        <v>2.8571428571428572</v>
      </c>
      <c r="J32" s="98">
        <v>2.7142857142857144</v>
      </c>
      <c r="K32" s="98">
        <v>1.8571428571428577</v>
      </c>
      <c r="L32" s="98">
        <v>2.5714285714285721</v>
      </c>
      <c r="M32" s="98">
        <v>2.4285714285714279</v>
      </c>
      <c r="N32" s="98">
        <f>AVERAGE(H32:J32)</f>
        <v>2.714285714285714</v>
      </c>
      <c r="O32" s="98">
        <f>STDEV(H32:J32)</f>
        <v>0.14285714285714257</v>
      </c>
      <c r="P32" s="98">
        <f>O32/SQRT(3)</f>
        <v>8.2478609884232099E-2</v>
      </c>
      <c r="Q32" s="98">
        <f>AVERAGE(K32:M32)</f>
        <v>2.285714285714286</v>
      </c>
      <c r="R32" s="98">
        <f>STDEV(K32:M32)</f>
        <v>0.37796447300922537</v>
      </c>
      <c r="S32" s="98">
        <f>R32/SQRT(3)</f>
        <v>0.21821789023599131</v>
      </c>
      <c r="T32" s="110">
        <v>0.98540000000000005</v>
      </c>
      <c r="V32" t="s">
        <v>74</v>
      </c>
      <c r="W32" t="s">
        <v>53</v>
      </c>
      <c r="X32" t="s">
        <v>50</v>
      </c>
      <c r="AB32" t="s">
        <v>701</v>
      </c>
    </row>
    <row r="33" spans="1:41">
      <c r="A33" t="s">
        <v>73</v>
      </c>
      <c r="C33" t="s">
        <v>58</v>
      </c>
      <c r="D33">
        <f t="shared" ref="D33:F38" si="5">D23/0.0014</f>
        <v>12.857142857142859</v>
      </c>
      <c r="E33">
        <f t="shared" si="5"/>
        <v>14.285714285714286</v>
      </c>
      <c r="F33">
        <f t="shared" si="5"/>
        <v>13.571428571428571</v>
      </c>
      <c r="G33" s="98">
        <v>3</v>
      </c>
      <c r="H33" s="98">
        <v>25.428571428571431</v>
      </c>
      <c r="I33" s="98">
        <v>24.428571428571431</v>
      </c>
      <c r="J33" s="98">
        <v>25.428571428571431</v>
      </c>
      <c r="K33" s="98">
        <v>44.571428571428577</v>
      </c>
      <c r="L33" s="98">
        <v>39.285714285714292</v>
      </c>
      <c r="M33" s="98">
        <v>40.857142857142861</v>
      </c>
      <c r="N33" s="98">
        <f t="shared" ref="N33:N34" si="6">AVERAGE(H33:J33)</f>
        <v>25.095238095238098</v>
      </c>
      <c r="O33" s="98">
        <f t="shared" ref="O33:O34" si="7">STDEV(H33:J33)</f>
        <v>0.57735026918962584</v>
      </c>
      <c r="P33" s="98">
        <f t="shared" ref="P33:P34" si="8">O33/SQRT(3)</f>
        <v>0.33333333333333337</v>
      </c>
      <c r="Q33" s="98">
        <f t="shared" ref="Q33:Q34" si="9">AVERAGE(K33:M33)</f>
        <v>41.571428571428577</v>
      </c>
      <c r="R33" s="98">
        <f t="shared" ref="R33:R34" si="10">STDEV(K33:M33)</f>
        <v>2.714285714285714</v>
      </c>
      <c r="S33" s="98">
        <f t="shared" ref="S33:S34" si="11">R33/SQRT(3)</f>
        <v>1.5670935878004126</v>
      </c>
      <c r="T33" s="110" t="s">
        <v>666</v>
      </c>
      <c r="V33" t="s">
        <v>73</v>
      </c>
      <c r="X33" t="s">
        <v>58</v>
      </c>
      <c r="Y33">
        <f t="shared" ref="Y33:AA38" si="12">Y23/0.0014</f>
        <v>52.142857142857153</v>
      </c>
      <c r="Z33">
        <f t="shared" si="12"/>
        <v>54.285714285714285</v>
      </c>
      <c r="AA33">
        <f t="shared" si="12"/>
        <v>57.857142857142861</v>
      </c>
      <c r="AB33" s="90"/>
      <c r="AC33" s="90" t="s">
        <v>337</v>
      </c>
      <c r="AD33" s="90"/>
      <c r="AE33" s="90"/>
      <c r="AF33" s="90" t="s">
        <v>1</v>
      </c>
      <c r="AG33" s="90"/>
      <c r="AH33" s="90"/>
      <c r="AI33" s="101" t="s">
        <v>663</v>
      </c>
      <c r="AJ33" s="101" t="s">
        <v>396</v>
      </c>
      <c r="AK33" s="101" t="s">
        <v>664</v>
      </c>
      <c r="AL33" s="101" t="s">
        <v>663</v>
      </c>
      <c r="AM33" s="101" t="s">
        <v>396</v>
      </c>
      <c r="AN33" s="101" t="s">
        <v>664</v>
      </c>
      <c r="AO33" s="101" t="s">
        <v>665</v>
      </c>
    </row>
    <row r="34" spans="1:41">
      <c r="C34" t="s">
        <v>59</v>
      </c>
      <c r="D34">
        <f t="shared" si="5"/>
        <v>9.2857142857142883</v>
      </c>
      <c r="E34">
        <f t="shared" si="5"/>
        <v>12.857142857142859</v>
      </c>
      <c r="F34">
        <f t="shared" si="5"/>
        <v>12.142857142857141</v>
      </c>
      <c r="G34" s="98">
        <v>6</v>
      </c>
      <c r="H34" s="98">
        <v>30.428571428571427</v>
      </c>
      <c r="I34" s="98">
        <v>31.857142857142854</v>
      </c>
      <c r="J34" s="98">
        <v>27.142857142857139</v>
      </c>
      <c r="K34" s="98">
        <v>44.142857142857146</v>
      </c>
      <c r="L34" s="98">
        <v>47</v>
      </c>
      <c r="M34" s="98">
        <v>44.285714285714285</v>
      </c>
      <c r="N34" s="98">
        <f t="shared" si="6"/>
        <v>29.809523809523807</v>
      </c>
      <c r="O34" s="98">
        <f t="shared" si="7"/>
        <v>2.4173409802851542</v>
      </c>
      <c r="P34" s="98">
        <f t="shared" si="8"/>
        <v>1.3956524656907476</v>
      </c>
      <c r="Q34" s="98">
        <f t="shared" si="9"/>
        <v>45.142857142857139</v>
      </c>
      <c r="R34" s="98">
        <f t="shared" si="10"/>
        <v>1.6099182385120914</v>
      </c>
      <c r="S34" s="98">
        <f t="shared" si="11"/>
        <v>0.9294867283782442</v>
      </c>
      <c r="T34" s="110" t="s">
        <v>666</v>
      </c>
      <c r="X34" t="s">
        <v>59</v>
      </c>
      <c r="Y34">
        <f t="shared" si="12"/>
        <v>72.857142857142861</v>
      </c>
      <c r="Z34">
        <f t="shared" si="12"/>
        <v>71.428571428571431</v>
      </c>
      <c r="AA34">
        <f t="shared" si="12"/>
        <v>75.714285714285722</v>
      </c>
      <c r="AB34" s="90">
        <v>0</v>
      </c>
      <c r="AC34" s="90">
        <v>10.428571428571431</v>
      </c>
      <c r="AD34" s="90">
        <v>10.857142857142858</v>
      </c>
      <c r="AE34" s="90">
        <v>11.571428571428573</v>
      </c>
      <c r="AF34" s="90">
        <v>14.571428571428573</v>
      </c>
      <c r="AG34" s="90">
        <v>14.285714285714286</v>
      </c>
      <c r="AH34" s="90">
        <v>15.142857142857144</v>
      </c>
      <c r="AI34" s="101">
        <f>AVERAGE(AC34:AE34)</f>
        <v>10.952380952380954</v>
      </c>
      <c r="AJ34" s="101">
        <f>STDEV(AC34:AE34)</f>
        <v>0.57735026918962562</v>
      </c>
      <c r="AK34" s="101">
        <f>AJ34/SQRT(3)</f>
        <v>0.33333333333333326</v>
      </c>
      <c r="AL34" s="101">
        <f>AVERAGE(AF34:AH34)</f>
        <v>14.66666666666667</v>
      </c>
      <c r="AM34" s="101">
        <f>STDEV(AF34:AH34)</f>
        <v>0.43643578047198495</v>
      </c>
      <c r="AN34" s="101">
        <f>AM34/SQRT(3)</f>
        <v>0.25197631533948495</v>
      </c>
      <c r="AO34" s="94">
        <v>4.07E-2</v>
      </c>
    </row>
    <row r="35" spans="1:41">
      <c r="C35" t="s">
        <v>60</v>
      </c>
      <c r="D35">
        <f t="shared" si="5"/>
        <v>127.14285714285715</v>
      </c>
      <c r="E35">
        <f t="shared" si="5"/>
        <v>122.14285714285715</v>
      </c>
      <c r="F35">
        <f t="shared" si="5"/>
        <v>127.14285714285715</v>
      </c>
      <c r="N35" s="101"/>
      <c r="O35" s="101"/>
      <c r="P35" s="101"/>
      <c r="Q35" s="101"/>
      <c r="R35" s="101"/>
      <c r="S35" s="101"/>
      <c r="T35" s="99"/>
      <c r="X35" t="s">
        <v>60</v>
      </c>
      <c r="Y35">
        <f t="shared" si="12"/>
        <v>491.42857142857139</v>
      </c>
      <c r="Z35">
        <f t="shared" si="12"/>
        <v>482.14285714285717</v>
      </c>
      <c r="AA35">
        <f t="shared" si="12"/>
        <v>468.57142857142861</v>
      </c>
      <c r="AB35" s="90">
        <v>3</v>
      </c>
      <c r="AC35" s="90">
        <v>98.285714285714278</v>
      </c>
      <c r="AD35" s="90">
        <v>96.428571428571431</v>
      </c>
      <c r="AE35" s="90">
        <v>93.714285714285722</v>
      </c>
      <c r="AF35" s="90">
        <v>133.57142857142856</v>
      </c>
      <c r="AG35" s="90">
        <v>135.14285714285714</v>
      </c>
      <c r="AH35" s="90">
        <v>134.85714285714283</v>
      </c>
      <c r="AI35" s="101">
        <f t="shared" ref="AI35:AI36" si="13">AVERAGE(AC35:AE35)</f>
        <v>96.142857142857153</v>
      </c>
      <c r="AJ35" s="101">
        <f t="shared" ref="AJ35:AJ36" si="14">STDEV(AC35:AE35)</f>
        <v>2.2990681342044321</v>
      </c>
      <c r="AK35" s="101">
        <f t="shared" ref="AK35:AK36" si="15">AJ35/SQRT(3)</f>
        <v>1.3273676061682196</v>
      </c>
      <c r="AL35" s="101">
        <f t="shared" ref="AL35:AL36" si="16">AVERAGE(AF35:AH35)</f>
        <v>134.52380952380949</v>
      </c>
      <c r="AM35" s="101">
        <f t="shared" ref="AM35:AM36" si="17">STDEV(AF35:AH35)</f>
        <v>0.83706646815461927</v>
      </c>
      <c r="AN35" s="101">
        <f t="shared" ref="AN35:AN36" si="18">AM35/SQRT(3)</f>
        <v>0.48328055071867876</v>
      </c>
      <c r="AO35" s="94" t="s">
        <v>666</v>
      </c>
    </row>
    <row r="36" spans="1:41">
      <c r="C36" t="s">
        <v>61</v>
      </c>
      <c r="D36">
        <f t="shared" si="5"/>
        <v>222.85714285714289</v>
      </c>
      <c r="E36">
        <f t="shared" si="5"/>
        <v>196.42857142857144</v>
      </c>
      <c r="F36">
        <f t="shared" si="5"/>
        <v>204.28571428571431</v>
      </c>
      <c r="N36" s="101"/>
      <c r="O36" s="101"/>
      <c r="P36" s="101"/>
      <c r="Q36" s="101"/>
      <c r="R36" s="101"/>
      <c r="S36" s="101"/>
      <c r="T36" s="99"/>
      <c r="X36" t="s">
        <v>61</v>
      </c>
      <c r="Y36">
        <f t="shared" si="12"/>
        <v>667.85714285714278</v>
      </c>
      <c r="Z36">
        <f t="shared" si="12"/>
        <v>675.71428571428567</v>
      </c>
      <c r="AA36">
        <f t="shared" si="12"/>
        <v>674.28571428571422</v>
      </c>
      <c r="AB36" s="90">
        <v>6</v>
      </c>
      <c r="AC36" s="90">
        <v>93.285714285714292</v>
      </c>
      <c r="AD36" s="90">
        <v>93.285714285714292</v>
      </c>
      <c r="AE36" s="90">
        <v>90.714285714285708</v>
      </c>
      <c r="AF36" s="90">
        <v>148.85714285714286</v>
      </c>
      <c r="AG36" s="90">
        <v>152.28571428571428</v>
      </c>
      <c r="AH36" s="90">
        <v>147.42857142857144</v>
      </c>
      <c r="AI36" s="101">
        <f t="shared" si="13"/>
        <v>92.428571428571431</v>
      </c>
      <c r="AJ36" s="101">
        <f t="shared" si="14"/>
        <v>1.4846149779161875</v>
      </c>
      <c r="AK36" s="101">
        <f t="shared" si="15"/>
        <v>0.8571428571428612</v>
      </c>
      <c r="AL36" s="101">
        <f t="shared" si="16"/>
        <v>149.52380952380952</v>
      </c>
      <c r="AM36" s="101">
        <f t="shared" si="17"/>
        <v>2.4962556994440179</v>
      </c>
      <c r="AN36" s="101">
        <f t="shared" si="18"/>
        <v>1.4412139000401414</v>
      </c>
      <c r="AO36" s="94" t="s">
        <v>666</v>
      </c>
    </row>
    <row r="37" spans="1:41">
      <c r="C37" t="s">
        <v>62</v>
      </c>
      <c r="D37">
        <f t="shared" si="5"/>
        <v>152.14285714285714</v>
      </c>
      <c r="E37">
        <f t="shared" si="5"/>
        <v>159.28571428571428</v>
      </c>
      <c r="F37">
        <f t="shared" si="5"/>
        <v>135.71428571428569</v>
      </c>
      <c r="X37" t="s">
        <v>62</v>
      </c>
      <c r="Y37">
        <f t="shared" si="12"/>
        <v>466.42857142857144</v>
      </c>
      <c r="Z37">
        <f t="shared" si="12"/>
        <v>466.42857142857144</v>
      </c>
      <c r="AA37">
        <f t="shared" si="12"/>
        <v>453.57142857142856</v>
      </c>
    </row>
    <row r="38" spans="1:41">
      <c r="C38" t="s">
        <v>63</v>
      </c>
      <c r="D38">
        <f t="shared" si="5"/>
        <v>220.71428571428572</v>
      </c>
      <c r="E38">
        <f t="shared" si="5"/>
        <v>235</v>
      </c>
      <c r="F38">
        <f t="shared" si="5"/>
        <v>221.42857142857142</v>
      </c>
      <c r="X38" t="s">
        <v>63</v>
      </c>
      <c r="Y38">
        <f t="shared" si="12"/>
        <v>744.28571428571433</v>
      </c>
      <c r="Z38">
        <f t="shared" si="12"/>
        <v>761.42857142857144</v>
      </c>
      <c r="AA38">
        <f t="shared" si="12"/>
        <v>737.14285714285722</v>
      </c>
    </row>
    <row r="41" spans="1:41">
      <c r="A41" t="s">
        <v>336</v>
      </c>
      <c r="B41" t="s">
        <v>31</v>
      </c>
      <c r="C41" t="s">
        <v>50</v>
      </c>
      <c r="V41" t="s">
        <v>336</v>
      </c>
      <c r="W41" t="s">
        <v>53</v>
      </c>
      <c r="X41" t="s">
        <v>50</v>
      </c>
    </row>
    <row r="42" spans="1:41">
      <c r="C42" t="s">
        <v>58</v>
      </c>
      <c r="D42">
        <f t="shared" ref="D42:F47" si="19">D33*2</f>
        <v>25.714285714285719</v>
      </c>
      <c r="E42">
        <f t="shared" si="19"/>
        <v>28.571428571428573</v>
      </c>
      <c r="F42">
        <f t="shared" si="19"/>
        <v>27.142857142857142</v>
      </c>
      <c r="X42" t="s">
        <v>58</v>
      </c>
      <c r="Y42">
        <f t="shared" ref="Y42:AA47" si="20">Y33*2</f>
        <v>104.28571428571431</v>
      </c>
      <c r="Z42">
        <f t="shared" si="20"/>
        <v>108.57142857142857</v>
      </c>
      <c r="AA42">
        <f t="shared" si="20"/>
        <v>115.71428571428572</v>
      </c>
    </row>
    <row r="43" spans="1:41">
      <c r="C43" t="s">
        <v>59</v>
      </c>
      <c r="D43">
        <f t="shared" si="19"/>
        <v>18.571428571428577</v>
      </c>
      <c r="E43">
        <f t="shared" si="19"/>
        <v>25.714285714285719</v>
      </c>
      <c r="F43">
        <f t="shared" si="19"/>
        <v>24.285714285714281</v>
      </c>
      <c r="X43" t="s">
        <v>59</v>
      </c>
      <c r="Y43">
        <f t="shared" si="20"/>
        <v>145.71428571428572</v>
      </c>
      <c r="Z43">
        <f t="shared" si="20"/>
        <v>142.85714285714286</v>
      </c>
      <c r="AA43">
        <f t="shared" si="20"/>
        <v>151.42857142857144</v>
      </c>
    </row>
    <row r="44" spans="1:41">
      <c r="C44" t="s">
        <v>60</v>
      </c>
      <c r="D44">
        <f t="shared" si="19"/>
        <v>254.28571428571431</v>
      </c>
      <c r="E44">
        <f t="shared" si="19"/>
        <v>244.28571428571431</v>
      </c>
      <c r="F44">
        <f t="shared" si="19"/>
        <v>254.28571428571431</v>
      </c>
      <c r="X44" t="s">
        <v>60</v>
      </c>
      <c r="Y44">
        <f t="shared" si="20"/>
        <v>982.85714285714278</v>
      </c>
      <c r="Z44">
        <f t="shared" si="20"/>
        <v>964.28571428571433</v>
      </c>
      <c r="AA44">
        <f t="shared" si="20"/>
        <v>937.14285714285722</v>
      </c>
    </row>
    <row r="45" spans="1:41">
      <c r="C45" t="s">
        <v>61</v>
      </c>
      <c r="D45">
        <f t="shared" si="19"/>
        <v>445.71428571428578</v>
      </c>
      <c r="E45">
        <f t="shared" si="19"/>
        <v>392.85714285714289</v>
      </c>
      <c r="F45">
        <f t="shared" si="19"/>
        <v>408.57142857142861</v>
      </c>
      <c r="X45" t="s">
        <v>61</v>
      </c>
      <c r="Y45">
        <f t="shared" si="20"/>
        <v>1335.7142857142856</v>
      </c>
      <c r="Z45">
        <f t="shared" si="20"/>
        <v>1351.4285714285713</v>
      </c>
      <c r="AA45">
        <f t="shared" si="20"/>
        <v>1348.5714285714284</v>
      </c>
    </row>
    <row r="46" spans="1:41">
      <c r="C46" t="s">
        <v>62</v>
      </c>
      <c r="D46">
        <f t="shared" si="19"/>
        <v>304.28571428571428</v>
      </c>
      <c r="E46">
        <f t="shared" si="19"/>
        <v>318.57142857142856</v>
      </c>
      <c r="F46">
        <f t="shared" si="19"/>
        <v>271.42857142857139</v>
      </c>
      <c r="X46" t="s">
        <v>62</v>
      </c>
      <c r="Y46">
        <f t="shared" si="20"/>
        <v>932.85714285714289</v>
      </c>
      <c r="Z46">
        <f t="shared" si="20"/>
        <v>932.85714285714289</v>
      </c>
      <c r="AA46">
        <f t="shared" si="20"/>
        <v>907.14285714285711</v>
      </c>
    </row>
    <row r="47" spans="1:41">
      <c r="C47" t="s">
        <v>63</v>
      </c>
      <c r="D47">
        <f t="shared" si="19"/>
        <v>441.42857142857144</v>
      </c>
      <c r="E47">
        <f t="shared" si="19"/>
        <v>470</v>
      </c>
      <c r="F47">
        <f t="shared" si="19"/>
        <v>442.85714285714283</v>
      </c>
      <c r="X47" t="s">
        <v>63</v>
      </c>
      <c r="Y47">
        <f t="shared" si="20"/>
        <v>1488.5714285714287</v>
      </c>
      <c r="Z47">
        <f t="shared" si="20"/>
        <v>1522.8571428571429</v>
      </c>
      <c r="AA47">
        <f t="shared" si="20"/>
        <v>1474.2857142857144</v>
      </c>
    </row>
    <row r="61" spans="1:34">
      <c r="B61" t="s">
        <v>175</v>
      </c>
      <c r="X61" t="s">
        <v>126</v>
      </c>
    </row>
    <row r="62" spans="1:34">
      <c r="A62" t="s">
        <v>56</v>
      </c>
      <c r="V62" t="s">
        <v>56</v>
      </c>
    </row>
    <row r="63" spans="1:34">
      <c r="C63" t="s">
        <v>338</v>
      </c>
      <c r="W63" t="s">
        <v>53</v>
      </c>
      <c r="X63" t="s">
        <v>338</v>
      </c>
    </row>
    <row r="64" spans="1:34">
      <c r="C64" t="s">
        <v>58</v>
      </c>
      <c r="D64">
        <v>4.2999999999999997E-2</v>
      </c>
      <c r="E64">
        <v>4.9000000000000002E-2</v>
      </c>
      <c r="F64">
        <v>4.8000000000000001E-2</v>
      </c>
      <c r="G64" s="4" t="s">
        <v>35</v>
      </c>
      <c r="H64" s="4"/>
      <c r="I64" s="4"/>
      <c r="J64" s="4"/>
      <c r="K64" s="4"/>
      <c r="L64" s="4"/>
      <c r="M64" s="4"/>
      <c r="X64" t="s">
        <v>58</v>
      </c>
      <c r="Y64">
        <v>0.127</v>
      </c>
      <c r="Z64">
        <v>0.129</v>
      </c>
      <c r="AA64">
        <v>0.128</v>
      </c>
      <c r="AB64" s="4" t="s">
        <v>35</v>
      </c>
      <c r="AC64" s="4"/>
      <c r="AD64" s="4"/>
      <c r="AE64" s="4"/>
      <c r="AF64" s="4"/>
      <c r="AG64" s="4"/>
      <c r="AH64" s="4"/>
    </row>
    <row r="65" spans="1:34">
      <c r="C65" t="s">
        <v>59</v>
      </c>
      <c r="D65">
        <v>0.05</v>
      </c>
      <c r="E65">
        <v>4.7E-2</v>
      </c>
      <c r="F65">
        <v>4.4999999999999998E-2</v>
      </c>
      <c r="G65" s="4" t="s">
        <v>67</v>
      </c>
      <c r="H65" s="4">
        <v>99.6875</v>
      </c>
      <c r="I65" s="4">
        <v>109.68749999999999</v>
      </c>
      <c r="J65" s="4">
        <v>109.06249999999999</v>
      </c>
      <c r="K65" s="4"/>
      <c r="L65" s="4"/>
      <c r="M65" s="4"/>
      <c r="X65" t="s">
        <v>59</v>
      </c>
      <c r="Y65">
        <v>0.20399999999999999</v>
      </c>
      <c r="Z65">
        <v>0.20200000000000001</v>
      </c>
      <c r="AA65">
        <v>0.13700000000000001</v>
      </c>
      <c r="AB65" s="4" t="s">
        <v>67</v>
      </c>
      <c r="AC65" s="4">
        <v>157.8125</v>
      </c>
      <c r="AD65" s="4">
        <v>157.8125</v>
      </c>
      <c r="AE65" s="4">
        <v>157.8125</v>
      </c>
      <c r="AF65" s="4"/>
      <c r="AG65" s="4"/>
      <c r="AH65" s="4"/>
    </row>
    <row r="66" spans="1:34">
      <c r="C66" t="s">
        <v>60</v>
      </c>
      <c r="D66">
        <v>0.14599999999999999</v>
      </c>
      <c r="E66">
        <v>0.15</v>
      </c>
      <c r="F66">
        <v>0.151</v>
      </c>
      <c r="G66" s="4" t="s">
        <v>68</v>
      </c>
      <c r="H66" s="4">
        <v>110.31249999999999</v>
      </c>
      <c r="I66" s="4">
        <v>110.31249999999999</v>
      </c>
      <c r="J66" s="4">
        <v>109.68749999999999</v>
      </c>
      <c r="K66" s="4"/>
      <c r="L66" s="4"/>
      <c r="M66" s="4"/>
      <c r="X66" t="s">
        <v>60</v>
      </c>
      <c r="Y66">
        <v>0.60899999999999999</v>
      </c>
      <c r="Z66">
        <v>0.76900000000000002</v>
      </c>
      <c r="AA66">
        <v>0.69099999999999995</v>
      </c>
      <c r="AB66" s="4" t="s">
        <v>68</v>
      </c>
      <c r="AC66" s="4">
        <v>207.8125</v>
      </c>
      <c r="AD66" s="4">
        <v>204.6875</v>
      </c>
      <c r="AE66" s="4">
        <v>165.3125</v>
      </c>
      <c r="AF66" s="4"/>
      <c r="AG66" s="4"/>
      <c r="AH66" s="4"/>
    </row>
    <row r="67" spans="1:34">
      <c r="C67" t="s">
        <v>61</v>
      </c>
      <c r="D67">
        <v>0.219</v>
      </c>
      <c r="E67">
        <v>0.20599999999999999</v>
      </c>
      <c r="F67">
        <v>0.22800000000000001</v>
      </c>
      <c r="G67" s="4" t="s">
        <v>69</v>
      </c>
      <c r="H67" s="4">
        <v>172.81249999999997</v>
      </c>
      <c r="I67" s="4">
        <v>174.68749999999997</v>
      </c>
      <c r="J67" s="4">
        <v>175.93749999999997</v>
      </c>
      <c r="K67" s="4"/>
      <c r="L67" s="4"/>
      <c r="M67" s="4"/>
      <c r="X67" t="s">
        <v>61</v>
      </c>
      <c r="Y67">
        <v>1.4850000000000001</v>
      </c>
      <c r="Z67">
        <v>1.5620000000000001</v>
      </c>
      <c r="AA67">
        <v>1.698</v>
      </c>
      <c r="AB67" s="4" t="s">
        <v>69</v>
      </c>
      <c r="AC67" s="4">
        <v>459.06249999999994</v>
      </c>
      <c r="AD67" s="4">
        <v>558.4375</v>
      </c>
      <c r="AE67" s="4">
        <v>505.31249999999989</v>
      </c>
      <c r="AF67" s="4"/>
      <c r="AG67" s="4"/>
      <c r="AH67" s="4"/>
    </row>
    <row r="68" spans="1:34">
      <c r="C68" t="s">
        <v>62</v>
      </c>
      <c r="D68">
        <v>0.34899999999999998</v>
      </c>
      <c r="E68">
        <v>0.34899999999999998</v>
      </c>
      <c r="F68">
        <v>0.34899999999999998</v>
      </c>
      <c r="G68" s="4" t="s">
        <v>70</v>
      </c>
      <c r="H68" s="4">
        <v>217.8125</v>
      </c>
      <c r="I68" s="4">
        <v>207.8125</v>
      </c>
      <c r="J68" s="4">
        <v>219.6875</v>
      </c>
      <c r="K68" s="4"/>
      <c r="L68" s="4"/>
      <c r="M68" s="4"/>
      <c r="X68" t="s">
        <v>62</v>
      </c>
      <c r="Y68">
        <v>0.46300000000000002</v>
      </c>
      <c r="Z68">
        <v>0.48099999999999998</v>
      </c>
      <c r="AA68">
        <v>0.498</v>
      </c>
      <c r="AB68" s="4" t="s">
        <v>70</v>
      </c>
      <c r="AC68" s="4">
        <v>1003.4375</v>
      </c>
      <c r="AD68" s="4">
        <v>1051.5625</v>
      </c>
      <c r="AE68" s="4">
        <v>1137.1875</v>
      </c>
      <c r="AF68" s="4"/>
      <c r="AG68" s="4"/>
      <c r="AH68" s="4"/>
    </row>
    <row r="69" spans="1:34">
      <c r="C69" t="s">
        <v>63</v>
      </c>
      <c r="D69">
        <v>0.56799999999999995</v>
      </c>
      <c r="E69">
        <v>0.56000000000000005</v>
      </c>
      <c r="F69">
        <v>0.56299999999999994</v>
      </c>
      <c r="G69" s="4" t="s">
        <v>71</v>
      </c>
      <c r="H69" s="4">
        <v>299.68749999999994</v>
      </c>
      <c r="I69" s="4">
        <v>299.06249999999994</v>
      </c>
      <c r="J69" s="4">
        <v>299.68749999999994</v>
      </c>
      <c r="K69" s="4"/>
      <c r="L69" s="4"/>
      <c r="M69" s="4"/>
      <c r="X69" t="s">
        <v>63</v>
      </c>
      <c r="Y69">
        <v>1.167</v>
      </c>
      <c r="Z69">
        <v>1.173</v>
      </c>
      <c r="AA69">
        <v>1.145</v>
      </c>
      <c r="AB69" s="4" t="s">
        <v>71</v>
      </c>
      <c r="AC69" s="4">
        <v>370.9375</v>
      </c>
      <c r="AD69" s="4">
        <v>380.93749999999994</v>
      </c>
      <c r="AE69" s="4">
        <v>387.81249999999994</v>
      </c>
      <c r="AF69" s="4"/>
      <c r="AG69" s="4"/>
      <c r="AH69" s="4"/>
    </row>
    <row r="70" spans="1:34">
      <c r="G70" s="4" t="s">
        <v>72</v>
      </c>
      <c r="H70" s="4">
        <v>435.31249999999989</v>
      </c>
      <c r="I70" s="4">
        <v>429.0625</v>
      </c>
      <c r="J70" s="4">
        <v>430.93749999999989</v>
      </c>
      <c r="K70" s="4"/>
      <c r="L70" s="4"/>
      <c r="M70" s="4"/>
      <c r="AB70" s="4" t="s">
        <v>72</v>
      </c>
      <c r="AC70" s="4">
        <v>808.4375</v>
      </c>
      <c r="AD70" s="4">
        <v>814.6875</v>
      </c>
      <c r="AE70" s="4">
        <v>796.56250000000011</v>
      </c>
      <c r="AF70" s="4"/>
      <c r="AG70" s="4"/>
      <c r="AH70" s="4"/>
    </row>
    <row r="71" spans="1:34">
      <c r="G71" s="4"/>
      <c r="H71" s="4"/>
      <c r="I71" s="4"/>
      <c r="J71" s="4"/>
      <c r="K71" s="4"/>
      <c r="L71" s="4"/>
      <c r="M71" s="4"/>
      <c r="AB71" s="4"/>
      <c r="AC71" s="4"/>
      <c r="AD71" s="4"/>
      <c r="AE71" s="4"/>
      <c r="AF71" s="4"/>
      <c r="AG71" s="4"/>
      <c r="AH71" s="4"/>
    </row>
    <row r="72" spans="1:34">
      <c r="A72" t="s">
        <v>64</v>
      </c>
      <c r="G72" s="4"/>
      <c r="H72" s="4"/>
      <c r="I72" s="4"/>
      <c r="J72" s="4"/>
      <c r="K72" s="4"/>
      <c r="L72" s="4"/>
      <c r="M72" s="4"/>
      <c r="V72" t="s">
        <v>64</v>
      </c>
      <c r="AB72" s="4"/>
      <c r="AC72" s="4"/>
      <c r="AD72" s="4"/>
      <c r="AE72" s="4"/>
      <c r="AF72" s="4"/>
      <c r="AG72" s="4"/>
      <c r="AH72" s="4"/>
    </row>
    <row r="73" spans="1:34">
      <c r="C73" t="s">
        <v>338</v>
      </c>
      <c r="G73" s="4"/>
      <c r="H73" s="4"/>
      <c r="I73" s="4"/>
      <c r="J73" s="4"/>
      <c r="K73" s="4"/>
      <c r="L73" s="4"/>
      <c r="M73" s="4"/>
      <c r="W73" t="s">
        <v>53</v>
      </c>
      <c r="X73" t="s">
        <v>338</v>
      </c>
      <c r="AB73" s="4"/>
      <c r="AC73" s="4"/>
      <c r="AD73" s="4"/>
      <c r="AE73" s="4"/>
      <c r="AF73" s="4"/>
      <c r="AG73" s="4"/>
      <c r="AH73" s="4"/>
    </row>
    <row r="74" spans="1:34">
      <c r="C74" t="s">
        <v>58</v>
      </c>
      <c r="D74">
        <v>3.7999999999999999E-2</v>
      </c>
      <c r="E74">
        <v>2.8000000000000001E-2</v>
      </c>
      <c r="F74">
        <v>2.8000000000000001E-2</v>
      </c>
      <c r="H74" s="4"/>
      <c r="I74" s="4"/>
      <c r="J74" s="4"/>
      <c r="K74" s="4"/>
      <c r="L74" s="4"/>
      <c r="M74" s="4"/>
      <c r="X74" t="s">
        <v>58</v>
      </c>
      <c r="Y74">
        <v>2.9000000000000001E-2</v>
      </c>
      <c r="Z74">
        <v>3.1E-2</v>
      </c>
      <c r="AA74">
        <v>0.03</v>
      </c>
      <c r="AB74" s="4" t="s">
        <v>338</v>
      </c>
      <c r="AC74" s="4"/>
      <c r="AD74" s="4"/>
      <c r="AE74" s="4"/>
      <c r="AF74" s="4"/>
      <c r="AG74" s="4"/>
      <c r="AH74" s="4"/>
    </row>
    <row r="75" spans="1:34">
      <c r="C75" t="s">
        <v>59</v>
      </c>
      <c r="D75">
        <v>2.8000000000000001E-2</v>
      </c>
      <c r="E75">
        <v>2.5000000000000001E-2</v>
      </c>
      <c r="F75">
        <v>2.4E-2</v>
      </c>
      <c r="G75" s="4" t="s">
        <v>35</v>
      </c>
      <c r="H75" s="4"/>
      <c r="I75" s="4"/>
      <c r="J75" s="4"/>
      <c r="K75" s="4"/>
      <c r="L75" s="4"/>
      <c r="M75" s="4"/>
      <c r="X75" t="s">
        <v>59</v>
      </c>
      <c r="Y75">
        <v>2.5999999999999999E-2</v>
      </c>
      <c r="Z75">
        <v>2.9000000000000001E-2</v>
      </c>
      <c r="AA75">
        <v>2.7E-2</v>
      </c>
      <c r="AB75" s="4"/>
      <c r="AC75" s="4"/>
      <c r="AD75" s="4"/>
      <c r="AE75" s="4"/>
      <c r="AF75" s="4"/>
      <c r="AG75" s="4"/>
      <c r="AH75" s="4"/>
    </row>
    <row r="76" spans="1:34">
      <c r="C76" t="s">
        <v>60</v>
      </c>
      <c r="D76">
        <v>2.4E-2</v>
      </c>
      <c r="E76">
        <v>2.5000000000000001E-2</v>
      </c>
      <c r="F76">
        <v>2.4E-2</v>
      </c>
      <c r="X76" t="s">
        <v>60</v>
      </c>
      <c r="Y76">
        <v>2.9000000000000001E-2</v>
      </c>
      <c r="Z76">
        <v>0.03</v>
      </c>
      <c r="AA76">
        <v>3.6999999999999998E-2</v>
      </c>
      <c r="AB76" s="4"/>
      <c r="AC76" s="4" t="s">
        <v>337</v>
      </c>
      <c r="AD76" s="4"/>
      <c r="AE76" s="4"/>
      <c r="AF76" s="4" t="s">
        <v>1</v>
      </c>
      <c r="AG76" s="4"/>
      <c r="AH76" s="4"/>
    </row>
    <row r="77" spans="1:34">
      <c r="C77" t="s">
        <v>61</v>
      </c>
      <c r="D77">
        <v>2.5000000000000001E-2</v>
      </c>
      <c r="E77">
        <v>2.8000000000000001E-2</v>
      </c>
      <c r="F77">
        <v>3.1E-2</v>
      </c>
      <c r="G77" s="4"/>
      <c r="H77" s="4" t="s">
        <v>337</v>
      </c>
      <c r="I77" s="4"/>
      <c r="J77" s="4"/>
      <c r="K77" s="4" t="s">
        <v>1</v>
      </c>
      <c r="L77" s="4"/>
      <c r="M77" s="4"/>
      <c r="X77" t="s">
        <v>61</v>
      </c>
      <c r="Y77">
        <v>3.4000000000000002E-2</v>
      </c>
      <c r="Z77">
        <v>3.4000000000000002E-2</v>
      </c>
      <c r="AA77">
        <v>3.3000000000000002E-2</v>
      </c>
      <c r="AB77" s="4">
        <v>0</v>
      </c>
      <c r="AC77" s="4">
        <v>157.8125</v>
      </c>
      <c r="AD77" s="4">
        <v>157.8125</v>
      </c>
      <c r="AE77" s="4">
        <v>157.8125</v>
      </c>
      <c r="AF77" s="4">
        <v>207.8125</v>
      </c>
      <c r="AG77" s="4">
        <v>204.6875</v>
      </c>
      <c r="AH77" s="4">
        <v>165.3125</v>
      </c>
    </row>
    <row r="78" spans="1:34">
      <c r="C78" t="s">
        <v>62</v>
      </c>
      <c r="D78">
        <v>2.4E-2</v>
      </c>
      <c r="E78">
        <v>2.5000000000000001E-2</v>
      </c>
      <c r="F78">
        <v>2.4E-2</v>
      </c>
      <c r="G78" s="4">
        <v>0</v>
      </c>
      <c r="H78" s="4">
        <v>99.6875</v>
      </c>
      <c r="I78" s="4">
        <v>109.68749999999999</v>
      </c>
      <c r="J78" s="4">
        <v>109.06249999999999</v>
      </c>
      <c r="K78" s="4">
        <v>110.31249999999999</v>
      </c>
      <c r="L78" s="4">
        <v>110.31249999999999</v>
      </c>
      <c r="M78" s="4">
        <v>109.68749999999999</v>
      </c>
      <c r="X78" t="s">
        <v>62</v>
      </c>
      <c r="Y78">
        <v>2.4E-2</v>
      </c>
      <c r="Z78">
        <v>2.5999999999999999E-2</v>
      </c>
      <c r="AA78">
        <v>3.2000000000000001E-2</v>
      </c>
      <c r="AB78" s="4">
        <v>3</v>
      </c>
      <c r="AC78" s="4">
        <v>459.06249999999994</v>
      </c>
      <c r="AD78" s="4">
        <v>558.4375</v>
      </c>
      <c r="AE78" s="4">
        <v>505.31249999999989</v>
      </c>
      <c r="AF78" s="4">
        <v>1003.4375</v>
      </c>
      <c r="AG78" s="4">
        <v>1051.5625</v>
      </c>
      <c r="AH78" s="4">
        <v>1137.1875</v>
      </c>
    </row>
    <row r="79" spans="1:34">
      <c r="C79" t="s">
        <v>63</v>
      </c>
      <c r="D79">
        <v>2.5999999999999999E-2</v>
      </c>
      <c r="E79">
        <v>2.8000000000000001E-2</v>
      </c>
      <c r="F79">
        <v>2.8000000000000001E-2</v>
      </c>
      <c r="G79" s="4">
        <v>3</v>
      </c>
      <c r="H79" s="4">
        <v>172.81249999999997</v>
      </c>
      <c r="I79" s="4">
        <v>174.68749999999997</v>
      </c>
      <c r="J79" s="4">
        <v>175.93749999999997</v>
      </c>
      <c r="K79" s="4">
        <v>217.8125</v>
      </c>
      <c r="L79" s="4">
        <v>207.8125</v>
      </c>
      <c r="M79" s="4">
        <v>219.6875</v>
      </c>
      <c r="X79" t="s">
        <v>63</v>
      </c>
      <c r="Y79">
        <v>2.8000000000000001E-2</v>
      </c>
      <c r="Z79">
        <v>2.4E-2</v>
      </c>
      <c r="AA79">
        <v>2.5000000000000001E-2</v>
      </c>
      <c r="AB79" s="4">
        <v>6</v>
      </c>
      <c r="AC79" s="4">
        <v>370.9375</v>
      </c>
      <c r="AD79" s="4">
        <v>380.93749999999994</v>
      </c>
      <c r="AE79" s="4">
        <v>387.81249999999994</v>
      </c>
      <c r="AF79" s="4">
        <v>808.4375</v>
      </c>
      <c r="AG79" s="4">
        <v>814.6875</v>
      </c>
      <c r="AH79" s="4">
        <v>796.56250000000011</v>
      </c>
    </row>
    <row r="80" spans="1:34">
      <c r="G80" s="4">
        <v>6</v>
      </c>
      <c r="H80" s="4">
        <v>299.68749999999994</v>
      </c>
      <c r="I80" s="4">
        <v>299.06249999999994</v>
      </c>
      <c r="J80" s="4">
        <v>299.68749999999994</v>
      </c>
      <c r="K80" s="4">
        <v>435.31249999999989</v>
      </c>
      <c r="L80" s="4">
        <v>429.0625</v>
      </c>
      <c r="M80" s="4">
        <v>430.93749999999989</v>
      </c>
      <c r="AB80" s="4"/>
      <c r="AC80" s="4"/>
      <c r="AD80" s="4"/>
      <c r="AE80" s="4"/>
      <c r="AF80" s="4"/>
      <c r="AG80" s="4"/>
      <c r="AH80" s="4"/>
    </row>
    <row r="81" spans="1:41">
      <c r="A81" t="s">
        <v>65</v>
      </c>
      <c r="G81" s="4"/>
      <c r="H81" s="4"/>
      <c r="I81" s="4"/>
      <c r="J81" s="4"/>
      <c r="K81" s="4"/>
      <c r="L81" s="4"/>
      <c r="M81" s="4"/>
      <c r="V81" t="s">
        <v>65</v>
      </c>
      <c r="AB81" s="4"/>
      <c r="AC81" s="4"/>
      <c r="AD81" s="4"/>
      <c r="AE81" s="4"/>
      <c r="AF81" s="4"/>
      <c r="AG81" s="4"/>
      <c r="AH81" s="4"/>
    </row>
    <row r="82" spans="1:41">
      <c r="C82" t="s">
        <v>35</v>
      </c>
      <c r="G82" s="4"/>
      <c r="H82" s="4"/>
      <c r="I82" s="4"/>
      <c r="J82" s="4"/>
      <c r="K82" s="4"/>
      <c r="L82" s="4"/>
      <c r="M82" s="4"/>
      <c r="W82" t="s">
        <v>53</v>
      </c>
      <c r="X82" t="s">
        <v>35</v>
      </c>
      <c r="AB82" s="4"/>
      <c r="AC82" s="4"/>
      <c r="AD82" s="4"/>
      <c r="AE82" s="4"/>
      <c r="AF82" s="4"/>
      <c r="AG82" s="4"/>
      <c r="AH82" s="4"/>
    </row>
    <row r="83" spans="1:41">
      <c r="C83" t="s">
        <v>67</v>
      </c>
      <c r="D83">
        <v>4.9999999999999975E-3</v>
      </c>
      <c r="E83">
        <v>2.1000000000000001E-2</v>
      </c>
      <c r="F83">
        <v>0.02</v>
      </c>
      <c r="G83" s="4"/>
      <c r="H83" s="4"/>
      <c r="I83" s="4"/>
      <c r="J83" s="4"/>
      <c r="K83" s="4"/>
      <c r="L83" s="4"/>
      <c r="M83" s="4"/>
      <c r="X83" t="s">
        <v>67</v>
      </c>
      <c r="Y83">
        <v>9.8000000000000004E-2</v>
      </c>
      <c r="Z83">
        <v>9.8000000000000004E-2</v>
      </c>
      <c r="AA83">
        <v>9.8000000000000004E-2</v>
      </c>
      <c r="AB83" s="4"/>
      <c r="AC83" s="4"/>
      <c r="AD83" s="4"/>
      <c r="AE83" s="4"/>
      <c r="AF83" s="4"/>
      <c r="AG83" s="4"/>
      <c r="AH83" s="4"/>
    </row>
    <row r="84" spans="1:41">
      <c r="C84" t="s">
        <v>68</v>
      </c>
      <c r="D84">
        <v>2.2000000000000002E-2</v>
      </c>
      <c r="E84">
        <v>2.1999999999999999E-2</v>
      </c>
      <c r="F84">
        <v>2.0999999999999998E-2</v>
      </c>
      <c r="G84" s="4"/>
      <c r="H84" s="4" t="s">
        <v>337</v>
      </c>
      <c r="I84" s="4"/>
      <c r="J84" s="4"/>
      <c r="K84" s="4" t="s">
        <v>1</v>
      </c>
      <c r="L84" s="4"/>
      <c r="M84" s="4"/>
      <c r="X84" t="s">
        <v>68</v>
      </c>
      <c r="Y84">
        <v>0.17799999999999999</v>
      </c>
      <c r="Z84">
        <v>0.17300000000000001</v>
      </c>
      <c r="AA84">
        <v>0.11000000000000001</v>
      </c>
      <c r="AB84" s="4"/>
      <c r="AC84" s="4"/>
      <c r="AD84" s="4"/>
      <c r="AE84" s="4"/>
      <c r="AF84" s="4"/>
      <c r="AG84" s="4"/>
      <c r="AH84" s="4"/>
    </row>
    <row r="85" spans="1:41">
      <c r="C85" t="s">
        <v>69</v>
      </c>
      <c r="D85">
        <v>0.122</v>
      </c>
      <c r="E85">
        <v>0.125</v>
      </c>
      <c r="F85">
        <v>0.127</v>
      </c>
      <c r="G85" s="4">
        <v>0</v>
      </c>
      <c r="H85" s="4">
        <f t="shared" ref="H85:M87" si="21">H78/10</f>
        <v>9.96875</v>
      </c>
      <c r="I85" s="4">
        <f t="shared" si="21"/>
        <v>10.968749999999998</v>
      </c>
      <c r="J85" s="4">
        <f t="shared" si="21"/>
        <v>10.906249999999998</v>
      </c>
      <c r="K85" s="4">
        <f t="shared" si="21"/>
        <v>11.031249999999998</v>
      </c>
      <c r="L85" s="4">
        <f t="shared" si="21"/>
        <v>11.031249999999998</v>
      </c>
      <c r="M85" s="4">
        <f t="shared" si="21"/>
        <v>10.968749999999998</v>
      </c>
      <c r="X85" t="s">
        <v>69</v>
      </c>
      <c r="Y85">
        <v>0.57999999999999996</v>
      </c>
      <c r="Z85">
        <v>0.73899999999999999</v>
      </c>
      <c r="AA85">
        <v>0.65399999999999991</v>
      </c>
      <c r="AB85" s="4"/>
      <c r="AC85" s="4"/>
      <c r="AD85" s="4"/>
      <c r="AE85" s="4"/>
      <c r="AF85" s="4"/>
      <c r="AG85" s="4"/>
      <c r="AH85" s="4"/>
    </row>
    <row r="86" spans="1:41">
      <c r="C86" t="s">
        <v>70</v>
      </c>
      <c r="D86">
        <v>0.19400000000000001</v>
      </c>
      <c r="E86">
        <v>0.17799999999999999</v>
      </c>
      <c r="F86">
        <v>0.19700000000000001</v>
      </c>
      <c r="G86" s="4">
        <v>3</v>
      </c>
      <c r="H86" s="4">
        <f t="shared" si="21"/>
        <v>17.281249999999996</v>
      </c>
      <c r="I86" s="4">
        <f t="shared" si="21"/>
        <v>17.468749999999996</v>
      </c>
      <c r="J86" s="4">
        <f t="shared" si="21"/>
        <v>17.593749999999996</v>
      </c>
      <c r="K86" s="4">
        <f t="shared" si="21"/>
        <v>21.78125</v>
      </c>
      <c r="L86" s="4">
        <f t="shared" si="21"/>
        <v>20.78125</v>
      </c>
      <c r="M86" s="4">
        <f t="shared" si="21"/>
        <v>21.96875</v>
      </c>
      <c r="X86" t="s">
        <v>70</v>
      </c>
      <c r="Y86">
        <v>1.4510000000000001</v>
      </c>
      <c r="Z86">
        <v>1.528</v>
      </c>
      <c r="AA86">
        <v>1.665</v>
      </c>
      <c r="AB86" s="4" t="s">
        <v>338</v>
      </c>
      <c r="AC86" s="4"/>
      <c r="AD86" s="4"/>
      <c r="AE86" s="4"/>
      <c r="AF86" s="4"/>
      <c r="AG86" s="4"/>
      <c r="AH86" s="4"/>
    </row>
    <row r="87" spans="1:41">
      <c r="C87" t="s">
        <v>71</v>
      </c>
      <c r="D87">
        <v>0.32499999999999996</v>
      </c>
      <c r="E87">
        <v>0.32399999999999995</v>
      </c>
      <c r="F87">
        <v>0.32499999999999996</v>
      </c>
      <c r="G87" s="4">
        <v>6</v>
      </c>
      <c r="H87" s="4">
        <f t="shared" si="21"/>
        <v>29.968749999999993</v>
      </c>
      <c r="I87" s="4">
        <f t="shared" si="21"/>
        <v>29.906249999999993</v>
      </c>
      <c r="J87" s="4">
        <f t="shared" si="21"/>
        <v>29.968749999999993</v>
      </c>
      <c r="K87" s="4">
        <f t="shared" si="21"/>
        <v>43.531249999999986</v>
      </c>
      <c r="L87" s="4">
        <f t="shared" si="21"/>
        <v>42.90625</v>
      </c>
      <c r="M87" s="4">
        <f t="shared" si="21"/>
        <v>43.093749999999986</v>
      </c>
      <c r="X87" t="s">
        <v>71</v>
      </c>
      <c r="Y87">
        <v>0.439</v>
      </c>
      <c r="Z87">
        <v>0.45499999999999996</v>
      </c>
      <c r="AA87">
        <v>0.46599999999999997</v>
      </c>
      <c r="AB87" s="4"/>
      <c r="AC87" s="4" t="s">
        <v>337</v>
      </c>
      <c r="AD87" s="4"/>
      <c r="AE87" s="4"/>
      <c r="AF87" s="4" t="s">
        <v>1</v>
      </c>
      <c r="AG87" s="4"/>
      <c r="AH87" s="4"/>
    </row>
    <row r="88" spans="1:41">
      <c r="C88" t="s">
        <v>72</v>
      </c>
      <c r="D88">
        <v>0.54199999999999993</v>
      </c>
      <c r="E88">
        <v>0.53200000000000003</v>
      </c>
      <c r="F88">
        <v>0.53499999999999992</v>
      </c>
      <c r="X88" t="s">
        <v>72</v>
      </c>
      <c r="Y88">
        <v>1.139</v>
      </c>
      <c r="Z88">
        <v>1.149</v>
      </c>
      <c r="AA88">
        <v>1.1200000000000001</v>
      </c>
      <c r="AB88" s="4">
        <v>0</v>
      </c>
      <c r="AC88" s="4">
        <f>AC77/10</f>
        <v>15.78125</v>
      </c>
      <c r="AD88" s="4">
        <f t="shared" ref="AD88:AH88" si="22">AD77/10</f>
        <v>15.78125</v>
      </c>
      <c r="AE88" s="4">
        <f t="shared" si="22"/>
        <v>15.78125</v>
      </c>
      <c r="AF88" s="4">
        <f t="shared" si="22"/>
        <v>20.78125</v>
      </c>
      <c r="AG88" s="4">
        <f t="shared" si="22"/>
        <v>20.46875</v>
      </c>
      <c r="AH88" s="4">
        <f t="shared" si="22"/>
        <v>16.53125</v>
      </c>
    </row>
    <row r="89" spans="1:41">
      <c r="AB89" s="4">
        <v>3</v>
      </c>
      <c r="AC89" s="4">
        <f t="shared" ref="AC89:AH90" si="23">AC78/10</f>
        <v>45.906249999999993</v>
      </c>
      <c r="AD89" s="4">
        <f t="shared" si="23"/>
        <v>55.84375</v>
      </c>
      <c r="AE89" s="4">
        <f t="shared" si="23"/>
        <v>50.531249999999986</v>
      </c>
      <c r="AF89" s="4">
        <f t="shared" si="23"/>
        <v>100.34375</v>
      </c>
      <c r="AG89" s="4">
        <f t="shared" si="23"/>
        <v>105.15625</v>
      </c>
      <c r="AH89" s="4">
        <f t="shared" si="23"/>
        <v>113.71875</v>
      </c>
    </row>
    <row r="90" spans="1:41">
      <c r="AB90" s="4">
        <v>6</v>
      </c>
      <c r="AC90" s="4">
        <f t="shared" si="23"/>
        <v>37.09375</v>
      </c>
      <c r="AD90" s="4">
        <f t="shared" si="23"/>
        <v>38.093749999999993</v>
      </c>
      <c r="AE90" s="4">
        <f t="shared" si="23"/>
        <v>38.781249999999993</v>
      </c>
      <c r="AF90" s="4">
        <f t="shared" si="23"/>
        <v>80.84375</v>
      </c>
      <c r="AG90" s="4">
        <f t="shared" si="23"/>
        <v>81.46875</v>
      </c>
      <c r="AH90" s="4">
        <f t="shared" si="23"/>
        <v>79.656250000000014</v>
      </c>
    </row>
    <row r="91" spans="1:41">
      <c r="G91" t="s">
        <v>701</v>
      </c>
    </row>
    <row r="92" spans="1:41">
      <c r="A92" t="s">
        <v>74</v>
      </c>
      <c r="C92" t="s">
        <v>35</v>
      </c>
      <c r="G92" s="90"/>
      <c r="H92" s="90" t="s">
        <v>337</v>
      </c>
      <c r="I92" s="90"/>
      <c r="J92" s="90"/>
      <c r="K92" s="90" t="s">
        <v>1</v>
      </c>
      <c r="L92" s="90"/>
      <c r="M92" s="90"/>
      <c r="N92" s="101" t="s">
        <v>663</v>
      </c>
      <c r="O92" s="101" t="s">
        <v>396</v>
      </c>
      <c r="P92" s="101" t="s">
        <v>664</v>
      </c>
      <c r="Q92" s="101" t="s">
        <v>663</v>
      </c>
      <c r="R92" s="101" t="s">
        <v>396</v>
      </c>
      <c r="S92" s="101" t="s">
        <v>664</v>
      </c>
      <c r="T92" s="101" t="s">
        <v>665</v>
      </c>
      <c r="V92" t="s">
        <v>74</v>
      </c>
      <c r="W92" t="s">
        <v>53</v>
      </c>
      <c r="X92" t="s">
        <v>35</v>
      </c>
    </row>
    <row r="93" spans="1:41">
      <c r="A93" t="s">
        <v>78</v>
      </c>
      <c r="C93" t="s">
        <v>67</v>
      </c>
      <c r="D93">
        <f t="shared" ref="D93:F98" si="24">(D83+0.1545)/0.0032</f>
        <v>49.84375</v>
      </c>
      <c r="E93">
        <f t="shared" si="24"/>
        <v>54.843749999999993</v>
      </c>
      <c r="F93">
        <f t="shared" si="24"/>
        <v>54.531249999999993</v>
      </c>
      <c r="G93" s="90">
        <v>0</v>
      </c>
      <c r="H93" s="90">
        <v>9.96875</v>
      </c>
      <c r="I93" s="90">
        <v>10.968749999999998</v>
      </c>
      <c r="J93" s="90">
        <v>10.906249999999998</v>
      </c>
      <c r="K93" s="90">
        <v>11.031249999999998</v>
      </c>
      <c r="L93" s="90">
        <v>11.031249999999998</v>
      </c>
      <c r="M93" s="90">
        <v>10.968749999999998</v>
      </c>
      <c r="N93" s="101">
        <f>AVERAGE(H93:J93)</f>
        <v>10.614583333333334</v>
      </c>
      <c r="O93" s="101">
        <f>STDEV(H93:J93)</f>
        <v>0.56018040248953038</v>
      </c>
      <c r="P93" s="101">
        <f>O93/SQRT(3)</f>
        <v>0.32342030617208328</v>
      </c>
      <c r="Q93" s="101">
        <f>AVERAGE(K93:M93)</f>
        <v>11.010416666666664</v>
      </c>
      <c r="R93" s="101">
        <f>STDEV(K93:M93)</f>
        <v>3.6084391824351615E-2</v>
      </c>
      <c r="S93" s="101">
        <f>R93/SQRT(3)</f>
        <v>2.0833333333333336E-2</v>
      </c>
      <c r="T93" s="94">
        <v>0.52980000000000005</v>
      </c>
      <c r="V93" t="s">
        <v>73</v>
      </c>
      <c r="X93" t="s">
        <v>67</v>
      </c>
      <c r="Y93">
        <f t="shared" ref="Y93:AA98" si="25">(Y83+0.1545)/0.0032</f>
        <v>78.90625</v>
      </c>
      <c r="Z93">
        <f t="shared" si="25"/>
        <v>78.90625</v>
      </c>
      <c r="AA93">
        <f t="shared" si="25"/>
        <v>78.90625</v>
      </c>
    </row>
    <row r="94" spans="1:41">
      <c r="C94" t="s">
        <v>68</v>
      </c>
      <c r="D94">
        <f t="shared" si="24"/>
        <v>55.156249999999993</v>
      </c>
      <c r="E94">
        <f t="shared" si="24"/>
        <v>55.156249999999993</v>
      </c>
      <c r="F94">
        <f t="shared" si="24"/>
        <v>54.843749999999993</v>
      </c>
      <c r="G94" s="90">
        <v>3</v>
      </c>
      <c r="H94" s="90">
        <v>17.281249999999996</v>
      </c>
      <c r="I94" s="90">
        <v>17.468749999999996</v>
      </c>
      <c r="J94" s="90">
        <v>17.593749999999996</v>
      </c>
      <c r="K94" s="90">
        <v>21.78125</v>
      </c>
      <c r="L94" s="90">
        <v>20.78125</v>
      </c>
      <c r="M94" s="90">
        <v>21.96875</v>
      </c>
      <c r="N94" s="101">
        <f t="shared" ref="N94:N95" si="26">AVERAGE(H94:J94)</f>
        <v>17.447916666666661</v>
      </c>
      <c r="O94" s="101">
        <f t="shared" ref="O94:O95" si="27">STDEV(H94:J94)</f>
        <v>0.15728821740147397</v>
      </c>
      <c r="P94" s="101">
        <f t="shared" ref="P94:P95" si="28">O94/SQRT(3)</f>
        <v>9.0810394657097379E-2</v>
      </c>
      <c r="Q94" s="101">
        <f t="shared" ref="Q94:Q95" si="29">AVERAGE(K94:M94)</f>
        <v>21.510416666666668</v>
      </c>
      <c r="R94" s="101">
        <f t="shared" ref="R94:R95" si="30">STDEV(K94:M94)</f>
        <v>0.63839806025185675</v>
      </c>
      <c r="S94" s="101">
        <f t="shared" ref="S94:S95" si="31">R94/SQRT(3)</f>
        <v>0.36857929193654443</v>
      </c>
      <c r="T94" s="94" t="s">
        <v>666</v>
      </c>
      <c r="X94" t="s">
        <v>68</v>
      </c>
      <c r="Y94">
        <f t="shared" si="25"/>
        <v>103.90625</v>
      </c>
      <c r="Z94">
        <f t="shared" si="25"/>
        <v>102.34375</v>
      </c>
      <c r="AA94">
        <f t="shared" si="25"/>
        <v>82.65625</v>
      </c>
    </row>
    <row r="95" spans="1:41">
      <c r="C95" t="s">
        <v>69</v>
      </c>
      <c r="D95">
        <f t="shared" si="24"/>
        <v>86.406249999999986</v>
      </c>
      <c r="E95">
        <f t="shared" si="24"/>
        <v>87.343749999999986</v>
      </c>
      <c r="F95">
        <f t="shared" si="24"/>
        <v>87.968749999999986</v>
      </c>
      <c r="G95" s="90">
        <v>6</v>
      </c>
      <c r="H95" s="90">
        <v>29.968749999999993</v>
      </c>
      <c r="I95" s="90">
        <v>29.906249999999993</v>
      </c>
      <c r="J95" s="90">
        <v>29.968749999999993</v>
      </c>
      <c r="K95" s="90">
        <v>43.531249999999986</v>
      </c>
      <c r="L95" s="90">
        <v>42.90625</v>
      </c>
      <c r="M95" s="90">
        <v>43.093749999999986</v>
      </c>
      <c r="N95" s="101">
        <f t="shared" si="26"/>
        <v>29.947916666666657</v>
      </c>
      <c r="O95" s="101">
        <f t="shared" si="27"/>
        <v>3.6084391824351608E-2</v>
      </c>
      <c r="P95" s="101">
        <f t="shared" si="28"/>
        <v>2.0833333333333332E-2</v>
      </c>
      <c r="Q95" s="101">
        <f t="shared" si="29"/>
        <v>43.177083333333321</v>
      </c>
      <c r="R95" s="101">
        <f t="shared" si="30"/>
        <v>0.32072508996542426</v>
      </c>
      <c r="S95" s="101">
        <f t="shared" si="31"/>
        <v>0.18517071702740465</v>
      </c>
      <c r="T95" s="94" t="s">
        <v>666</v>
      </c>
      <c r="X95" t="s">
        <v>69</v>
      </c>
      <c r="Y95">
        <f t="shared" si="25"/>
        <v>229.53124999999997</v>
      </c>
      <c r="Z95">
        <f t="shared" si="25"/>
        <v>279.21875</v>
      </c>
      <c r="AA95">
        <f t="shared" si="25"/>
        <v>252.65624999999994</v>
      </c>
      <c r="AB95" t="s">
        <v>701</v>
      </c>
    </row>
    <row r="96" spans="1:41">
      <c r="C96" t="s">
        <v>70</v>
      </c>
      <c r="D96">
        <f t="shared" si="24"/>
        <v>108.90625</v>
      </c>
      <c r="E96">
        <f t="shared" si="24"/>
        <v>103.90625</v>
      </c>
      <c r="F96">
        <f t="shared" si="24"/>
        <v>109.84375</v>
      </c>
      <c r="X96" t="s">
        <v>70</v>
      </c>
      <c r="Y96">
        <f t="shared" si="25"/>
        <v>501.71875</v>
      </c>
      <c r="Z96">
        <f t="shared" si="25"/>
        <v>525.78125</v>
      </c>
      <c r="AA96">
        <f t="shared" si="25"/>
        <v>568.59375</v>
      </c>
      <c r="AB96" s="90"/>
      <c r="AC96" s="90" t="s">
        <v>337</v>
      </c>
      <c r="AD96" s="90"/>
      <c r="AE96" s="90"/>
      <c r="AF96" s="90" t="s">
        <v>1</v>
      </c>
      <c r="AG96" s="90"/>
      <c r="AH96" s="90"/>
      <c r="AI96" s="101" t="s">
        <v>663</v>
      </c>
      <c r="AJ96" s="101" t="s">
        <v>396</v>
      </c>
      <c r="AK96" s="101" t="s">
        <v>664</v>
      </c>
      <c r="AL96" s="101" t="s">
        <v>663</v>
      </c>
      <c r="AM96" s="101" t="s">
        <v>396</v>
      </c>
      <c r="AN96" s="101" t="s">
        <v>664</v>
      </c>
      <c r="AO96" s="101" t="s">
        <v>665</v>
      </c>
    </row>
    <row r="97" spans="1:41">
      <c r="C97" t="s">
        <v>71</v>
      </c>
      <c r="D97">
        <f t="shared" si="24"/>
        <v>149.84374999999997</v>
      </c>
      <c r="E97">
        <f t="shared" si="24"/>
        <v>149.53124999999997</v>
      </c>
      <c r="F97">
        <f t="shared" si="24"/>
        <v>149.84374999999997</v>
      </c>
      <c r="X97" t="s">
        <v>71</v>
      </c>
      <c r="Y97">
        <f t="shared" si="25"/>
        <v>185.46875</v>
      </c>
      <c r="Z97">
        <f t="shared" si="25"/>
        <v>190.46874999999997</v>
      </c>
      <c r="AA97">
        <f t="shared" si="25"/>
        <v>193.90624999999997</v>
      </c>
      <c r="AB97" s="90">
        <v>0</v>
      </c>
      <c r="AC97" s="90">
        <v>15.78125</v>
      </c>
      <c r="AD97" s="90">
        <v>15.78125</v>
      </c>
      <c r="AE97" s="90">
        <v>15.78125</v>
      </c>
      <c r="AF97" s="90">
        <v>20.78125</v>
      </c>
      <c r="AG97" s="90">
        <v>20.46875</v>
      </c>
      <c r="AH97" s="90">
        <v>16.53125</v>
      </c>
      <c r="AI97" s="101">
        <f>AVERAGE(AC97:AE97)</f>
        <v>15.78125</v>
      </c>
      <c r="AJ97" s="101">
        <f>STDEV(AC97:AE97)</f>
        <v>0</v>
      </c>
      <c r="AK97" s="101">
        <f>AJ97/SQRT(3)</f>
        <v>0</v>
      </c>
      <c r="AL97" s="101">
        <f>AVERAGE(AF97:AH97)</f>
        <v>19.260416666666668</v>
      </c>
      <c r="AM97" s="101">
        <f>STDEV(AF97:AH97)</f>
        <v>2.3686867845566524</v>
      </c>
      <c r="AN97" s="101">
        <f>AM97/SQRT(3)</f>
        <v>1.3675619526896925</v>
      </c>
      <c r="AO97" s="94">
        <v>0.59409999999999996</v>
      </c>
    </row>
    <row r="98" spans="1:41">
      <c r="C98" t="s">
        <v>72</v>
      </c>
      <c r="D98">
        <f t="shared" si="24"/>
        <v>217.65624999999994</v>
      </c>
      <c r="E98">
        <f t="shared" si="24"/>
        <v>214.53125</v>
      </c>
      <c r="F98">
        <f t="shared" si="24"/>
        <v>215.46874999999994</v>
      </c>
      <c r="X98" t="s">
        <v>72</v>
      </c>
      <c r="Y98">
        <f t="shared" si="25"/>
        <v>404.21875</v>
      </c>
      <c r="Z98">
        <f t="shared" si="25"/>
        <v>407.34375</v>
      </c>
      <c r="AA98">
        <f t="shared" si="25"/>
        <v>398.28125000000006</v>
      </c>
      <c r="AB98" s="90">
        <v>3</v>
      </c>
      <c r="AC98" s="90">
        <v>45.906249999999993</v>
      </c>
      <c r="AD98" s="90">
        <v>55.84375</v>
      </c>
      <c r="AE98" s="90">
        <v>50.531249999999986</v>
      </c>
      <c r="AF98" s="90">
        <v>100.34375</v>
      </c>
      <c r="AG98" s="90">
        <v>105.15625</v>
      </c>
      <c r="AH98" s="90">
        <v>113.71875</v>
      </c>
      <c r="AI98" s="101">
        <f t="shared" ref="AI98:AI99" si="32">AVERAGE(AC98:AE98)</f>
        <v>50.760416666666664</v>
      </c>
      <c r="AJ98" s="101">
        <f t="shared" ref="AJ98:AJ99" si="33">STDEV(AC98:AE98)</f>
        <v>4.9727119948106155</v>
      </c>
      <c r="AK98" s="101">
        <f t="shared" ref="AK98:AK99" si="34">AJ98/SQRT(3)</f>
        <v>2.8709966088063901</v>
      </c>
      <c r="AL98" s="101">
        <f t="shared" ref="AL98:AL99" si="35">AVERAGE(AF98:AH98)</f>
        <v>106.40625</v>
      </c>
      <c r="AM98" s="101">
        <f t="shared" ref="AM98:AM99" si="36">STDEV(AF98:AH98)</f>
        <v>6.774550261825504</v>
      </c>
      <c r="AN98" s="101">
        <f t="shared" ref="AN98:AN99" si="37">AM98/SQRT(3)</f>
        <v>3.9112884173036049</v>
      </c>
      <c r="AO98" s="94" t="s">
        <v>666</v>
      </c>
    </row>
    <row r="99" spans="1:41">
      <c r="AB99" s="90">
        <v>6</v>
      </c>
      <c r="AC99" s="90">
        <v>37.09375</v>
      </c>
      <c r="AD99" s="90">
        <v>38.093749999999993</v>
      </c>
      <c r="AE99" s="90">
        <v>38.781249999999993</v>
      </c>
      <c r="AF99" s="90">
        <v>80.84375</v>
      </c>
      <c r="AG99" s="90">
        <v>81.46875</v>
      </c>
      <c r="AH99" s="90">
        <v>79.656250000000014</v>
      </c>
      <c r="AI99" s="101">
        <f t="shared" si="32"/>
        <v>37.989583333333336</v>
      </c>
      <c r="AJ99" s="101">
        <f t="shared" si="33"/>
        <v>0.84855882726734211</v>
      </c>
      <c r="AK99" s="101">
        <f t="shared" si="34"/>
        <v>0.48991566734603315</v>
      </c>
      <c r="AL99" s="101">
        <f t="shared" si="35"/>
        <v>80.65625</v>
      </c>
      <c r="AM99" s="101">
        <f t="shared" si="36"/>
        <v>0.920682491416007</v>
      </c>
      <c r="AN99" s="101">
        <f t="shared" si="37"/>
        <v>0.53155628425720702</v>
      </c>
      <c r="AO99" s="94" t="s">
        <v>666</v>
      </c>
    </row>
    <row r="101" spans="1:41">
      <c r="A101" t="s">
        <v>336</v>
      </c>
      <c r="C101" t="s">
        <v>35</v>
      </c>
      <c r="V101" t="s">
        <v>336</v>
      </c>
      <c r="W101" t="s">
        <v>53</v>
      </c>
      <c r="X101" t="s">
        <v>35</v>
      </c>
    </row>
    <row r="102" spans="1:41">
      <c r="C102" t="s">
        <v>67</v>
      </c>
      <c r="D102">
        <f t="shared" ref="D102:F107" si="38">D93*2</f>
        <v>99.6875</v>
      </c>
      <c r="E102">
        <f t="shared" si="38"/>
        <v>109.68749999999999</v>
      </c>
      <c r="F102">
        <f t="shared" si="38"/>
        <v>109.06249999999999</v>
      </c>
      <c r="X102" t="s">
        <v>67</v>
      </c>
      <c r="Y102">
        <f t="shared" ref="Y102:AA107" si="39">Y93*2</f>
        <v>157.8125</v>
      </c>
      <c r="Z102">
        <f t="shared" si="39"/>
        <v>157.8125</v>
      </c>
      <c r="AA102">
        <f t="shared" si="39"/>
        <v>157.8125</v>
      </c>
    </row>
    <row r="103" spans="1:41">
      <c r="C103" t="s">
        <v>68</v>
      </c>
      <c r="D103">
        <f t="shared" si="38"/>
        <v>110.31249999999999</v>
      </c>
      <c r="E103">
        <f t="shared" si="38"/>
        <v>110.31249999999999</v>
      </c>
      <c r="F103">
        <f t="shared" si="38"/>
        <v>109.68749999999999</v>
      </c>
      <c r="X103" t="s">
        <v>68</v>
      </c>
      <c r="Y103">
        <f t="shared" si="39"/>
        <v>207.8125</v>
      </c>
      <c r="Z103">
        <f t="shared" si="39"/>
        <v>204.6875</v>
      </c>
      <c r="AA103">
        <f t="shared" si="39"/>
        <v>165.3125</v>
      </c>
    </row>
    <row r="104" spans="1:41">
      <c r="C104" t="s">
        <v>69</v>
      </c>
      <c r="D104">
        <f t="shared" si="38"/>
        <v>172.81249999999997</v>
      </c>
      <c r="E104">
        <f t="shared" si="38"/>
        <v>174.68749999999997</v>
      </c>
      <c r="F104">
        <f t="shared" si="38"/>
        <v>175.93749999999997</v>
      </c>
      <c r="X104" t="s">
        <v>69</v>
      </c>
      <c r="Y104">
        <f t="shared" si="39"/>
        <v>459.06249999999994</v>
      </c>
      <c r="Z104">
        <f t="shared" si="39"/>
        <v>558.4375</v>
      </c>
      <c r="AA104">
        <f t="shared" si="39"/>
        <v>505.31249999999989</v>
      </c>
    </row>
    <row r="105" spans="1:41">
      <c r="C105" t="s">
        <v>70</v>
      </c>
      <c r="D105">
        <f t="shared" si="38"/>
        <v>217.8125</v>
      </c>
      <c r="E105">
        <f t="shared" si="38"/>
        <v>207.8125</v>
      </c>
      <c r="F105">
        <f t="shared" si="38"/>
        <v>219.6875</v>
      </c>
      <c r="X105" t="s">
        <v>70</v>
      </c>
      <c r="Y105">
        <f t="shared" si="39"/>
        <v>1003.4375</v>
      </c>
      <c r="Z105">
        <f t="shared" si="39"/>
        <v>1051.5625</v>
      </c>
      <c r="AA105">
        <f t="shared" si="39"/>
        <v>1137.1875</v>
      </c>
    </row>
    <row r="106" spans="1:41">
      <c r="C106" t="s">
        <v>71</v>
      </c>
      <c r="D106">
        <f t="shared" si="38"/>
        <v>299.68749999999994</v>
      </c>
      <c r="E106">
        <f t="shared" si="38"/>
        <v>299.06249999999994</v>
      </c>
      <c r="F106">
        <f t="shared" si="38"/>
        <v>299.68749999999994</v>
      </c>
      <c r="X106" t="s">
        <v>71</v>
      </c>
      <c r="Y106">
        <f t="shared" si="39"/>
        <v>370.9375</v>
      </c>
      <c r="Z106">
        <f t="shared" si="39"/>
        <v>380.93749999999994</v>
      </c>
      <c r="AA106">
        <f t="shared" si="39"/>
        <v>387.81249999999994</v>
      </c>
    </row>
    <row r="107" spans="1:41">
      <c r="C107" t="s">
        <v>72</v>
      </c>
      <c r="D107">
        <f t="shared" si="38"/>
        <v>435.31249999999989</v>
      </c>
      <c r="E107">
        <f t="shared" si="38"/>
        <v>429.0625</v>
      </c>
      <c r="F107">
        <f t="shared" si="38"/>
        <v>430.93749999999989</v>
      </c>
      <c r="X107" t="s">
        <v>72</v>
      </c>
      <c r="Y107">
        <f t="shared" si="39"/>
        <v>808.4375</v>
      </c>
      <c r="Z107">
        <f t="shared" si="39"/>
        <v>814.6875</v>
      </c>
      <c r="AA107">
        <f t="shared" si="39"/>
        <v>796.56250000000011</v>
      </c>
    </row>
  </sheetData>
  <phoneticPr fontId="2" type="noConversion"/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5C224B-0E22-1042-8595-644683B5E04E}">
  <dimension ref="A1"/>
  <sheetViews>
    <sheetView topLeftCell="A2" zoomScale="75" workbookViewId="0">
      <selection activeCell="A2" sqref="A2"/>
    </sheetView>
  </sheetViews>
  <sheetFormatPr baseColWidth="10" defaultRowHeight="16"/>
  <sheetData>
    <row r="1" spans="1:1">
      <c r="A1" t="s">
        <v>339</v>
      </c>
    </row>
  </sheetData>
  <phoneticPr fontId="2" type="noConversion"/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5DC4DB-675C-924B-8592-7FAAA50154D6}">
  <dimension ref="A1:Q31"/>
  <sheetViews>
    <sheetView topLeftCell="B10" zoomScale="82" workbookViewId="0">
      <selection activeCell="Q31" sqref="Q31"/>
    </sheetView>
  </sheetViews>
  <sheetFormatPr baseColWidth="10" defaultRowHeight="16"/>
  <sheetData>
    <row r="1" spans="1:8">
      <c r="A1" t="s">
        <v>340</v>
      </c>
    </row>
    <row r="15" spans="1:8">
      <c r="C15" s="115"/>
      <c r="D15" s="115"/>
      <c r="E15" s="115"/>
      <c r="F15" s="115"/>
      <c r="G15" s="115"/>
      <c r="H15" s="115"/>
    </row>
    <row r="20" spans="2:17">
      <c r="B20" t="s">
        <v>447</v>
      </c>
      <c r="C20" s="52"/>
      <c r="D20" s="52"/>
      <c r="E20" s="52"/>
      <c r="F20" s="52"/>
      <c r="G20" s="52"/>
      <c r="H20" s="52"/>
      <c r="I20" s="52"/>
      <c r="J20" s="52"/>
      <c r="K20" s="52"/>
      <c r="L20" s="52"/>
      <c r="M20" s="52"/>
    </row>
    <row r="21" spans="2:17">
      <c r="C21" s="52"/>
      <c r="D21" s="52"/>
      <c r="E21" s="52"/>
      <c r="F21" s="52"/>
      <c r="G21" s="52"/>
      <c r="H21" s="52"/>
      <c r="I21" s="52"/>
      <c r="J21" s="52"/>
      <c r="K21" s="52"/>
      <c r="L21" s="52"/>
      <c r="M21" s="52"/>
    </row>
    <row r="22" spans="2:17">
      <c r="C22" s="52" t="s">
        <v>107</v>
      </c>
      <c r="D22" s="52" t="s">
        <v>112</v>
      </c>
      <c r="E22" s="52">
        <v>13.087</v>
      </c>
      <c r="F22" s="52"/>
      <c r="G22" s="52" t="s">
        <v>107</v>
      </c>
      <c r="H22" s="52" t="s">
        <v>29</v>
      </c>
      <c r="I22" s="52">
        <v>19.983000000000001</v>
      </c>
      <c r="J22" s="52">
        <f>I22-F24</f>
        <v>7.1180000000000003</v>
      </c>
      <c r="K22" s="52">
        <f>POWER(2,-J22)</f>
        <v>7.1989389546773773E-3</v>
      </c>
      <c r="L22" s="52">
        <f>AVERAGE(K22:K24)</f>
        <v>8.1608394336084526E-3</v>
      </c>
      <c r="M22" s="52">
        <f>K22/0.00816083943360845</f>
        <v>0.88213216461903199</v>
      </c>
    </row>
    <row r="23" spans="2:17">
      <c r="C23" s="52" t="s">
        <v>107</v>
      </c>
      <c r="D23" s="52" t="s">
        <v>112</v>
      </c>
      <c r="E23" s="52">
        <v>12.903</v>
      </c>
      <c r="F23" s="52"/>
      <c r="G23" s="52" t="s">
        <v>107</v>
      </c>
      <c r="H23" s="52" t="s">
        <v>29</v>
      </c>
      <c r="I23" s="52">
        <v>19.731000000000002</v>
      </c>
      <c r="J23" s="52">
        <f>I23-F24</f>
        <v>6.8660000000000014</v>
      </c>
      <c r="K23" s="52">
        <f t="shared" ref="K23:K27" si="0">POWER(2,-J23)</f>
        <v>8.5729057623378322E-3</v>
      </c>
      <c r="L23" s="52">
        <v>8.1608394336084526E-3</v>
      </c>
      <c r="M23" s="52">
        <f t="shared" ref="M23:M27" si="1">K23/0.00816083943360845</f>
        <v>1.0504931302817191</v>
      </c>
    </row>
    <row r="24" spans="2:17">
      <c r="C24" s="52" t="s">
        <v>107</v>
      </c>
      <c r="D24" s="52" t="s">
        <v>112</v>
      </c>
      <c r="E24" s="52">
        <v>12.605</v>
      </c>
      <c r="F24" s="52">
        <f>AVERAGE(E22:E24)</f>
        <v>12.865</v>
      </c>
      <c r="G24" s="52" t="s">
        <v>107</v>
      </c>
      <c r="H24" s="52" t="s">
        <v>29</v>
      </c>
      <c r="I24" s="52">
        <v>19.707999999999998</v>
      </c>
      <c r="J24" s="52">
        <f>I24-F24</f>
        <v>6.8429999999999982</v>
      </c>
      <c r="K24" s="52">
        <f t="shared" si="0"/>
        <v>8.7106735838101447E-3</v>
      </c>
      <c r="L24" s="52"/>
      <c r="M24" s="52">
        <f t="shared" si="1"/>
        <v>1.0673747050992493</v>
      </c>
    </row>
    <row r="25" spans="2:17">
      <c r="C25" s="52" t="s">
        <v>108</v>
      </c>
      <c r="D25" s="52" t="s">
        <v>112</v>
      </c>
      <c r="E25" s="52">
        <v>16.617999999999999</v>
      </c>
      <c r="F25" s="52"/>
      <c r="G25" s="52" t="s">
        <v>108</v>
      </c>
      <c r="H25" s="52" t="s">
        <v>29</v>
      </c>
      <c r="I25" s="52">
        <v>27.137</v>
      </c>
      <c r="J25" s="52">
        <f t="shared" ref="J25" si="2">I25-F27</f>
        <v>10.416333333333334</v>
      </c>
      <c r="K25" s="52">
        <f t="shared" si="0"/>
        <v>7.317643063058149E-4</v>
      </c>
      <c r="L25" s="52"/>
      <c r="M25" s="52">
        <f t="shared" si="1"/>
        <v>8.9667774039545484E-2</v>
      </c>
    </row>
    <row r="26" spans="2:17">
      <c r="C26" s="52" t="s">
        <v>108</v>
      </c>
      <c r="D26" s="52" t="s">
        <v>112</v>
      </c>
      <c r="E26" s="52">
        <v>16.733000000000001</v>
      </c>
      <c r="F26" s="52"/>
      <c r="G26" s="52" t="s">
        <v>108</v>
      </c>
      <c r="H26" s="52" t="s">
        <v>29</v>
      </c>
      <c r="I26" s="52">
        <v>27.21</v>
      </c>
      <c r="J26" s="52">
        <f t="shared" ref="J26" si="3">I26-F27</f>
        <v>10.489333333333335</v>
      </c>
      <c r="K26" s="52">
        <f t="shared" si="0"/>
        <v>6.9565839774474733E-4</v>
      </c>
      <c r="L26" s="52"/>
      <c r="M26" s="52">
        <f t="shared" si="1"/>
        <v>8.5243485477712724E-2</v>
      </c>
    </row>
    <row r="27" spans="2:17">
      <c r="C27" s="52" t="s">
        <v>108</v>
      </c>
      <c r="D27" s="52" t="s">
        <v>112</v>
      </c>
      <c r="E27" s="52">
        <v>16.811</v>
      </c>
      <c r="F27" s="52">
        <f t="shared" ref="F27" si="4">AVERAGE(E25:E27)</f>
        <v>16.720666666666666</v>
      </c>
      <c r="G27" s="52" t="s">
        <v>108</v>
      </c>
      <c r="H27" s="52" t="s">
        <v>29</v>
      </c>
      <c r="I27" s="52">
        <v>27.585000000000001</v>
      </c>
      <c r="J27" s="52">
        <f t="shared" ref="J27" si="5">I27-F27</f>
        <v>10.864333333333335</v>
      </c>
      <c r="K27" s="52">
        <f t="shared" si="0"/>
        <v>5.364259558939458E-4</v>
      </c>
      <c r="L27" s="52"/>
      <c r="M27" s="52">
        <f t="shared" si="1"/>
        <v>6.573171304961653E-2</v>
      </c>
    </row>
    <row r="30" spans="2:17">
      <c r="E30" s="90" t="s">
        <v>97</v>
      </c>
      <c r="F30" s="90"/>
      <c r="G30" s="90"/>
      <c r="H30" s="90" t="s">
        <v>99</v>
      </c>
      <c r="I30" s="90"/>
      <c r="J30" s="90"/>
      <c r="K30" s="101" t="s">
        <v>663</v>
      </c>
      <c r="L30" s="101" t="s">
        <v>396</v>
      </c>
      <c r="M30" s="101" t="s">
        <v>664</v>
      </c>
      <c r="N30" s="101" t="s">
        <v>663</v>
      </c>
      <c r="O30" s="101" t="s">
        <v>396</v>
      </c>
      <c r="P30" s="101" t="s">
        <v>664</v>
      </c>
      <c r="Q30" s="101" t="s">
        <v>665</v>
      </c>
    </row>
    <row r="31" spans="2:17">
      <c r="E31" s="90">
        <v>0.88213216461903199</v>
      </c>
      <c r="F31" s="90">
        <v>1.0504931302817191</v>
      </c>
      <c r="G31" s="90">
        <v>1.0673747050992493</v>
      </c>
      <c r="H31" s="90">
        <v>8.9667774039545484E-2</v>
      </c>
      <c r="I31" s="90">
        <v>8.5243485477712724E-2</v>
      </c>
      <c r="J31" s="90">
        <v>6.573171304961653E-2</v>
      </c>
      <c r="K31" s="101">
        <f>AVERAGE(E31:G31)</f>
        <v>1.0000000000000002</v>
      </c>
      <c r="L31" s="101">
        <f>STDEV(E31:G31)</f>
        <v>0.10242493278067707</v>
      </c>
      <c r="M31" s="101">
        <f>L31/SQRT(3)</f>
        <v>5.9135062512653234E-2</v>
      </c>
      <c r="N31" s="101">
        <f>AVERAGE(H31:J31)</f>
        <v>8.0214324188958255E-2</v>
      </c>
      <c r="O31" s="101">
        <f>STDEV(H31:J31)</f>
        <v>1.2735898137926053E-2</v>
      </c>
      <c r="P31" s="101">
        <f>O31/SQRT(3)</f>
        <v>7.3530742183032611E-3</v>
      </c>
      <c r="Q31" s="94">
        <v>1E-4</v>
      </c>
    </row>
  </sheetData>
  <mergeCells count="2">
    <mergeCell ref="C15:E15"/>
    <mergeCell ref="F15:H15"/>
  </mergeCells>
  <phoneticPr fontId="2" type="noConversion"/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7ED778-1A80-6A43-95E2-B1E432EF5B98}">
  <dimension ref="A1:BD75"/>
  <sheetViews>
    <sheetView topLeftCell="P12" zoomScale="84" zoomScaleNormal="66" workbookViewId="0">
      <selection activeCell="W29" sqref="W29:AC34"/>
    </sheetView>
  </sheetViews>
  <sheetFormatPr baseColWidth="10" defaultRowHeight="16"/>
  <sheetData>
    <row r="1" spans="1:56">
      <c r="A1" t="s">
        <v>343</v>
      </c>
    </row>
    <row r="5" spans="1:56">
      <c r="D5" s="83" t="s">
        <v>535</v>
      </c>
      <c r="AE5" s="83" t="s">
        <v>31</v>
      </c>
    </row>
    <row r="7" spans="1:56">
      <c r="D7" s="23" t="s">
        <v>30</v>
      </c>
      <c r="E7" s="23" t="s">
        <v>112</v>
      </c>
      <c r="F7" s="23">
        <v>15.619</v>
      </c>
      <c r="G7" s="23"/>
      <c r="H7" s="23" t="s">
        <v>30</v>
      </c>
      <c r="I7" s="23" t="s">
        <v>113</v>
      </c>
      <c r="J7" s="23">
        <v>26.314</v>
      </c>
      <c r="K7" s="23">
        <f>J7-G9</f>
        <v>10.576000000000001</v>
      </c>
      <c r="L7" s="23">
        <f t="shared" ref="L7:L36" si="0">POWER(2,-K7)</f>
        <v>6.5509874261829163E-4</v>
      </c>
      <c r="M7" s="23"/>
      <c r="N7" s="23">
        <f t="shared" ref="N7:N36" si="1">L7/0.000145021614884356</f>
        <v>4.517248984854322</v>
      </c>
      <c r="AE7" s="25" t="s">
        <v>27</v>
      </c>
      <c r="AF7" s="25" t="s">
        <v>112</v>
      </c>
      <c r="AG7" s="25">
        <v>15.266999999999999</v>
      </c>
      <c r="AH7" s="25"/>
      <c r="AI7" s="25" t="s">
        <v>27</v>
      </c>
      <c r="AJ7" s="25" t="s">
        <v>113</v>
      </c>
      <c r="AK7" s="25">
        <v>27.361000000000001</v>
      </c>
      <c r="AL7" s="23">
        <f t="shared" ref="AL7" si="2">AK7-AH9</f>
        <v>11.794</v>
      </c>
      <c r="AM7" s="23">
        <f t="shared" ref="AM7:AM36" si="3">POWER(2,-AL7)</f>
        <v>2.8161269654785725E-4</v>
      </c>
      <c r="AN7" s="23">
        <f>AM7/0.000329781725850241</f>
        <v>0.85393663284951682</v>
      </c>
    </row>
    <row r="8" spans="1:56">
      <c r="D8" s="23" t="s">
        <v>30</v>
      </c>
      <c r="E8" s="23" t="s">
        <v>112</v>
      </c>
      <c r="F8" s="23">
        <v>15.723000000000001</v>
      </c>
      <c r="G8" s="23"/>
      <c r="H8" s="23" t="s">
        <v>30</v>
      </c>
      <c r="I8" s="23" t="s">
        <v>113</v>
      </c>
      <c r="J8" s="23">
        <v>26.481000000000002</v>
      </c>
      <c r="K8" s="23">
        <f>J8-G9</f>
        <v>10.743000000000002</v>
      </c>
      <c r="L8" s="23">
        <f t="shared" si="0"/>
        <v>5.834917992464751E-4</v>
      </c>
      <c r="M8" s="23"/>
      <c r="N8" s="23">
        <f t="shared" si="1"/>
        <v>4.0234816010824774</v>
      </c>
      <c r="AE8" s="25" t="s">
        <v>27</v>
      </c>
      <c r="AF8" s="25" t="s">
        <v>112</v>
      </c>
      <c r="AG8" s="25">
        <v>15.73</v>
      </c>
      <c r="AH8" s="25"/>
      <c r="AI8" s="25" t="s">
        <v>27</v>
      </c>
      <c r="AJ8" s="25" t="s">
        <v>113</v>
      </c>
      <c r="AK8" s="25">
        <v>26.978999999999999</v>
      </c>
      <c r="AL8" s="23">
        <f t="shared" ref="AL8" si="4">AK8-AH9</f>
        <v>11.411999999999999</v>
      </c>
      <c r="AM8" s="23">
        <f t="shared" si="3"/>
        <v>3.6698278273085053E-4</v>
      </c>
      <c r="AN8" s="23">
        <f t="shared" ref="AN8:AN9" si="5">AM8/0.000329781725850241</f>
        <v>1.1128050888347376</v>
      </c>
      <c r="AQ8" s="45" t="s">
        <v>478</v>
      </c>
      <c r="AR8" s="90"/>
      <c r="AS8" s="90"/>
      <c r="AT8" s="90"/>
      <c r="AU8" s="90"/>
      <c r="AV8" s="90"/>
      <c r="AW8" s="90"/>
      <c r="AX8" s="90"/>
      <c r="AY8" s="90"/>
      <c r="AZ8" s="90"/>
      <c r="BA8" s="90"/>
      <c r="BB8" s="90"/>
      <c r="BC8" s="90"/>
      <c r="BD8" s="90"/>
    </row>
    <row r="9" spans="1:56">
      <c r="D9" s="23" t="s">
        <v>30</v>
      </c>
      <c r="E9" s="23" t="s">
        <v>112</v>
      </c>
      <c r="F9" s="23">
        <v>15.872</v>
      </c>
      <c r="G9" s="23">
        <f>AVERAGE(F7:F9)</f>
        <v>15.738</v>
      </c>
      <c r="H9" s="23" t="s">
        <v>30</v>
      </c>
      <c r="I9" s="23" t="s">
        <v>113</v>
      </c>
      <c r="J9" s="23">
        <v>26.623000000000001</v>
      </c>
      <c r="K9" s="23">
        <f>J9-G9</f>
        <v>10.885000000000002</v>
      </c>
      <c r="L9" s="23">
        <f t="shared" si="0"/>
        <v>5.2879640894820494E-4</v>
      </c>
      <c r="M9" s="23"/>
      <c r="N9" s="23">
        <f t="shared" si="1"/>
        <v>3.6463282343799639</v>
      </c>
      <c r="AE9" s="25" t="s">
        <v>27</v>
      </c>
      <c r="AF9" s="25" t="s">
        <v>112</v>
      </c>
      <c r="AG9" s="25">
        <v>15.704000000000001</v>
      </c>
      <c r="AH9" s="25">
        <f>AVERAGE(AG7:AG9)</f>
        <v>15.567</v>
      </c>
      <c r="AI9" s="25" t="s">
        <v>27</v>
      </c>
      <c r="AJ9" s="25" t="s">
        <v>113</v>
      </c>
      <c r="AK9" s="25">
        <v>27.085999999999999</v>
      </c>
      <c r="AL9" s="23">
        <f t="shared" ref="AL9" si="6">AK9-AH9</f>
        <v>11.518999999999998</v>
      </c>
      <c r="AM9" s="23">
        <f t="shared" si="3"/>
        <v>3.4074969827201383E-4</v>
      </c>
      <c r="AN9" s="23">
        <f t="shared" si="5"/>
        <v>1.0332582783157414</v>
      </c>
      <c r="AQ9" s="90"/>
      <c r="AR9" s="45" t="s">
        <v>24</v>
      </c>
      <c r="AS9" s="102"/>
      <c r="AT9" s="102"/>
      <c r="AU9" s="45" t="s">
        <v>479</v>
      </c>
      <c r="AV9" s="102"/>
      <c r="AW9" s="90"/>
      <c r="AX9" s="101" t="s">
        <v>663</v>
      </c>
      <c r="AY9" s="101" t="s">
        <v>396</v>
      </c>
      <c r="AZ9" s="101" t="s">
        <v>664</v>
      </c>
      <c r="BA9" s="101" t="s">
        <v>663</v>
      </c>
      <c r="BB9" s="101" t="s">
        <v>396</v>
      </c>
      <c r="BC9" s="101" t="s">
        <v>664</v>
      </c>
      <c r="BD9" s="101" t="s">
        <v>665</v>
      </c>
    </row>
    <row r="10" spans="1:56">
      <c r="D10" s="23" t="s">
        <v>27</v>
      </c>
      <c r="E10" s="23" t="s">
        <v>112</v>
      </c>
      <c r="F10" s="23">
        <v>14.852</v>
      </c>
      <c r="G10" s="23"/>
      <c r="H10" s="23" t="s">
        <v>27</v>
      </c>
      <c r="I10" s="23" t="s">
        <v>113</v>
      </c>
      <c r="J10" s="23">
        <v>27.32</v>
      </c>
      <c r="K10" s="23">
        <f>J10-G12</f>
        <v>12.626666666666667</v>
      </c>
      <c r="L10" s="23">
        <f t="shared" si="0"/>
        <v>1.5812283348290375E-4</v>
      </c>
      <c r="M10" s="23"/>
      <c r="N10" s="23">
        <f t="shared" si="1"/>
        <v>1.090339764930869</v>
      </c>
      <c r="AE10" s="25" t="s">
        <v>30</v>
      </c>
      <c r="AF10" s="25" t="s">
        <v>112</v>
      </c>
      <c r="AG10" s="25">
        <v>15.813000000000001</v>
      </c>
      <c r="AH10" s="25"/>
      <c r="AI10" s="25" t="s">
        <v>30</v>
      </c>
      <c r="AJ10" s="25" t="s">
        <v>113</v>
      </c>
      <c r="AK10" s="25">
        <v>28.431999999999999</v>
      </c>
      <c r="AL10" s="23">
        <f t="shared" ref="AL10" si="7">AK10-AH12</f>
        <v>12.762999999999996</v>
      </c>
      <c r="AM10" s="23">
        <f t="shared" si="3"/>
        <v>1.4386467380513748E-4</v>
      </c>
      <c r="AN10" s="23">
        <f>AM10/0.000199628252404587</f>
        <v>0.72066289251266213</v>
      </c>
      <c r="AQ10" s="45" t="s">
        <v>459</v>
      </c>
      <c r="AR10" s="45">
        <v>0.85393663284951682</v>
      </c>
      <c r="AS10" s="102">
        <v>1.1128050888347376</v>
      </c>
      <c r="AT10" s="102">
        <v>1.0332582783157414</v>
      </c>
      <c r="AU10" s="102">
        <v>0.72066289251266213</v>
      </c>
      <c r="AV10" s="102">
        <v>1.2793371074873361</v>
      </c>
      <c r="AW10" s="102">
        <v>3.0050655622126974</v>
      </c>
      <c r="AX10" s="101">
        <f>AVERAGE(AR10:AT10)</f>
        <v>0.99999999999999856</v>
      </c>
      <c r="AY10" s="101">
        <f>STDEV(AR10:AT10)</f>
        <v>0.13260016660411456</v>
      </c>
      <c r="AZ10" s="101">
        <f>AY10/SQRT(3)</f>
        <v>7.6556741883474763E-2</v>
      </c>
      <c r="BA10" s="101">
        <f>AVERAGE(AU10:AW10)</f>
        <v>1.6683551874042319</v>
      </c>
      <c r="BB10" s="101">
        <f>STDEV(AU10:AW10)</f>
        <v>1.1908506158246015</v>
      </c>
      <c r="BC10" s="101">
        <f>BB10/SQRT(3)</f>
        <v>0.68753792361096533</v>
      </c>
      <c r="BD10" s="94" t="s">
        <v>681</v>
      </c>
    </row>
    <row r="11" spans="1:56">
      <c r="D11" s="23" t="s">
        <v>27</v>
      </c>
      <c r="E11" s="23" t="s">
        <v>112</v>
      </c>
      <c r="F11" s="23">
        <v>14.782</v>
      </c>
      <c r="G11" s="23"/>
      <c r="H11" s="23" t="s">
        <v>27</v>
      </c>
      <c r="I11" s="23" t="s">
        <v>113</v>
      </c>
      <c r="J11" s="23">
        <v>27.501000000000001</v>
      </c>
      <c r="K11" s="23">
        <f>J11-G12</f>
        <v>12.807666666666668</v>
      </c>
      <c r="L11" s="23">
        <f t="shared" si="0"/>
        <v>1.3947878605578029E-4</v>
      </c>
      <c r="M11" s="23">
        <v>1.45021614884356E-4</v>
      </c>
      <c r="N11" s="23">
        <f t="shared" si="1"/>
        <v>0.96177929177663823</v>
      </c>
      <c r="AE11" s="25" t="s">
        <v>30</v>
      </c>
      <c r="AF11" s="25" t="s">
        <v>112</v>
      </c>
      <c r="AG11" s="25">
        <v>15.516</v>
      </c>
      <c r="AH11" s="25"/>
      <c r="AI11" s="25" t="s">
        <v>30</v>
      </c>
      <c r="AJ11" s="25" t="s">
        <v>113</v>
      </c>
      <c r="AK11" s="25">
        <v>27.603999999999999</v>
      </c>
      <c r="AL11" s="23">
        <f t="shared" ref="AL11" si="8">AK11-AH12</f>
        <v>11.934999999999997</v>
      </c>
      <c r="AM11" s="23">
        <f t="shared" si="3"/>
        <v>2.5539183100403619E-4</v>
      </c>
      <c r="AN11" s="23">
        <f>AM11/0.000199628252404587</f>
        <v>1.2793371074873361</v>
      </c>
      <c r="AQ11" s="45" t="s">
        <v>461</v>
      </c>
      <c r="AR11" s="45">
        <v>95.595287093250789</v>
      </c>
      <c r="AS11" s="102">
        <v>113.52510721865249</v>
      </c>
      <c r="AT11" s="102">
        <v>96.594396120692778</v>
      </c>
      <c r="AU11" s="102">
        <v>342.04993213558043</v>
      </c>
      <c r="AV11" s="102">
        <v>339.45184901233756</v>
      </c>
      <c r="AW11" s="102">
        <v>353.37670619564932</v>
      </c>
      <c r="AX11" s="101">
        <f t="shared" ref="AX11:AX14" si="9">AVERAGE(AR11:AT11)</f>
        <v>101.90493014419867</v>
      </c>
      <c r="AY11" s="101">
        <f t="shared" ref="AY11:AY14" si="10">STDEV(AR11:AT11)</f>
        <v>10.075760077702594</v>
      </c>
      <c r="AZ11" s="101">
        <f t="shared" ref="AZ11:AZ14" si="11">AY11/SQRT(3)</f>
        <v>5.817242793151677</v>
      </c>
      <c r="BA11" s="101">
        <f t="shared" ref="BA11:BA14" si="12">AVERAGE(AU11:AW11)</f>
        <v>344.9594957811891</v>
      </c>
      <c r="BB11" s="101">
        <f t="shared" ref="BB11:BB14" si="13">STDEV(AU11:AW11)</f>
        <v>7.4043623864444248</v>
      </c>
      <c r="BC11" s="101">
        <f t="shared" ref="BC11:BC14" si="14">BB11/SQRT(3)</f>
        <v>4.274910616991229</v>
      </c>
      <c r="BD11" s="94" t="s">
        <v>666</v>
      </c>
    </row>
    <row r="12" spans="1:56">
      <c r="D12" s="23" t="s">
        <v>27</v>
      </c>
      <c r="E12" s="23" t="s">
        <v>112</v>
      </c>
      <c r="F12" s="23">
        <v>14.446</v>
      </c>
      <c r="G12" s="23">
        <f>AVERAGE(F10:F12)</f>
        <v>14.693333333333333</v>
      </c>
      <c r="H12" s="23" t="s">
        <v>27</v>
      </c>
      <c r="I12" s="23" t="s">
        <v>113</v>
      </c>
      <c r="J12" s="23">
        <v>27.521999999999998</v>
      </c>
      <c r="K12" s="23">
        <f>J12-G12</f>
        <v>12.828666666666665</v>
      </c>
      <c r="L12" s="23">
        <f t="shared" si="0"/>
        <v>1.3746322511438289E-4</v>
      </c>
      <c r="M12" s="23"/>
      <c r="N12" s="23">
        <f t="shared" si="1"/>
        <v>0.94788094329248529</v>
      </c>
      <c r="AE12" s="25" t="s">
        <v>30</v>
      </c>
      <c r="AF12" s="25" t="s">
        <v>112</v>
      </c>
      <c r="AG12" s="25">
        <v>15.678000000000001</v>
      </c>
      <c r="AH12" s="25">
        <f t="shared" ref="AH12" si="15">AVERAGE(AG10:AG12)</f>
        <v>15.669000000000002</v>
      </c>
      <c r="AI12" s="25" t="s">
        <v>30</v>
      </c>
      <c r="AJ12" s="25" t="s">
        <v>113</v>
      </c>
      <c r="AK12" s="25">
        <v>26.372</v>
      </c>
      <c r="AL12" s="23">
        <f>AK12-AH12</f>
        <v>10.702999999999998</v>
      </c>
      <c r="AM12" s="23">
        <f t="shared" si="3"/>
        <v>5.9989598654572849E-4</v>
      </c>
      <c r="AN12" s="23">
        <f>AM12/0.000199628252404587</f>
        <v>3.0050655622126974</v>
      </c>
      <c r="AQ12" s="45" t="s">
        <v>463</v>
      </c>
      <c r="AR12" s="45">
        <v>249.20702413370813</v>
      </c>
      <c r="AS12" s="102">
        <v>138.06472202765192</v>
      </c>
      <c r="AT12" s="102">
        <v>134.01037825918951</v>
      </c>
      <c r="AU12" s="102">
        <v>423.7481130032379</v>
      </c>
      <c r="AV12" s="102">
        <v>494.58104322201643</v>
      </c>
      <c r="AW12" s="102">
        <v>581.26939258399159</v>
      </c>
      <c r="AX12" s="101">
        <f t="shared" si="9"/>
        <v>173.76070814018317</v>
      </c>
      <c r="AY12" s="101">
        <f t="shared" si="10"/>
        <v>65.369865944442196</v>
      </c>
      <c r="AZ12" s="101">
        <f t="shared" si="11"/>
        <v>37.741309699913451</v>
      </c>
      <c r="BA12" s="101">
        <f t="shared" si="12"/>
        <v>499.86618293641533</v>
      </c>
      <c r="BB12" s="101">
        <f t="shared" si="13"/>
        <v>78.893522589246459</v>
      </c>
      <c r="BC12" s="101">
        <f t="shared" si="14"/>
        <v>45.549196504219267</v>
      </c>
      <c r="BD12" s="94" t="s">
        <v>666</v>
      </c>
    </row>
    <row r="13" spans="1:56">
      <c r="D13" s="23" t="s">
        <v>468</v>
      </c>
      <c r="E13" s="23" t="s">
        <v>112</v>
      </c>
      <c r="F13" s="23">
        <v>16.204999999999998</v>
      </c>
      <c r="G13" s="23"/>
      <c r="H13" s="23" t="s">
        <v>468</v>
      </c>
      <c r="I13" s="23" t="s">
        <v>113</v>
      </c>
      <c r="J13" s="23">
        <v>16.526</v>
      </c>
      <c r="K13" s="23">
        <f>J13-G15</f>
        <v>0.38400000000000034</v>
      </c>
      <c r="L13" s="23">
        <f t="shared" si="0"/>
        <v>0.7663099801038914</v>
      </c>
      <c r="M13" s="23"/>
      <c r="N13" s="23">
        <f t="shared" si="1"/>
        <v>5284.1087221030248</v>
      </c>
      <c r="AE13" t="s">
        <v>469</v>
      </c>
      <c r="AF13" t="s">
        <v>112</v>
      </c>
      <c r="AG13">
        <v>15.396000000000001</v>
      </c>
      <c r="AI13" t="s">
        <v>469</v>
      </c>
      <c r="AJ13" t="s">
        <v>113</v>
      </c>
      <c r="AK13">
        <v>20.446999999999999</v>
      </c>
      <c r="AL13">
        <f t="shared" ref="AL13" si="16">AK13-AH15</f>
        <v>4.9873333333333303</v>
      </c>
      <c r="AM13">
        <f t="shared" si="3"/>
        <v>3.1525578760761515E-2</v>
      </c>
      <c r="AN13">
        <f>AM13/0.000329781725850241</f>
        <v>95.595287093250789</v>
      </c>
      <c r="AQ13" s="45" t="s">
        <v>464</v>
      </c>
      <c r="AR13" s="45">
        <v>70.466594539842248</v>
      </c>
      <c r="AS13" s="102">
        <v>75.367340983278638</v>
      </c>
      <c r="AT13" s="102">
        <v>72.800052670215209</v>
      </c>
      <c r="AU13" s="102">
        <v>591.9766524546676</v>
      </c>
      <c r="AV13" s="102">
        <v>685.20718390284048</v>
      </c>
      <c r="AW13" s="102">
        <v>666.93227947688001</v>
      </c>
      <c r="AX13" s="101">
        <f t="shared" si="9"/>
        <v>72.877996064445369</v>
      </c>
      <c r="AY13" s="101">
        <f t="shared" si="10"/>
        <v>2.4513027771455924</v>
      </c>
      <c r="AZ13" s="101">
        <f t="shared" si="11"/>
        <v>1.415260318250285</v>
      </c>
      <c r="BA13" s="101">
        <f t="shared" si="12"/>
        <v>648.03870527812933</v>
      </c>
      <c r="BB13" s="101">
        <f t="shared" si="13"/>
        <v>49.403525765171459</v>
      </c>
      <c r="BC13" s="101">
        <f t="shared" si="14"/>
        <v>28.523138899438354</v>
      </c>
      <c r="BD13" s="94" t="s">
        <v>666</v>
      </c>
    </row>
    <row r="14" spans="1:56">
      <c r="D14" s="23" t="s">
        <v>468</v>
      </c>
      <c r="E14" s="23" t="s">
        <v>112</v>
      </c>
      <c r="F14" s="23">
        <v>16.352</v>
      </c>
      <c r="G14" s="23"/>
      <c r="H14" s="23" t="s">
        <v>468</v>
      </c>
      <c r="I14" s="23" t="s">
        <v>113</v>
      </c>
      <c r="J14" s="23">
        <v>16.54</v>
      </c>
      <c r="K14" s="23">
        <f>J14-G15</f>
        <v>0.39799999999999969</v>
      </c>
      <c r="L14" s="23">
        <f t="shared" si="0"/>
        <v>0.7589096264870272</v>
      </c>
      <c r="M14" s="23"/>
      <c r="N14" s="23">
        <f t="shared" si="1"/>
        <v>5233.0794074538571</v>
      </c>
      <c r="AE14" t="s">
        <v>469</v>
      </c>
      <c r="AF14" t="s">
        <v>112</v>
      </c>
      <c r="AG14">
        <v>15.736000000000001</v>
      </c>
      <c r="AI14" t="s">
        <v>469</v>
      </c>
      <c r="AJ14" t="s">
        <v>113</v>
      </c>
      <c r="AK14">
        <v>20.199000000000002</v>
      </c>
      <c r="AL14">
        <f t="shared" ref="AL14" si="17">AK14-AH15</f>
        <v>4.7393333333333327</v>
      </c>
      <c r="AM14">
        <f t="shared" si="3"/>
        <v>3.7438505785900869E-2</v>
      </c>
      <c r="AN14">
        <f t="shared" ref="AN14:AN15" si="18">AM14/0.000329781725850241</f>
        <v>113.52510721865249</v>
      </c>
      <c r="AQ14" s="45" t="s">
        <v>465</v>
      </c>
      <c r="AR14" s="45">
        <v>252.21919336400066</v>
      </c>
      <c r="AS14" s="102">
        <v>272.20207526679945</v>
      </c>
      <c r="AT14" s="102">
        <v>243.96565561531744</v>
      </c>
      <c r="AU14" s="102">
        <v>597.74919296304336</v>
      </c>
      <c r="AV14" s="102">
        <v>724.77855905149909</v>
      </c>
      <c r="AW14" s="102">
        <v>755.03330137794501</v>
      </c>
      <c r="AX14" s="101">
        <f t="shared" si="9"/>
        <v>256.12897474870584</v>
      </c>
      <c r="AY14" s="101">
        <f t="shared" si="10"/>
        <v>14.518561965318408</v>
      </c>
      <c r="AZ14" s="101">
        <f t="shared" si="11"/>
        <v>8.3822956589228461</v>
      </c>
      <c r="BA14" s="101">
        <f t="shared" si="12"/>
        <v>692.52035113082911</v>
      </c>
      <c r="BB14" s="101">
        <f t="shared" si="13"/>
        <v>83.456675428976396</v>
      </c>
      <c r="BC14" s="101">
        <f t="shared" si="14"/>
        <v>48.183734024590748</v>
      </c>
      <c r="BD14" s="94" t="s">
        <v>666</v>
      </c>
    </row>
    <row r="15" spans="1:56">
      <c r="D15" s="23" t="s">
        <v>468</v>
      </c>
      <c r="E15" s="23" t="s">
        <v>112</v>
      </c>
      <c r="F15" s="23">
        <v>15.869</v>
      </c>
      <c r="G15" s="23">
        <f>AVERAGE(F13:F15)</f>
        <v>16.141999999999999</v>
      </c>
      <c r="H15" s="23" t="s">
        <v>468</v>
      </c>
      <c r="I15" s="23" t="s">
        <v>113</v>
      </c>
      <c r="J15" s="23">
        <v>16.548999999999999</v>
      </c>
      <c r="K15" s="23">
        <f>J15-G15</f>
        <v>0.40700000000000003</v>
      </c>
      <c r="L15" s="23">
        <f t="shared" si="0"/>
        <v>0.75419003834328935</v>
      </c>
      <c r="M15" s="23"/>
      <c r="N15" s="23">
        <f t="shared" si="1"/>
        <v>5200.5353749832402</v>
      </c>
      <c r="AE15" t="s">
        <v>469</v>
      </c>
      <c r="AF15" t="s">
        <v>112</v>
      </c>
      <c r="AG15">
        <v>15.247</v>
      </c>
      <c r="AH15">
        <f>AVERAGE(AG13:AG15)</f>
        <v>15.459666666666669</v>
      </c>
      <c r="AI15" t="s">
        <v>469</v>
      </c>
      <c r="AJ15" t="s">
        <v>113</v>
      </c>
      <c r="AK15">
        <v>20.431999999999999</v>
      </c>
      <c r="AL15">
        <f t="shared" ref="AL15" si="19">AK15-AH15</f>
        <v>4.9723333333333297</v>
      </c>
      <c r="AM15">
        <f t="shared" si="3"/>
        <v>3.1855066660143885E-2</v>
      </c>
      <c r="AN15">
        <f t="shared" si="18"/>
        <v>96.594396120692778</v>
      </c>
    </row>
    <row r="16" spans="1:56">
      <c r="D16" s="23" t="s">
        <v>469</v>
      </c>
      <c r="E16" s="23" t="s">
        <v>112</v>
      </c>
      <c r="F16" s="23">
        <v>14.891</v>
      </c>
      <c r="G16" s="23"/>
      <c r="H16" s="23" t="s">
        <v>469</v>
      </c>
      <c r="I16" s="23" t="s">
        <v>113</v>
      </c>
      <c r="J16" s="23">
        <v>16.748999999999999</v>
      </c>
      <c r="K16" s="23">
        <f>J16-G18</f>
        <v>1.6656666666666649</v>
      </c>
      <c r="L16" s="23">
        <f t="shared" si="0"/>
        <v>0.31519866583867839</v>
      </c>
      <c r="M16" s="23"/>
      <c r="N16" s="23">
        <f t="shared" si="1"/>
        <v>2173.4599086489693</v>
      </c>
      <c r="AE16" t="s">
        <v>468</v>
      </c>
      <c r="AF16" t="s">
        <v>112</v>
      </c>
      <c r="AG16">
        <v>15.523</v>
      </c>
      <c r="AI16" t="s">
        <v>468</v>
      </c>
      <c r="AJ16" t="s">
        <v>113</v>
      </c>
      <c r="AK16">
        <v>19.34</v>
      </c>
      <c r="AL16">
        <f t="shared" ref="AL16" si="20">AK16-AH18</f>
        <v>3.8723333333333336</v>
      </c>
      <c r="AM16">
        <f t="shared" si="3"/>
        <v>6.8282830187333513E-2</v>
      </c>
      <c r="AN16">
        <f>AM16/0.000199628252404587</f>
        <v>342.04993213558043</v>
      </c>
    </row>
    <row r="17" spans="4:40">
      <c r="D17" s="23" t="s">
        <v>469</v>
      </c>
      <c r="E17" s="23" t="s">
        <v>112</v>
      </c>
      <c r="F17" s="23">
        <v>15.118</v>
      </c>
      <c r="G17" s="23"/>
      <c r="H17" s="23" t="s">
        <v>469</v>
      </c>
      <c r="I17" s="23" t="s">
        <v>113</v>
      </c>
      <c r="J17" s="23">
        <v>16.797999999999998</v>
      </c>
      <c r="K17" s="23">
        <f>J17-G18</f>
        <v>1.7146666666666643</v>
      </c>
      <c r="L17" s="23">
        <f t="shared" si="0"/>
        <v>0.30467295218641172</v>
      </c>
      <c r="M17" s="23"/>
      <c r="N17" s="23">
        <f t="shared" si="1"/>
        <v>2100.8795994263742</v>
      </c>
      <c r="AE17" t="s">
        <v>468</v>
      </c>
      <c r="AF17" t="s">
        <v>112</v>
      </c>
      <c r="AG17">
        <v>15.452999999999999</v>
      </c>
      <c r="AI17" t="s">
        <v>468</v>
      </c>
      <c r="AJ17" t="s">
        <v>113</v>
      </c>
      <c r="AK17">
        <v>19.350999999999999</v>
      </c>
      <c r="AL17">
        <f t="shared" ref="AL17" si="21">AK17-AH18</f>
        <v>3.8833333333333329</v>
      </c>
      <c r="AM17">
        <f t="shared" si="3"/>
        <v>6.7764179393838678E-2</v>
      </c>
      <c r="AN17">
        <f t="shared" ref="AN17:AN18" si="22">AM17/0.000199628252404587</f>
        <v>339.45184901233756</v>
      </c>
    </row>
    <row r="18" spans="4:40">
      <c r="D18" s="23" t="s">
        <v>469</v>
      </c>
      <c r="E18" s="23" t="s">
        <v>112</v>
      </c>
      <c r="F18" s="23">
        <v>15.241</v>
      </c>
      <c r="G18" s="23">
        <f>AVERAGE(F16:F18)</f>
        <v>15.083333333333334</v>
      </c>
      <c r="H18" s="23" t="s">
        <v>469</v>
      </c>
      <c r="I18" s="23" t="s">
        <v>113</v>
      </c>
      <c r="J18" s="23">
        <v>16.885999999999999</v>
      </c>
      <c r="K18" s="23">
        <f>J18-G18</f>
        <v>1.8026666666666653</v>
      </c>
      <c r="L18" s="23">
        <f t="shared" si="0"/>
        <v>0.28664426767027584</v>
      </c>
      <c r="M18" s="23"/>
      <c r="N18" s="23">
        <f t="shared" si="1"/>
        <v>1976.5623758834392</v>
      </c>
      <c r="AE18" t="s">
        <v>468</v>
      </c>
      <c r="AF18" t="s">
        <v>112</v>
      </c>
      <c r="AG18">
        <v>15.427</v>
      </c>
      <c r="AH18">
        <f t="shared" ref="AH18" si="23">AVERAGE(AG16:AG18)</f>
        <v>15.467666666666666</v>
      </c>
      <c r="AI18" t="s">
        <v>468</v>
      </c>
      <c r="AJ18" t="s">
        <v>113</v>
      </c>
      <c r="AK18">
        <v>19.292999999999999</v>
      </c>
      <c r="AL18">
        <f t="shared" ref="AL18" si="24">AK18-AH18</f>
        <v>3.825333333333333</v>
      </c>
      <c r="AM18">
        <f t="shared" si="3"/>
        <v>7.0543974298326664E-2</v>
      </c>
      <c r="AN18">
        <f t="shared" si="22"/>
        <v>353.37670619564932</v>
      </c>
    </row>
    <row r="19" spans="4:40">
      <c r="D19" s="23" t="s">
        <v>470</v>
      </c>
      <c r="E19" s="23" t="s">
        <v>112</v>
      </c>
      <c r="F19" s="23">
        <v>16.832000000000001</v>
      </c>
      <c r="G19" s="23"/>
      <c r="H19" s="23" t="s">
        <v>470</v>
      </c>
      <c r="I19" s="23" t="s">
        <v>113</v>
      </c>
      <c r="J19" s="23">
        <v>15.707000000000001</v>
      </c>
      <c r="K19" s="23">
        <f>J19-G21</f>
        <v>-1.0513333333333321</v>
      </c>
      <c r="L19" s="23">
        <f t="shared" si="0"/>
        <v>2.0724443081166353</v>
      </c>
      <c r="M19" s="23"/>
      <c r="N19" s="23">
        <f t="shared" si="1"/>
        <v>14290.589094386076</v>
      </c>
      <c r="AE19" t="s">
        <v>471</v>
      </c>
      <c r="AF19" t="s">
        <v>112</v>
      </c>
      <c r="AG19">
        <v>16.013999999999999</v>
      </c>
      <c r="AI19" t="s">
        <v>471</v>
      </c>
      <c r="AJ19" t="s">
        <v>113</v>
      </c>
      <c r="AK19">
        <v>19.672999999999998</v>
      </c>
      <c r="AL19">
        <f>AK19-AH21</f>
        <v>3.6050000000000004</v>
      </c>
      <c r="AM19">
        <f t="shared" si="3"/>
        <v>8.218392251281692E-2</v>
      </c>
      <c r="AN19">
        <f>AM19/0.000329781725850241</f>
        <v>249.20702413370813</v>
      </c>
    </row>
    <row r="20" spans="4:40">
      <c r="D20" s="23" t="s">
        <v>470</v>
      </c>
      <c r="E20" s="23" t="s">
        <v>112</v>
      </c>
      <c r="F20" s="23">
        <v>16.59</v>
      </c>
      <c r="G20" s="23"/>
      <c r="H20" s="23" t="s">
        <v>470</v>
      </c>
      <c r="I20" s="23" t="s">
        <v>113</v>
      </c>
      <c r="J20" s="23">
        <v>15.682</v>
      </c>
      <c r="K20" s="23">
        <f>J20-G21</f>
        <v>-1.0763333333333325</v>
      </c>
      <c r="L20" s="23">
        <f t="shared" si="0"/>
        <v>2.1086699965224796</v>
      </c>
      <c r="M20" s="23"/>
      <c r="N20" s="23">
        <f t="shared" si="1"/>
        <v>14540.384191721956</v>
      </c>
      <c r="AE20" t="s">
        <v>471</v>
      </c>
      <c r="AF20" t="s">
        <v>112</v>
      </c>
      <c r="AG20">
        <v>16.100999999999999</v>
      </c>
      <c r="AI20" t="s">
        <v>471</v>
      </c>
      <c r="AJ20" t="s">
        <v>113</v>
      </c>
      <c r="AK20">
        <v>20.524999999999999</v>
      </c>
      <c r="AL20">
        <f t="shared" ref="AL20" si="25">AK20-AH21</f>
        <v>4.4570000000000007</v>
      </c>
      <c r="AM20">
        <f t="shared" si="3"/>
        <v>4.5531222309312835E-2</v>
      </c>
      <c r="AN20">
        <f>AM20/0.000329781725850241</f>
        <v>138.06472202765192</v>
      </c>
    </row>
    <row r="21" spans="4:40">
      <c r="D21" s="23" t="s">
        <v>470</v>
      </c>
      <c r="E21" s="23" t="s">
        <v>112</v>
      </c>
      <c r="F21" s="23">
        <v>16.853000000000002</v>
      </c>
      <c r="G21" s="23">
        <f>AVERAGE(F19:F21)</f>
        <v>16.758333333333333</v>
      </c>
      <c r="H21" s="23" t="s">
        <v>470</v>
      </c>
      <c r="I21" s="23" t="s">
        <v>113</v>
      </c>
      <c r="J21" s="23">
        <v>15.433</v>
      </c>
      <c r="K21" s="23">
        <f>J21-G21</f>
        <v>-1.325333333333333</v>
      </c>
      <c r="L21" s="23">
        <f t="shared" si="0"/>
        <v>2.5059077980077751</v>
      </c>
      <c r="M21" s="23"/>
      <c r="N21" s="23">
        <f t="shared" si="1"/>
        <v>17279.546914479273</v>
      </c>
      <c r="AE21" t="s">
        <v>471</v>
      </c>
      <c r="AF21" t="s">
        <v>112</v>
      </c>
      <c r="AG21">
        <v>16.088999999999999</v>
      </c>
      <c r="AH21">
        <f t="shared" ref="AH21" si="26">AVERAGE(AG19:AG21)</f>
        <v>16.067999999999998</v>
      </c>
      <c r="AI21" t="s">
        <v>471</v>
      </c>
      <c r="AJ21" t="s">
        <v>113</v>
      </c>
      <c r="AK21">
        <v>20.568000000000001</v>
      </c>
      <c r="AL21">
        <f t="shared" ref="AL21" si="27">AK21-AH21</f>
        <v>4.5000000000000036</v>
      </c>
      <c r="AM21">
        <f t="shared" si="3"/>
        <v>4.4194173824159126E-2</v>
      </c>
      <c r="AN21">
        <f t="shared" ref="AN21" si="28">AM21/0.000329781725850241</f>
        <v>134.01037825918951</v>
      </c>
    </row>
    <row r="22" spans="4:40">
      <c r="D22" s="23" t="s">
        <v>471</v>
      </c>
      <c r="E22" s="23" t="s">
        <v>112</v>
      </c>
      <c r="F22" s="23">
        <v>15.298</v>
      </c>
      <c r="G22" s="23"/>
      <c r="H22" s="23" t="s">
        <v>471</v>
      </c>
      <c r="I22" s="23" t="s">
        <v>113</v>
      </c>
      <c r="J22" s="23">
        <v>16.468</v>
      </c>
      <c r="K22" s="23">
        <f>J22-G24</f>
        <v>1.0056666666666665</v>
      </c>
      <c r="L22" s="23">
        <f t="shared" si="0"/>
        <v>0.49803993491355075</v>
      </c>
      <c r="M22" s="23"/>
      <c r="N22" s="23">
        <f t="shared" si="1"/>
        <v>3434.2462350229703</v>
      </c>
      <c r="AE22" t="s">
        <v>470</v>
      </c>
      <c r="AF22" t="s">
        <v>112</v>
      </c>
      <c r="AG22">
        <v>15.978</v>
      </c>
      <c r="AI22" t="s">
        <v>470</v>
      </c>
      <c r="AJ22" t="s">
        <v>113</v>
      </c>
      <c r="AK22">
        <v>19.548999999999999</v>
      </c>
      <c r="AL22">
        <f t="shared" ref="AL22" si="29">AK22-AH24</f>
        <v>3.5633333333333344</v>
      </c>
      <c r="AM22">
        <f t="shared" si="3"/>
        <v>8.4592095258577832E-2</v>
      </c>
      <c r="AN22">
        <f>AM22/0.000199628252404587</f>
        <v>423.7481130032379</v>
      </c>
    </row>
    <row r="23" spans="4:40">
      <c r="D23" s="23" t="s">
        <v>471</v>
      </c>
      <c r="E23" s="23" t="s">
        <v>112</v>
      </c>
      <c r="F23" s="23">
        <v>15.561</v>
      </c>
      <c r="G23" s="23"/>
      <c r="H23" s="23" t="s">
        <v>471</v>
      </c>
      <c r="I23" s="23" t="s">
        <v>113</v>
      </c>
      <c r="J23" s="23">
        <v>16.47</v>
      </c>
      <c r="K23" s="23">
        <f>J23-G24</f>
        <v>1.0076666666666654</v>
      </c>
      <c r="L23" s="23">
        <f t="shared" si="0"/>
        <v>0.49734998330867414</v>
      </c>
      <c r="M23" s="23"/>
      <c r="N23" s="23">
        <f t="shared" si="1"/>
        <v>3429.4886572961823</v>
      </c>
      <c r="AE23" t="s">
        <v>470</v>
      </c>
      <c r="AF23" t="s">
        <v>112</v>
      </c>
      <c r="AG23">
        <v>16.081</v>
      </c>
      <c r="AI23" t="s">
        <v>470</v>
      </c>
      <c r="AJ23" t="s">
        <v>113</v>
      </c>
      <c r="AK23">
        <v>19.326000000000001</v>
      </c>
      <c r="AL23">
        <f t="shared" ref="AL23" si="30">AK23-AH24</f>
        <v>3.3403333333333354</v>
      </c>
      <c r="AM23">
        <f t="shared" si="3"/>
        <v>9.8732349330848651E-2</v>
      </c>
      <c r="AN23">
        <f t="shared" ref="AN23:AN24" si="31">AM23/0.000199628252404587</f>
        <v>494.58104322201643</v>
      </c>
    </row>
    <row r="24" spans="4:40">
      <c r="D24" s="23" t="s">
        <v>471</v>
      </c>
      <c r="E24" s="23" t="s">
        <v>112</v>
      </c>
      <c r="F24" s="23">
        <v>15.528</v>
      </c>
      <c r="G24" s="23">
        <f>AVERAGE(F22:F24)</f>
        <v>15.462333333333333</v>
      </c>
      <c r="H24" s="23" t="s">
        <v>471</v>
      </c>
      <c r="I24" s="23" t="s">
        <v>113</v>
      </c>
      <c r="J24" s="23">
        <v>16.419</v>
      </c>
      <c r="K24" s="23">
        <f>J24-G24</f>
        <v>0.956666666666667</v>
      </c>
      <c r="L24" s="23">
        <f t="shared" si="0"/>
        <v>0.51524601016464866</v>
      </c>
      <c r="M24" s="23"/>
      <c r="N24" s="23">
        <f t="shared" si="1"/>
        <v>3552.8911367834316</v>
      </c>
      <c r="AE24" t="s">
        <v>470</v>
      </c>
      <c r="AF24" t="s">
        <v>112</v>
      </c>
      <c r="AG24">
        <v>15.898</v>
      </c>
      <c r="AH24">
        <f t="shared" ref="AH24" si="32">AVERAGE(AG22:AG24)</f>
        <v>15.985666666666665</v>
      </c>
      <c r="AI24" t="s">
        <v>470</v>
      </c>
      <c r="AJ24" t="s">
        <v>113</v>
      </c>
      <c r="AK24">
        <v>19.093</v>
      </c>
      <c r="AL24">
        <f t="shared" ref="AL24" si="33">AK24-AH24</f>
        <v>3.1073333333333348</v>
      </c>
      <c r="AM24">
        <f t="shared" si="3"/>
        <v>0.11603779301781805</v>
      </c>
      <c r="AN24">
        <f t="shared" si="31"/>
        <v>581.26939258399159</v>
      </c>
    </row>
    <row r="25" spans="4:40">
      <c r="D25" s="23" t="s">
        <v>472</v>
      </c>
      <c r="E25" s="23" t="s">
        <v>112</v>
      </c>
      <c r="F25" s="23">
        <v>21.937999999999999</v>
      </c>
      <c r="G25" s="23"/>
      <c r="H25" s="23" t="s">
        <v>472</v>
      </c>
      <c r="I25" s="23" t="s">
        <v>113</v>
      </c>
      <c r="J25" s="23">
        <v>17.971</v>
      </c>
      <c r="K25" s="23">
        <f>J25-G27</f>
        <v>-3.8859999999999992</v>
      </c>
      <c r="L25" s="23">
        <f t="shared" si="0"/>
        <v>14.784361159149164</v>
      </c>
      <c r="M25" s="23"/>
      <c r="N25" s="23">
        <f t="shared" si="1"/>
        <v>101945.91455169352</v>
      </c>
      <c r="AE25" t="s">
        <v>473</v>
      </c>
      <c r="AF25" t="s">
        <v>112</v>
      </c>
      <c r="AG25">
        <v>14.862</v>
      </c>
      <c r="AI25" t="s">
        <v>473</v>
      </c>
      <c r="AJ25" t="s">
        <v>113</v>
      </c>
      <c r="AK25">
        <v>19.914000000000001</v>
      </c>
      <c r="AL25">
        <f t="shared" ref="AL25" si="34">AK25-AH27</f>
        <v>5.4273333333333351</v>
      </c>
      <c r="AM25">
        <f t="shared" si="3"/>
        <v>2.3238595162138345E-2</v>
      </c>
      <c r="AN25">
        <f>AM25/0.000329781725850241</f>
        <v>70.466594539842248</v>
      </c>
    </row>
    <row r="26" spans="4:40">
      <c r="D26" s="23" t="s">
        <v>472</v>
      </c>
      <c r="E26" s="23" t="s">
        <v>112</v>
      </c>
      <c r="F26" s="23" t="s">
        <v>115</v>
      </c>
      <c r="G26" s="23"/>
      <c r="H26" s="23" t="s">
        <v>472</v>
      </c>
      <c r="I26" s="23" t="s">
        <v>113</v>
      </c>
      <c r="J26" s="23">
        <v>17.994</v>
      </c>
      <c r="K26" s="23">
        <f>J26-G27</f>
        <v>-3.8629999999999995</v>
      </c>
      <c r="L26" s="23">
        <f t="shared" si="0"/>
        <v>14.550532028811725</v>
      </c>
      <c r="M26" s="23"/>
      <c r="N26" s="23">
        <f t="shared" si="1"/>
        <v>100333.54021339989</v>
      </c>
      <c r="AE26" t="s">
        <v>473</v>
      </c>
      <c r="AF26" t="s">
        <v>112</v>
      </c>
      <c r="AG26">
        <v>14.339</v>
      </c>
      <c r="AI26" t="s">
        <v>473</v>
      </c>
      <c r="AJ26" t="s">
        <v>113</v>
      </c>
      <c r="AK26">
        <v>19.817</v>
      </c>
      <c r="AL26">
        <f t="shared" ref="AL26" si="35">AK26-AH27</f>
        <v>5.3303333333333338</v>
      </c>
      <c r="AM26">
        <f t="shared" si="3"/>
        <v>2.4854771782209229E-2</v>
      </c>
      <c r="AN26">
        <f>AM26/0.000329781725850241</f>
        <v>75.367340983278638</v>
      </c>
    </row>
    <row r="27" spans="4:40">
      <c r="D27" s="23" t="s">
        <v>472</v>
      </c>
      <c r="E27" s="23" t="s">
        <v>112</v>
      </c>
      <c r="F27" s="23">
        <v>21.776</v>
      </c>
      <c r="G27" s="23">
        <f>AVERAGE(F25:F27)</f>
        <v>21.856999999999999</v>
      </c>
      <c r="H27" s="23" t="s">
        <v>472</v>
      </c>
      <c r="I27" s="23" t="s">
        <v>113</v>
      </c>
      <c r="J27" s="23">
        <v>17.984000000000002</v>
      </c>
      <c r="K27" s="23">
        <f>J27-G27</f>
        <v>-3.8729999999999976</v>
      </c>
      <c r="L27" s="23">
        <f t="shared" si="0"/>
        <v>14.651738982689993</v>
      </c>
      <c r="M27" s="23"/>
      <c r="N27" s="23">
        <f t="shared" si="1"/>
        <v>101031.41517472186</v>
      </c>
      <c r="AE27" t="s">
        <v>473</v>
      </c>
      <c r="AF27" t="s">
        <v>112</v>
      </c>
      <c r="AG27">
        <v>14.259</v>
      </c>
      <c r="AH27">
        <f t="shared" ref="AH27" si="36">AVERAGE(AG25:AG27)</f>
        <v>14.486666666666666</v>
      </c>
      <c r="AI27" t="s">
        <v>473</v>
      </c>
      <c r="AJ27" t="s">
        <v>113</v>
      </c>
      <c r="AK27">
        <v>19.867000000000001</v>
      </c>
      <c r="AL27">
        <f>AK27-AH27</f>
        <v>5.3803333333333345</v>
      </c>
      <c r="AM27">
        <f t="shared" si="3"/>
        <v>2.4008127011572015E-2</v>
      </c>
      <c r="AN27">
        <f>AM27/0.000329781725850241</f>
        <v>72.800052670215209</v>
      </c>
    </row>
    <row r="28" spans="4:40">
      <c r="D28" s="23" t="s">
        <v>473</v>
      </c>
      <c r="E28" s="23" t="s">
        <v>112</v>
      </c>
      <c r="F28" s="23">
        <v>15.188000000000001</v>
      </c>
      <c r="G28" s="23"/>
      <c r="H28" s="23" t="s">
        <v>473</v>
      </c>
      <c r="I28" s="23" t="s">
        <v>113</v>
      </c>
      <c r="J28" s="23">
        <v>16.797999999999998</v>
      </c>
      <c r="K28" s="23">
        <f>J28-G30</f>
        <v>1.7856666666666658</v>
      </c>
      <c r="L28" s="23">
        <f t="shared" si="0"/>
        <v>0.29004191979818827</v>
      </c>
      <c r="M28" s="23"/>
      <c r="N28" s="23">
        <f t="shared" si="1"/>
        <v>1999.9909670670488</v>
      </c>
      <c r="AE28" t="s">
        <v>472</v>
      </c>
      <c r="AF28" t="s">
        <v>112</v>
      </c>
      <c r="AG28">
        <v>15.416</v>
      </c>
      <c r="AI28" t="s">
        <v>472</v>
      </c>
      <c r="AJ28" t="s">
        <v>113</v>
      </c>
      <c r="AK28">
        <v>18.219000000000001</v>
      </c>
      <c r="AL28">
        <f t="shared" ref="AL28" si="37">AK28-AH30</f>
        <v>3.0810000000000013</v>
      </c>
      <c r="AM28">
        <f t="shared" si="3"/>
        <v>0.11817526459384287</v>
      </c>
      <c r="AN28">
        <f>AM28/0.000199628252404587</f>
        <v>591.9766524546676</v>
      </c>
    </row>
    <row r="29" spans="4:40">
      <c r="D29" s="23" t="s">
        <v>473</v>
      </c>
      <c r="E29" s="23" t="s">
        <v>112</v>
      </c>
      <c r="F29" s="23">
        <v>14.882</v>
      </c>
      <c r="G29" s="23"/>
      <c r="H29" s="23" t="s">
        <v>473</v>
      </c>
      <c r="I29" s="23" t="s">
        <v>113</v>
      </c>
      <c r="J29" s="23">
        <v>16.667000000000002</v>
      </c>
      <c r="K29" s="23">
        <f>J29-G30</f>
        <v>1.6546666666666692</v>
      </c>
      <c r="L29" s="23">
        <f t="shared" si="0"/>
        <v>0.31761112090871713</v>
      </c>
      <c r="M29" s="23"/>
      <c r="N29" s="23">
        <f t="shared" si="1"/>
        <v>2190.0950500515974</v>
      </c>
      <c r="P29" s="90" t="s">
        <v>152</v>
      </c>
      <c r="Q29" s="90" t="s">
        <v>449</v>
      </c>
      <c r="R29" s="90"/>
      <c r="S29" s="90"/>
      <c r="T29" s="90" t="s">
        <v>450</v>
      </c>
      <c r="U29" s="90"/>
      <c r="V29" s="90"/>
      <c r="W29" s="101" t="s">
        <v>663</v>
      </c>
      <c r="X29" s="101" t="s">
        <v>396</v>
      </c>
      <c r="Y29" s="101" t="s">
        <v>664</v>
      </c>
      <c r="Z29" s="101" t="s">
        <v>663</v>
      </c>
      <c r="AA29" s="101" t="s">
        <v>396</v>
      </c>
      <c r="AB29" s="101" t="s">
        <v>664</v>
      </c>
      <c r="AC29" s="101" t="s">
        <v>665</v>
      </c>
      <c r="AE29" t="s">
        <v>472</v>
      </c>
      <c r="AF29" t="s">
        <v>112</v>
      </c>
      <c r="AG29">
        <v>14.896000000000001</v>
      </c>
      <c r="AI29" t="s">
        <v>472</v>
      </c>
      <c r="AJ29" t="s">
        <v>113</v>
      </c>
      <c r="AK29">
        <v>18.007999999999999</v>
      </c>
      <c r="AL29">
        <f t="shared" ref="AL29" si="38">AK29-AH30</f>
        <v>2.8699999999999992</v>
      </c>
      <c r="AM29">
        <f t="shared" si="3"/>
        <v>0.13678671265759251</v>
      </c>
      <c r="AN29">
        <f t="shared" ref="AN29:AN30" si="39">AM29/0.000199628252404587</f>
        <v>685.20718390284048</v>
      </c>
    </row>
    <row r="30" spans="4:40">
      <c r="D30" s="23" t="s">
        <v>473</v>
      </c>
      <c r="E30" s="23" t="s">
        <v>112</v>
      </c>
      <c r="F30" s="23">
        <v>14.967000000000001</v>
      </c>
      <c r="G30" s="23">
        <f>AVERAGE(F28:F30)</f>
        <v>15.012333333333332</v>
      </c>
      <c r="H30" s="23" t="s">
        <v>473</v>
      </c>
      <c r="I30" s="23" t="s">
        <v>113</v>
      </c>
      <c r="J30" s="23">
        <v>16.823</v>
      </c>
      <c r="K30" s="23">
        <f>J30-G30</f>
        <v>1.810666666666668</v>
      </c>
      <c r="L30" s="23">
        <f t="shared" si="0"/>
        <v>0.28505917321926871</v>
      </c>
      <c r="M30" s="23"/>
      <c r="N30" s="23">
        <f t="shared" si="1"/>
        <v>1965.6323193379296</v>
      </c>
      <c r="P30" s="90" t="s">
        <v>451</v>
      </c>
      <c r="Q30" s="90">
        <v>1.090339764930869</v>
      </c>
      <c r="R30" s="90">
        <v>0.96177929177663823</v>
      </c>
      <c r="S30" s="90">
        <v>0.94788094329248529</v>
      </c>
      <c r="T30" s="90">
        <v>4.517248984854322</v>
      </c>
      <c r="U30" s="90">
        <v>4.0234816010824774</v>
      </c>
      <c r="V30" s="90">
        <v>3.6463282343799639</v>
      </c>
      <c r="W30" s="101">
        <f>AVERAGE(Q30:S30)</f>
        <v>0.99999999999999767</v>
      </c>
      <c r="X30" s="101">
        <f>STDEV(Q30:S30)</f>
        <v>7.8544547032054254E-2</v>
      </c>
      <c r="Y30" s="101">
        <f>X30/SQRT(3)</f>
        <v>4.5347715372333751E-2</v>
      </c>
      <c r="Z30" s="101">
        <f>AVERAGE(T30:V30)</f>
        <v>4.0623529401055878</v>
      </c>
      <c r="AA30" s="101">
        <f>STDEV(T30:V30)</f>
        <v>0.43675962971615401</v>
      </c>
      <c r="AB30" s="101">
        <f>AA30/SQRT(3)</f>
        <v>0.2521632897877828</v>
      </c>
      <c r="AC30" s="94" t="s">
        <v>681</v>
      </c>
      <c r="AE30" t="s">
        <v>472</v>
      </c>
      <c r="AF30" t="s">
        <v>112</v>
      </c>
      <c r="AG30">
        <v>15.102</v>
      </c>
      <c r="AH30">
        <f t="shared" ref="AH30" si="40">AVERAGE(AG28:AG30)</f>
        <v>15.138</v>
      </c>
      <c r="AI30" t="s">
        <v>472</v>
      </c>
      <c r="AJ30" t="s">
        <v>113</v>
      </c>
      <c r="AK30">
        <v>18.047000000000001</v>
      </c>
      <c r="AL30">
        <f t="shared" ref="AL30" si="41">AK30-AH30</f>
        <v>2.9090000000000007</v>
      </c>
      <c r="AM30">
        <f t="shared" si="3"/>
        <v>0.13313852542417717</v>
      </c>
      <c r="AN30">
        <f t="shared" si="39"/>
        <v>666.93227947688001</v>
      </c>
    </row>
    <row r="31" spans="4:40">
      <c r="D31" s="23" t="s">
        <v>474</v>
      </c>
      <c r="E31" s="23" t="s">
        <v>112</v>
      </c>
      <c r="F31" s="23">
        <v>15.775</v>
      </c>
      <c r="G31" s="23"/>
      <c r="H31" s="23" t="s">
        <v>474</v>
      </c>
      <c r="I31" s="23" t="s">
        <v>113</v>
      </c>
      <c r="J31" s="23">
        <v>15.907</v>
      </c>
      <c r="K31" s="23">
        <f>J31-G33</f>
        <v>-2.8333333333332433E-2</v>
      </c>
      <c r="L31" s="23">
        <f t="shared" si="0"/>
        <v>1.0198332873016434</v>
      </c>
      <c r="M31" s="23"/>
      <c r="N31" s="23">
        <f t="shared" si="1"/>
        <v>7032.2847260726267</v>
      </c>
      <c r="P31" s="90" t="s">
        <v>453</v>
      </c>
      <c r="Q31" s="90">
        <v>2173.4599086489693</v>
      </c>
      <c r="R31" s="90">
        <v>2100.8795994263742</v>
      </c>
      <c r="S31" s="90">
        <v>1976.5623758834392</v>
      </c>
      <c r="T31" s="90">
        <v>5284.1087221030248</v>
      </c>
      <c r="U31" s="90">
        <v>5233.0794074538571</v>
      </c>
      <c r="V31" s="90">
        <v>5200.5353749832402</v>
      </c>
      <c r="W31" s="101">
        <f t="shared" ref="W31:W34" si="42">AVERAGE(Q31:S31)</f>
        <v>2083.6339613195942</v>
      </c>
      <c r="X31" s="101">
        <f t="shared" ref="X31:X34" si="43">STDEV(Q31:S31)</f>
        <v>99.575190823672344</v>
      </c>
      <c r="Y31" s="101">
        <f t="shared" ref="Y31:Y34" si="44">X31/SQRT(3)</f>
        <v>57.489763226655583</v>
      </c>
      <c r="Z31" s="101">
        <f t="shared" ref="Z31:Z34" si="45">AVERAGE(T31:V31)</f>
        <v>5239.2411681800404</v>
      </c>
      <c r="AA31" s="101">
        <f t="shared" ref="AA31:AA34" si="46">STDEV(T31:V31)</f>
        <v>42.126019971462462</v>
      </c>
      <c r="AB31" s="101">
        <f t="shared" ref="AB31:AB34" si="47">AA31/SQRT(3)</f>
        <v>24.321468970411406</v>
      </c>
      <c r="AC31" s="94" t="s">
        <v>666</v>
      </c>
      <c r="AE31" t="s">
        <v>475</v>
      </c>
      <c r="AF31" t="s">
        <v>112</v>
      </c>
      <c r="AG31">
        <v>15.082000000000001</v>
      </c>
      <c r="AI31" t="s">
        <v>475</v>
      </c>
      <c r="AJ31" t="s">
        <v>113</v>
      </c>
      <c r="AK31">
        <v>18.655000000000001</v>
      </c>
      <c r="AL31">
        <f t="shared" ref="AL31" si="48">AK31-AH33</f>
        <v>3.587666666666669</v>
      </c>
      <c r="AM31">
        <f t="shared" si="3"/>
        <v>8.317728088013579E-2</v>
      </c>
      <c r="AN31">
        <f>AM31/0.000329781725850241</f>
        <v>252.21919336400066</v>
      </c>
    </row>
    <row r="32" spans="4:40">
      <c r="D32" s="23" t="s">
        <v>474</v>
      </c>
      <c r="E32" s="23" t="s">
        <v>112</v>
      </c>
      <c r="F32" s="23">
        <v>16.02</v>
      </c>
      <c r="G32" s="23"/>
      <c r="H32" s="23" t="s">
        <v>474</v>
      </c>
      <c r="I32" s="23" t="s">
        <v>113</v>
      </c>
      <c r="J32" s="23">
        <v>16.004000000000001</v>
      </c>
      <c r="K32" s="23">
        <f>J32-G33</f>
        <v>6.8666666666668874E-2</v>
      </c>
      <c r="L32" s="23">
        <f t="shared" si="0"/>
        <v>0.95351882946837008</v>
      </c>
      <c r="M32" s="23"/>
      <c r="N32" s="23">
        <f t="shared" si="1"/>
        <v>6575.0118024042877</v>
      </c>
      <c r="P32" s="90" t="s">
        <v>455</v>
      </c>
      <c r="Q32" s="90">
        <v>3434.2462350229703</v>
      </c>
      <c r="R32" s="90">
        <v>3429.4886572961823</v>
      </c>
      <c r="S32" s="90">
        <v>3552.8911367834316</v>
      </c>
      <c r="T32" s="90">
        <v>14290.589094386076</v>
      </c>
      <c r="U32" s="90">
        <v>14540.384191721956</v>
      </c>
      <c r="V32" s="90">
        <v>17279.546914479273</v>
      </c>
      <c r="W32" s="101">
        <f t="shared" si="42"/>
        <v>3472.2086763675284</v>
      </c>
      <c r="X32" s="101">
        <f t="shared" si="43"/>
        <v>69.913540895376585</v>
      </c>
      <c r="Y32" s="101">
        <f t="shared" si="44"/>
        <v>40.364601655945584</v>
      </c>
      <c r="Z32" s="101">
        <f t="shared" si="45"/>
        <v>15370.173400195768</v>
      </c>
      <c r="AA32" s="101">
        <f t="shared" si="46"/>
        <v>1658.2761562685409</v>
      </c>
      <c r="AB32" s="101">
        <f t="shared" si="47"/>
        <v>957.40618521238014</v>
      </c>
      <c r="AC32" s="94" t="s">
        <v>666</v>
      </c>
      <c r="AE32" t="s">
        <v>475</v>
      </c>
      <c r="AF32" t="s">
        <v>112</v>
      </c>
      <c r="AG32">
        <v>15.087</v>
      </c>
      <c r="AI32" t="s">
        <v>475</v>
      </c>
      <c r="AJ32" t="s">
        <v>113</v>
      </c>
      <c r="AK32">
        <v>18.545000000000002</v>
      </c>
      <c r="AL32">
        <f t="shared" ref="AL32" si="49">AK32-AH33</f>
        <v>3.4776666666666696</v>
      </c>
      <c r="AM32">
        <f t="shared" si="3"/>
        <v>8.9767270161502322E-2</v>
      </c>
      <c r="AN32">
        <f t="shared" ref="AN32:AN33" si="50">AM32/0.000329781725850241</f>
        <v>272.20207526679945</v>
      </c>
    </row>
    <row r="33" spans="4:55">
      <c r="D33" s="23" t="s">
        <v>474</v>
      </c>
      <c r="E33" s="23" t="s">
        <v>112</v>
      </c>
      <c r="F33" s="23">
        <v>16.010999999999999</v>
      </c>
      <c r="G33" s="23">
        <f>AVERAGE(F31:F33)</f>
        <v>15.935333333333332</v>
      </c>
      <c r="H33" s="23" t="s">
        <v>474</v>
      </c>
      <c r="I33" s="23" t="s">
        <v>113</v>
      </c>
      <c r="J33" s="23">
        <v>15.868</v>
      </c>
      <c r="K33" s="23">
        <f>J33-G33</f>
        <v>-6.7333333333332135E-2</v>
      </c>
      <c r="L33" s="23">
        <f t="shared" si="0"/>
        <v>1.0477781873002887</v>
      </c>
      <c r="M33" s="23"/>
      <c r="N33" s="23">
        <f t="shared" si="1"/>
        <v>7224.9794496897184</v>
      </c>
      <c r="P33" s="90" t="s">
        <v>456</v>
      </c>
      <c r="Q33" s="90">
        <v>1999.9909670670488</v>
      </c>
      <c r="R33" s="90">
        <v>2190.0950500515974</v>
      </c>
      <c r="S33" s="90">
        <v>1965.6323193379296</v>
      </c>
      <c r="T33" s="90">
        <v>101945.91455169352</v>
      </c>
      <c r="U33" s="90">
        <v>100333.54021339989</v>
      </c>
      <c r="V33" s="90">
        <v>101031.41517472186</v>
      </c>
      <c r="W33" s="101">
        <f t="shared" si="42"/>
        <v>2051.9061121521918</v>
      </c>
      <c r="X33" s="101">
        <f t="shared" si="43"/>
        <v>120.90188620020666</v>
      </c>
      <c r="Y33" s="101">
        <f t="shared" si="44"/>
        <v>69.802736543222821</v>
      </c>
      <c r="Z33" s="101">
        <f t="shared" si="45"/>
        <v>101103.62331327175</v>
      </c>
      <c r="AA33" s="101">
        <f t="shared" si="46"/>
        <v>808.60884434415641</v>
      </c>
      <c r="AB33" s="101">
        <f t="shared" si="47"/>
        <v>466.85053395121093</v>
      </c>
      <c r="AC33" s="94" t="s">
        <v>666</v>
      </c>
      <c r="AE33" t="s">
        <v>475</v>
      </c>
      <c r="AF33" t="s">
        <v>112</v>
      </c>
      <c r="AG33">
        <v>15.032999999999999</v>
      </c>
      <c r="AH33">
        <f t="shared" ref="AH33" si="51">AVERAGE(AG31:AG33)</f>
        <v>15.067333333333332</v>
      </c>
      <c r="AI33" t="s">
        <v>475</v>
      </c>
      <c r="AJ33" t="s">
        <v>113</v>
      </c>
      <c r="AK33">
        <v>18.702999999999999</v>
      </c>
      <c r="AL33">
        <f t="shared" ref="AL33" si="52">AK33-AH33</f>
        <v>3.6356666666666673</v>
      </c>
      <c r="AM33">
        <f t="shared" si="3"/>
        <v>8.0455414957004923E-2</v>
      </c>
      <c r="AN33">
        <f t="shared" si="50"/>
        <v>243.96565561531744</v>
      </c>
    </row>
    <row r="34" spans="4:55">
      <c r="D34" s="23" t="s">
        <v>475</v>
      </c>
      <c r="E34" s="23" t="s">
        <v>112</v>
      </c>
      <c r="F34" s="23">
        <v>15.148</v>
      </c>
      <c r="G34" s="23"/>
      <c r="H34" s="23" t="s">
        <v>475</v>
      </c>
      <c r="I34" s="23" t="s">
        <v>113</v>
      </c>
      <c r="J34" s="23">
        <v>17.472999999999999</v>
      </c>
      <c r="K34" s="23">
        <f>J34-G36</f>
        <v>2.4263333333333321</v>
      </c>
      <c r="L34" s="23">
        <f t="shared" si="0"/>
        <v>0.18603766810137445</v>
      </c>
      <c r="M34" s="23"/>
      <c r="N34" s="23">
        <f t="shared" si="1"/>
        <v>1282.8271720027785</v>
      </c>
      <c r="P34" s="90" t="s">
        <v>457</v>
      </c>
      <c r="Q34" s="90">
        <v>1282.8271720027785</v>
      </c>
      <c r="R34" s="90">
        <v>2161.9404985772708</v>
      </c>
      <c r="S34" s="90">
        <v>1138.6519416270337</v>
      </c>
      <c r="T34" s="90">
        <v>7032.2847260726267</v>
      </c>
      <c r="U34" s="90">
        <v>6575.0118024042877</v>
      </c>
      <c r="V34" s="90">
        <v>7224.9794496897184</v>
      </c>
      <c r="W34" s="101">
        <f t="shared" si="42"/>
        <v>1527.8065374023611</v>
      </c>
      <c r="X34" s="101">
        <f t="shared" si="43"/>
        <v>553.88720404068795</v>
      </c>
      <c r="Y34" s="101">
        <f t="shared" si="44"/>
        <v>319.78692635358038</v>
      </c>
      <c r="Z34" s="101">
        <f t="shared" si="45"/>
        <v>6944.0919927222103</v>
      </c>
      <c r="AA34" s="101">
        <f t="shared" si="46"/>
        <v>333.83821574424741</v>
      </c>
      <c r="AB34" s="101">
        <f t="shared" si="47"/>
        <v>192.7415837257256</v>
      </c>
      <c r="AC34" s="94" t="s">
        <v>666</v>
      </c>
      <c r="AE34" t="s">
        <v>474</v>
      </c>
      <c r="AF34" t="s">
        <v>112</v>
      </c>
      <c r="AG34">
        <v>14.817</v>
      </c>
      <c r="AI34" t="s">
        <v>474</v>
      </c>
      <c r="AJ34" t="s">
        <v>113</v>
      </c>
      <c r="AK34">
        <v>18.582000000000001</v>
      </c>
      <c r="AL34">
        <f t="shared" ref="AL34" si="53">AK34-AH36</f>
        <v>3.0670000000000002</v>
      </c>
      <c r="AM34">
        <f t="shared" si="3"/>
        <v>0.11932762676746461</v>
      </c>
      <c r="AN34">
        <f>AM34/0.000199628252404587</f>
        <v>597.74919296304336</v>
      </c>
    </row>
    <row r="35" spans="4:55">
      <c r="D35" s="23" t="s">
        <v>475</v>
      </c>
      <c r="E35" s="23" t="s">
        <v>112</v>
      </c>
      <c r="F35" s="23">
        <v>14.975</v>
      </c>
      <c r="G35" s="23"/>
      <c r="H35" s="23" t="s">
        <v>475</v>
      </c>
      <c r="I35" s="23" t="s">
        <v>113</v>
      </c>
      <c r="J35" s="23">
        <v>16.72</v>
      </c>
      <c r="K35" s="23">
        <f>J35-G36</f>
        <v>1.673333333333332</v>
      </c>
      <c r="L35" s="23">
        <f t="shared" si="0"/>
        <v>0.31352810238756557</v>
      </c>
      <c r="M35" s="23"/>
      <c r="N35" s="23">
        <f t="shared" si="1"/>
        <v>2161.9404985772708</v>
      </c>
      <c r="AE35" t="s">
        <v>474</v>
      </c>
      <c r="AF35" t="s">
        <v>112</v>
      </c>
      <c r="AG35">
        <v>15.657</v>
      </c>
      <c r="AI35" t="s">
        <v>474</v>
      </c>
      <c r="AJ35" t="s">
        <v>113</v>
      </c>
      <c r="AK35">
        <v>18.303999999999998</v>
      </c>
      <c r="AL35">
        <f t="shared" ref="AL35" si="54">AK35-AH36</f>
        <v>2.7889999999999979</v>
      </c>
      <c r="AM35">
        <f t="shared" si="3"/>
        <v>0.14468627712376553</v>
      </c>
      <c r="AN35">
        <f t="shared" ref="AN35:AN36" si="55">AM35/0.000199628252404587</f>
        <v>724.77855905149909</v>
      </c>
    </row>
    <row r="36" spans="4:55">
      <c r="D36" s="23" t="s">
        <v>475</v>
      </c>
      <c r="E36" s="23" t="s">
        <v>112</v>
      </c>
      <c r="F36" s="23">
        <v>15.016999999999999</v>
      </c>
      <c r="G36" s="23">
        <f>AVERAGE(F34:F36)</f>
        <v>15.046666666666667</v>
      </c>
      <c r="H36" s="23" t="s">
        <v>475</v>
      </c>
      <c r="I36" s="23" t="s">
        <v>113</v>
      </c>
      <c r="J36" s="23">
        <v>17.645</v>
      </c>
      <c r="K36" s="23">
        <f>J36-G36</f>
        <v>2.5983333333333327</v>
      </c>
      <c r="L36" s="23">
        <f t="shared" si="0"/>
        <v>0.16512914336595991</v>
      </c>
      <c r="M36" s="23"/>
      <c r="N36" s="23">
        <f t="shared" si="1"/>
        <v>1138.6519416270337</v>
      </c>
      <c r="AE36" t="s">
        <v>474</v>
      </c>
      <c r="AF36" t="s">
        <v>112</v>
      </c>
      <c r="AG36">
        <v>16.071000000000002</v>
      </c>
      <c r="AH36">
        <f t="shared" ref="AH36" si="56">AVERAGE(AG34:AG36)</f>
        <v>15.515000000000001</v>
      </c>
      <c r="AI36" t="s">
        <v>474</v>
      </c>
      <c r="AJ36" t="s">
        <v>113</v>
      </c>
      <c r="AK36">
        <v>18.245000000000001</v>
      </c>
      <c r="AL36">
        <f t="shared" ref="AL36" si="57">AK36-AH36</f>
        <v>2.7300000000000004</v>
      </c>
      <c r="AM36">
        <f t="shared" si="3"/>
        <v>0.15072597846134503</v>
      </c>
      <c r="AN36">
        <f t="shared" si="55"/>
        <v>755.03330137794501</v>
      </c>
    </row>
    <row r="37" spans="4:55">
      <c r="D37" s="57"/>
      <c r="E37" s="57"/>
      <c r="F37" s="57"/>
      <c r="G37" s="52"/>
      <c r="H37" s="57"/>
      <c r="I37" s="57"/>
      <c r="J37" s="57"/>
      <c r="K37" s="52"/>
      <c r="L37" s="52"/>
      <c r="M37" s="52"/>
      <c r="N37" s="52"/>
      <c r="O37" s="52"/>
    </row>
    <row r="38" spans="4:55">
      <c r="D38" s="23" t="s">
        <v>30</v>
      </c>
      <c r="E38" s="23" t="s">
        <v>112</v>
      </c>
      <c r="F38" s="23">
        <v>15.619</v>
      </c>
      <c r="G38" s="23"/>
      <c r="H38" s="23" t="s">
        <v>30</v>
      </c>
      <c r="I38" s="23" t="s">
        <v>458</v>
      </c>
      <c r="J38" s="23">
        <v>21.928000000000001</v>
      </c>
      <c r="K38" s="23">
        <f>J38-G40</f>
        <v>6.1900000000000013</v>
      </c>
      <c r="L38" s="23">
        <f t="shared" ref="L38:L67" si="58">POWER(2,-K38)</f>
        <v>1.3696964395563033E-2</v>
      </c>
      <c r="M38" s="23"/>
      <c r="N38" s="23">
        <f t="shared" ref="N38:N67" si="59">L38/0.00221433188563005</f>
        <v>6.1855968766243894</v>
      </c>
    </row>
    <row r="39" spans="4:55">
      <c r="D39" s="23" t="s">
        <v>30</v>
      </c>
      <c r="E39" s="23" t="s">
        <v>112</v>
      </c>
      <c r="F39" s="23">
        <v>15.723000000000001</v>
      </c>
      <c r="G39" s="23"/>
      <c r="H39" s="23" t="s">
        <v>30</v>
      </c>
      <c r="I39" s="23" t="s">
        <v>458</v>
      </c>
      <c r="J39" s="23">
        <v>21.923999999999999</v>
      </c>
      <c r="K39" s="23">
        <f>J39-G40</f>
        <v>6.1859999999999999</v>
      </c>
      <c r="L39" s="23">
        <f t="shared" si="58"/>
        <v>1.3734993139246671E-2</v>
      </c>
      <c r="M39" s="23"/>
      <c r="N39" s="23">
        <f t="shared" si="59"/>
        <v>6.2027707898622495</v>
      </c>
      <c r="P39" s="90" t="s">
        <v>534</v>
      </c>
      <c r="Q39" s="90"/>
      <c r="R39" s="90"/>
      <c r="S39" s="90"/>
      <c r="T39" s="90"/>
      <c r="U39" s="90"/>
      <c r="V39" s="90"/>
      <c r="W39" s="90"/>
      <c r="X39" s="90"/>
      <c r="Y39" s="90"/>
      <c r="Z39" s="90"/>
      <c r="AA39" s="90"/>
      <c r="AB39" s="90"/>
      <c r="AC39" s="90"/>
    </row>
    <row r="40" spans="4:55">
      <c r="D40" s="23" t="s">
        <v>30</v>
      </c>
      <c r="E40" s="23" t="s">
        <v>112</v>
      </c>
      <c r="F40" s="23">
        <v>15.872</v>
      </c>
      <c r="G40" s="23">
        <f>AVERAGE(F38:F40)</f>
        <v>15.738</v>
      </c>
      <c r="H40" s="23" t="s">
        <v>30</v>
      </c>
      <c r="I40" s="23" t="s">
        <v>458</v>
      </c>
      <c r="J40" s="23">
        <v>21.876000000000001</v>
      </c>
      <c r="K40" s="23">
        <f>J40-G40</f>
        <v>6.1380000000000017</v>
      </c>
      <c r="L40" s="23">
        <f t="shared" si="58"/>
        <v>1.4199658069508111E-2</v>
      </c>
      <c r="M40" s="23"/>
      <c r="N40" s="23">
        <f t="shared" si="59"/>
        <v>6.4126150924606513</v>
      </c>
      <c r="P40" s="90"/>
      <c r="Q40" s="90" t="s">
        <v>449</v>
      </c>
      <c r="R40" s="90"/>
      <c r="S40" s="90"/>
      <c r="T40" s="90" t="s">
        <v>450</v>
      </c>
      <c r="U40" s="90"/>
      <c r="V40" s="90"/>
      <c r="W40" s="101" t="s">
        <v>663</v>
      </c>
      <c r="X40" s="101" t="s">
        <v>396</v>
      </c>
      <c r="Y40" s="101" t="s">
        <v>664</v>
      </c>
      <c r="Z40" s="101" t="s">
        <v>663</v>
      </c>
      <c r="AA40" s="101" t="s">
        <v>396</v>
      </c>
      <c r="AB40" s="101" t="s">
        <v>664</v>
      </c>
      <c r="AC40" s="101" t="s">
        <v>665</v>
      </c>
      <c r="AE40" s="23" t="s">
        <v>27</v>
      </c>
      <c r="AF40" s="23" t="s">
        <v>112</v>
      </c>
      <c r="AG40" s="23">
        <v>15.266999999999999</v>
      </c>
      <c r="AH40" s="23"/>
      <c r="AI40" s="23" t="s">
        <v>27</v>
      </c>
      <c r="AJ40" s="23" t="s">
        <v>458</v>
      </c>
      <c r="AK40" s="23">
        <v>27.251000000000001</v>
      </c>
      <c r="AL40" s="23">
        <f>AK40-AH45</f>
        <v>11.581999999999999</v>
      </c>
      <c r="AM40" s="23">
        <f t="shared" ref="AM40:AM69" si="60">POWER(2,-AL40)</f>
        <v>3.261899605444581E-4</v>
      </c>
      <c r="AN40" s="23">
        <f>AM40/0.000268857076805532</f>
        <v>1.2132466975395846</v>
      </c>
      <c r="AP40" s="90" t="s">
        <v>534</v>
      </c>
      <c r="AQ40" s="90"/>
      <c r="AR40" s="90"/>
      <c r="AS40" s="90"/>
      <c r="AT40" s="90"/>
      <c r="AU40" s="90"/>
      <c r="AV40" s="90"/>
      <c r="AW40" s="90"/>
      <c r="AX40" s="90"/>
      <c r="AY40" s="90"/>
      <c r="AZ40" s="90"/>
      <c r="BA40" s="90"/>
      <c r="BB40" s="90"/>
      <c r="BC40" s="90"/>
    </row>
    <row r="41" spans="4:55">
      <c r="D41" s="23" t="s">
        <v>27</v>
      </c>
      <c r="E41" s="23" t="s">
        <v>112</v>
      </c>
      <c r="F41" s="23">
        <v>14.852</v>
      </c>
      <c r="G41" s="23"/>
      <c r="H41" s="23" t="s">
        <v>27</v>
      </c>
      <c r="I41" s="23" t="s">
        <v>458</v>
      </c>
      <c r="J41" s="23">
        <v>23.553999999999998</v>
      </c>
      <c r="K41" s="23">
        <f>J41-G43</f>
        <v>8.8606666666666651</v>
      </c>
      <c r="L41" s="23">
        <f t="shared" si="58"/>
        <v>2.1511641508263494E-3</v>
      </c>
      <c r="M41" s="23"/>
      <c r="N41" s="23">
        <f t="shared" si="59"/>
        <v>0.97147323072316805</v>
      </c>
      <c r="P41" s="102" t="s">
        <v>459</v>
      </c>
      <c r="Q41" s="102">
        <v>0.97147323072316805</v>
      </c>
      <c r="R41" s="90">
        <v>1.045538471057619</v>
      </c>
      <c r="S41" s="90">
        <v>0.9829882982192093</v>
      </c>
      <c r="T41" s="102">
        <v>6.1855968766243894</v>
      </c>
      <c r="U41" s="102">
        <v>6.2027707898622495</v>
      </c>
      <c r="V41" s="102">
        <v>6.4126150924606513</v>
      </c>
      <c r="W41" s="101">
        <f>AVERAGE(Q41:S41)</f>
        <v>0.99999999999999878</v>
      </c>
      <c r="X41" s="101">
        <f>STDEV(Q41:S41)</f>
        <v>3.9855532295515528E-2</v>
      </c>
      <c r="Y41" s="101">
        <f>X41/SQRT(3)</f>
        <v>2.3010602299511716E-2</v>
      </c>
      <c r="Z41" s="101">
        <f>AVERAGE(T41:V41)</f>
        <v>6.266994252982431</v>
      </c>
      <c r="AA41" s="101">
        <f>STDEV(T41:V41)</f>
        <v>0.12640335237536937</v>
      </c>
      <c r="AB41" s="101">
        <f>AA41/SQRT(3)</f>
        <v>7.2979009520390631E-2</v>
      </c>
      <c r="AC41" s="94">
        <v>0.99970000000000003</v>
      </c>
      <c r="AE41" s="23" t="s">
        <v>27</v>
      </c>
      <c r="AF41" s="23" t="s">
        <v>112</v>
      </c>
      <c r="AG41" s="23">
        <v>15.73</v>
      </c>
      <c r="AH41" s="23"/>
      <c r="AI41" s="23" t="s">
        <v>27</v>
      </c>
      <c r="AJ41" s="23" t="s">
        <v>458</v>
      </c>
      <c r="AK41" s="23">
        <v>27.529</v>
      </c>
      <c r="AL41" s="23">
        <f>AK41-AH45</f>
        <v>11.859999999999998</v>
      </c>
      <c r="AM41" s="23">
        <f t="shared" si="60"/>
        <v>2.6901980368081386E-4</v>
      </c>
      <c r="AN41" s="23">
        <f t="shared" ref="AN41:AN42" si="61">AM41/0.000268857076805532</f>
        <v>1.0006052542012853</v>
      </c>
      <c r="AP41" s="102"/>
      <c r="AQ41" s="45" t="s">
        <v>24</v>
      </c>
      <c r="AR41" s="102"/>
      <c r="AS41" s="102"/>
      <c r="AT41" s="45" t="s">
        <v>479</v>
      </c>
      <c r="AU41" s="90"/>
      <c r="AV41" s="90"/>
      <c r="AW41" s="101" t="s">
        <v>663</v>
      </c>
      <c r="AX41" s="101" t="s">
        <v>396</v>
      </c>
      <c r="AY41" s="101" t="s">
        <v>664</v>
      </c>
      <c r="AZ41" s="101" t="s">
        <v>663</v>
      </c>
      <c r="BA41" s="101" t="s">
        <v>396</v>
      </c>
      <c r="BB41" s="101" t="s">
        <v>664</v>
      </c>
      <c r="BC41" s="101" t="s">
        <v>665</v>
      </c>
    </row>
    <row r="42" spans="4:55">
      <c r="D42" s="23" t="s">
        <v>27</v>
      </c>
      <c r="E42" s="23" t="s">
        <v>112</v>
      </c>
      <c r="F42" s="23">
        <v>14.782</v>
      </c>
      <c r="G42" s="23"/>
      <c r="H42" s="23" t="s">
        <v>27</v>
      </c>
      <c r="I42" s="23" t="s">
        <v>458</v>
      </c>
      <c r="J42" s="23">
        <v>23.448</v>
      </c>
      <c r="K42" s="23">
        <f>J42-G43</f>
        <v>8.754666666666667</v>
      </c>
      <c r="L42" s="23">
        <f t="shared" si="58"/>
        <v>2.3151691741157771E-3</v>
      </c>
      <c r="M42" s="23">
        <v>2.2143318856300501E-3</v>
      </c>
      <c r="N42" s="23">
        <f t="shared" si="59"/>
        <v>1.045538471057619</v>
      </c>
      <c r="P42" s="102" t="s">
        <v>461</v>
      </c>
      <c r="Q42" s="102">
        <v>241.72889871250959</v>
      </c>
      <c r="R42" s="90">
        <v>282.91917465827004</v>
      </c>
      <c r="S42" s="90">
        <v>238.56624975813818</v>
      </c>
      <c r="T42" s="102">
        <v>401.68278265334067</v>
      </c>
      <c r="U42" s="102">
        <v>421.06898811671971</v>
      </c>
      <c r="V42" s="102">
        <v>403.07732425531003</v>
      </c>
      <c r="W42" s="101">
        <f t="shared" ref="W42:W45" si="62">AVERAGE(Q42:S42)</f>
        <v>254.40477437630594</v>
      </c>
      <c r="X42" s="101">
        <f t="shared" ref="X42:X45" si="63">STDEV(Q42:S42)</f>
        <v>24.744774290387099</v>
      </c>
      <c r="Y42" s="101">
        <f t="shared" ref="Y42:Y45" si="64">X42/SQRT(3)</f>
        <v>14.286402097591523</v>
      </c>
      <c r="Z42" s="101">
        <f t="shared" ref="Z42:Z45" si="65">AVERAGE(T42:V42)</f>
        <v>408.60969834179014</v>
      </c>
      <c r="AA42" s="101">
        <f t="shared" ref="AA42:AA45" si="66">STDEV(T42:V42)</f>
        <v>10.812567356629705</v>
      </c>
      <c r="AB42" s="101">
        <f t="shared" ref="AB42:AB45" si="67">AA42/SQRT(3)</f>
        <v>6.242638673981121</v>
      </c>
      <c r="AC42" s="94" t="s">
        <v>666</v>
      </c>
      <c r="AE42" s="23" t="s">
        <v>27</v>
      </c>
      <c r="AF42" s="23" t="s">
        <v>112</v>
      </c>
      <c r="AG42" s="23">
        <v>15.704000000000001</v>
      </c>
      <c r="AH42" s="23">
        <f>AVERAGE(AG40:AG42)</f>
        <v>15.567</v>
      </c>
      <c r="AI42" s="23" t="s">
        <v>27</v>
      </c>
      <c r="AJ42" s="23" t="s">
        <v>458</v>
      </c>
      <c r="AK42" s="23">
        <v>27.876999999999999</v>
      </c>
      <c r="AL42" s="23">
        <f>AK42-AH45</f>
        <v>12.207999999999997</v>
      </c>
      <c r="AM42" s="23">
        <f t="shared" si="60"/>
        <v>2.1136146619132323E-4</v>
      </c>
      <c r="AN42" s="23">
        <f t="shared" si="61"/>
        <v>0.78614804825912721</v>
      </c>
      <c r="AP42" s="45" t="s">
        <v>459</v>
      </c>
      <c r="AQ42" s="45">
        <v>1.2132466975395846</v>
      </c>
      <c r="AR42" s="102">
        <v>1.0006052542012853</v>
      </c>
      <c r="AS42" s="102">
        <v>0.78614804825912721</v>
      </c>
      <c r="AT42" s="102">
        <v>1.0729228094038814</v>
      </c>
      <c r="AU42" s="90">
        <v>1.0242346604067665</v>
      </c>
      <c r="AV42" s="90">
        <v>0.90284253018935468</v>
      </c>
      <c r="AW42" s="101">
        <f>AVERAGE(AQ42:AS42)</f>
        <v>0.99999999999999911</v>
      </c>
      <c r="AX42" s="101">
        <f>STDEV(AQ42:AS42)</f>
        <v>0.21354996793205985</v>
      </c>
      <c r="AY42" s="101">
        <f>AX42/SQRT(3)</f>
        <v>0.12329313147101072</v>
      </c>
      <c r="AZ42" s="101">
        <f>AVERAGE(AT42:AV42)</f>
        <v>1.0000000000000009</v>
      </c>
      <c r="BA42" s="101">
        <f>STDEV(AT42:AV42)</f>
        <v>8.7591748573688621E-2</v>
      </c>
      <c r="BB42" s="101">
        <f>BA42/SQRT(3)</f>
        <v>5.0571119617809149E-2</v>
      </c>
      <c r="BC42" s="94" t="s">
        <v>681</v>
      </c>
    </row>
    <row r="43" spans="4:55">
      <c r="D43" s="23" t="s">
        <v>27</v>
      </c>
      <c r="E43" s="23" t="s">
        <v>112</v>
      </c>
      <c r="F43" s="23">
        <v>14.446</v>
      </c>
      <c r="G43" s="23">
        <f>AVERAGE(F41:F43)</f>
        <v>14.693333333333333</v>
      </c>
      <c r="H43" s="23" t="s">
        <v>27</v>
      </c>
      <c r="I43" s="23" t="s">
        <v>458</v>
      </c>
      <c r="J43" s="23">
        <v>23.536999999999999</v>
      </c>
      <c r="K43" s="23">
        <f>J43-G43</f>
        <v>8.8436666666666657</v>
      </c>
      <c r="L43" s="23">
        <f t="shared" si="58"/>
        <v>2.1766623319480157E-3</v>
      </c>
      <c r="M43" s="23">
        <f>AVERAGE(L41:L43)</f>
        <v>2.2143318856300471E-3</v>
      </c>
      <c r="N43" s="23">
        <f t="shared" si="59"/>
        <v>0.9829882982192093</v>
      </c>
      <c r="P43" s="102" t="s">
        <v>463</v>
      </c>
      <c r="Q43" s="102">
        <v>260.33873064552171</v>
      </c>
      <c r="R43" s="90">
        <v>267.10184802711819</v>
      </c>
      <c r="S43" s="90">
        <v>280.77022661336821</v>
      </c>
      <c r="T43" s="102">
        <v>526.4840984368135</v>
      </c>
      <c r="U43" s="102">
        <v>522.48512249121313</v>
      </c>
      <c r="V43" s="102">
        <v>517.79820275444524</v>
      </c>
      <c r="W43" s="101">
        <f t="shared" si="62"/>
        <v>269.40360176200272</v>
      </c>
      <c r="X43" s="101">
        <f t="shared" si="63"/>
        <v>10.408412922394703</v>
      </c>
      <c r="Y43" s="101">
        <f t="shared" si="64"/>
        <v>6.0093000025813614</v>
      </c>
      <c r="Z43" s="101">
        <f t="shared" si="65"/>
        <v>522.25580789415733</v>
      </c>
      <c r="AA43" s="101">
        <f t="shared" si="66"/>
        <v>4.347486036730082</v>
      </c>
      <c r="AB43" s="101">
        <f t="shared" si="67"/>
        <v>2.5100222336042521</v>
      </c>
      <c r="AC43" s="94" t="s">
        <v>666</v>
      </c>
      <c r="AE43" s="23" t="s">
        <v>30</v>
      </c>
      <c r="AF43" s="23" t="s">
        <v>112</v>
      </c>
      <c r="AG43" s="23">
        <v>15.813000000000001</v>
      </c>
      <c r="AH43" s="23"/>
      <c r="AI43" s="23" t="s">
        <v>30</v>
      </c>
      <c r="AJ43" s="23" t="s">
        <v>458</v>
      </c>
      <c r="AK43" s="23">
        <v>27.872</v>
      </c>
      <c r="AL43" s="23">
        <f>AK43-AH42</f>
        <v>12.305</v>
      </c>
      <c r="AM43" s="23">
        <f t="shared" si="60"/>
        <v>1.9761772864926983E-4</v>
      </c>
      <c r="AN43" s="23">
        <f>AM43/0.000184186343059541</f>
        <v>1.0729228094038814</v>
      </c>
      <c r="AP43" s="45" t="s">
        <v>461</v>
      </c>
      <c r="AQ43" s="45">
        <v>52.949296081421032</v>
      </c>
      <c r="AR43" s="102">
        <v>44.865655977353519</v>
      </c>
      <c r="AS43" s="102">
        <v>112.01433790608094</v>
      </c>
      <c r="AT43" s="102">
        <v>212.04298617312841</v>
      </c>
      <c r="AU43" s="90">
        <v>204.96204327480979</v>
      </c>
      <c r="AV43" s="90">
        <v>199.49557730686416</v>
      </c>
      <c r="AW43" s="101">
        <f t="shared" ref="AW43:AW46" si="68">AVERAGE(AQ43:AS43)</f>
        <v>69.94309665495183</v>
      </c>
      <c r="AX43" s="101">
        <f t="shared" ref="AX43:AX46" si="69">STDEV(AQ43:AS43)</f>
        <v>36.658263933812442</v>
      </c>
      <c r="AY43" s="101">
        <f t="shared" ref="AY43:AY46" si="70">AX43/SQRT(3)</f>
        <v>21.164658550210966</v>
      </c>
      <c r="AZ43" s="101">
        <f t="shared" ref="AZ43:AZ46" si="71">AVERAGE(AT43:AV43)</f>
        <v>205.50020225160083</v>
      </c>
      <c r="BA43" s="101">
        <f t="shared" ref="BA43:BA46" si="72">STDEV(AT43:AV43)</f>
        <v>6.2909918635718505</v>
      </c>
      <c r="BB43" s="101">
        <f t="shared" ref="BB43:BB46" si="73">BA43/SQRT(3)</f>
        <v>3.6321058459029536</v>
      </c>
      <c r="BC43" s="94">
        <v>8.0799999999999997E-2</v>
      </c>
    </row>
    <row r="44" spans="4:55">
      <c r="D44" s="23" t="s">
        <v>468</v>
      </c>
      <c r="E44" s="24" t="s">
        <v>112</v>
      </c>
      <c r="F44" s="24">
        <v>16.204999999999998</v>
      </c>
      <c r="G44" s="23"/>
      <c r="H44" s="23" t="s">
        <v>468</v>
      </c>
      <c r="I44" s="24" t="s">
        <v>458</v>
      </c>
      <c r="J44" s="24">
        <v>16.311</v>
      </c>
      <c r="K44" s="23">
        <f>J44-G46</f>
        <v>0.16900000000000048</v>
      </c>
      <c r="L44" s="23">
        <f t="shared" si="58"/>
        <v>0.88945899353789748</v>
      </c>
      <c r="M44" s="23"/>
      <c r="N44" s="23">
        <f t="shared" si="59"/>
        <v>401.68278265334067</v>
      </c>
      <c r="P44" s="102" t="s">
        <v>464</v>
      </c>
      <c r="Q44" s="102">
        <v>211.1678140750397</v>
      </c>
      <c r="R44" s="90">
        <v>170.69135093690869</v>
      </c>
      <c r="S44" s="90">
        <v>167.41049316136173</v>
      </c>
      <c r="T44" s="102">
        <v>1607.845217835069</v>
      </c>
      <c r="U44" s="102">
        <v>1624.649526088268</v>
      </c>
      <c r="V44" s="102">
        <v>1714.9048471212357</v>
      </c>
      <c r="W44" s="101">
        <f t="shared" si="62"/>
        <v>183.08988605777003</v>
      </c>
      <c r="X44" s="101">
        <f t="shared" si="63"/>
        <v>24.371469759599865</v>
      </c>
      <c r="Y44" s="101">
        <f t="shared" si="64"/>
        <v>14.070874626251808</v>
      </c>
      <c r="Z44" s="101">
        <f t="shared" si="65"/>
        <v>1649.1331970148576</v>
      </c>
      <c r="AA44" s="101">
        <f t="shared" si="66"/>
        <v>57.576285589242424</v>
      </c>
      <c r="AB44" s="101">
        <f t="shared" si="67"/>
        <v>33.241683983887889</v>
      </c>
      <c r="AC44" s="94" t="s">
        <v>666</v>
      </c>
      <c r="AE44" s="23" t="s">
        <v>30</v>
      </c>
      <c r="AF44" s="23" t="s">
        <v>112</v>
      </c>
      <c r="AG44" s="23">
        <v>15.516</v>
      </c>
      <c r="AH44" s="23"/>
      <c r="AI44" s="23" t="s">
        <v>30</v>
      </c>
      <c r="AJ44" s="23" t="s">
        <v>458</v>
      </c>
      <c r="AK44" s="23">
        <v>27.939</v>
      </c>
      <c r="AL44" s="23">
        <f>AK44-AH42</f>
        <v>12.372</v>
      </c>
      <c r="AM44" s="23">
        <f t="shared" si="60"/>
        <v>1.8865003653515316E-4</v>
      </c>
      <c r="AN44" s="23">
        <f t="shared" ref="AN44:AN45" si="74">AM44/0.000184186343059541</f>
        <v>1.0242346604067665</v>
      </c>
      <c r="AP44" s="45" t="s">
        <v>463</v>
      </c>
      <c r="AQ44" s="45">
        <v>23.635327218868564</v>
      </c>
      <c r="AR44" s="102">
        <v>24.115234484273483</v>
      </c>
      <c r="AS44" s="102">
        <v>29.280594346791926</v>
      </c>
      <c r="AT44" s="102">
        <v>299.04379093498267</v>
      </c>
      <c r="AU44" s="90">
        <v>283.89486674330033</v>
      </c>
      <c r="AV44" s="90">
        <v>317.63210970599351</v>
      </c>
      <c r="AW44" s="101">
        <f t="shared" si="68"/>
        <v>25.677052016644655</v>
      </c>
      <c r="AX44" s="101">
        <f t="shared" si="69"/>
        <v>3.1299705653119978</v>
      </c>
      <c r="AY44" s="101">
        <f t="shared" si="70"/>
        <v>1.8070893484384871</v>
      </c>
      <c r="AZ44" s="101">
        <f t="shared" si="71"/>
        <v>300.1902557947588</v>
      </c>
      <c r="BA44" s="101">
        <f t="shared" si="72"/>
        <v>16.897815744556272</v>
      </c>
      <c r="BB44" s="101">
        <f t="shared" si="73"/>
        <v>9.7559584688362602</v>
      </c>
      <c r="BC44" s="94">
        <v>2.0000000000000001E-4</v>
      </c>
    </row>
    <row r="45" spans="4:55">
      <c r="D45" s="23" t="s">
        <v>468</v>
      </c>
      <c r="E45" s="24" t="s">
        <v>112</v>
      </c>
      <c r="F45" s="24">
        <v>16.352</v>
      </c>
      <c r="G45" s="23"/>
      <c r="H45" s="23" t="s">
        <v>468</v>
      </c>
      <c r="I45" s="24" t="s">
        <v>458</v>
      </c>
      <c r="J45" s="24">
        <v>16.242999999999999</v>
      </c>
      <c r="K45" s="23">
        <f>J45-G46</f>
        <v>0.10099999999999909</v>
      </c>
      <c r="L45" s="23">
        <f t="shared" si="58"/>
        <v>0.93238648643683308</v>
      </c>
      <c r="M45" s="23"/>
      <c r="N45" s="23">
        <f t="shared" si="59"/>
        <v>421.06898811671971</v>
      </c>
      <c r="P45" s="102" t="s">
        <v>465</v>
      </c>
      <c r="Q45" s="102">
        <v>213.86839368264091</v>
      </c>
      <c r="R45" s="90">
        <v>167.44917766730919</v>
      </c>
      <c r="S45" s="90">
        <v>190.62314402996327</v>
      </c>
      <c r="T45" s="102">
        <v>476.14136124009559</v>
      </c>
      <c r="U45" s="102">
        <v>427.34165725137689</v>
      </c>
      <c r="V45" s="102">
        <v>416.23259828918373</v>
      </c>
      <c r="W45" s="101">
        <f t="shared" si="62"/>
        <v>190.64690512663779</v>
      </c>
      <c r="X45" s="101">
        <f t="shared" si="63"/>
        <v>23.209617129797593</v>
      </c>
      <c r="Y45" s="101">
        <f t="shared" si="64"/>
        <v>13.40007869767679</v>
      </c>
      <c r="Z45" s="101">
        <f t="shared" si="65"/>
        <v>439.90520559355201</v>
      </c>
      <c r="AA45" s="101">
        <f t="shared" si="66"/>
        <v>31.869217589811754</v>
      </c>
      <c r="AB45" s="101">
        <f t="shared" si="67"/>
        <v>18.399701354340575</v>
      </c>
      <c r="AC45" s="94" t="s">
        <v>666</v>
      </c>
      <c r="AE45" s="23" t="s">
        <v>30</v>
      </c>
      <c r="AF45" s="23" t="s">
        <v>112</v>
      </c>
      <c r="AG45" s="23">
        <v>15.678000000000001</v>
      </c>
      <c r="AH45" s="23">
        <f t="shared" ref="AH45" si="75">AVERAGE(AG43:AG45)</f>
        <v>15.669000000000002</v>
      </c>
      <c r="AI45" s="23" t="s">
        <v>30</v>
      </c>
      <c r="AJ45" s="23" t="s">
        <v>458</v>
      </c>
      <c r="AK45" s="23">
        <v>28.120999999999999</v>
      </c>
      <c r="AL45" s="23">
        <f>AK45-AH42</f>
        <v>12.553999999999998</v>
      </c>
      <c r="AM45" s="23">
        <f t="shared" si="60"/>
        <v>1.6629126399420049E-4</v>
      </c>
      <c r="AN45" s="23">
        <f t="shared" si="74"/>
        <v>0.90284253018935468</v>
      </c>
      <c r="AP45" s="45" t="s">
        <v>464</v>
      </c>
      <c r="AQ45" s="45">
        <v>23.777738466070307</v>
      </c>
      <c r="AR45" s="102">
        <v>23.111509726213217</v>
      </c>
      <c r="AS45" s="102">
        <v>25.715024083768693</v>
      </c>
      <c r="AT45" s="102">
        <v>530.9919893759336</v>
      </c>
      <c r="AU45" s="90">
        <v>918.12468868344934</v>
      </c>
      <c r="AV45" s="90">
        <v>665.61599227222541</v>
      </c>
      <c r="AW45" s="101">
        <f t="shared" si="68"/>
        <v>24.201424092017405</v>
      </c>
      <c r="AX45" s="101">
        <f t="shared" si="69"/>
        <v>1.3524806411646024</v>
      </c>
      <c r="AY45" s="101">
        <f t="shared" si="70"/>
        <v>0.7808550622501409</v>
      </c>
      <c r="AZ45" s="101">
        <f t="shared" si="71"/>
        <v>704.91089011053612</v>
      </c>
      <c r="BA45" s="101">
        <f t="shared" si="72"/>
        <v>196.53498025891801</v>
      </c>
      <c r="BB45" s="101">
        <f t="shared" si="73"/>
        <v>113.46952375766411</v>
      </c>
      <c r="BC45" s="94" t="s">
        <v>666</v>
      </c>
    </row>
    <row r="46" spans="4:55">
      <c r="D46" s="23" t="s">
        <v>468</v>
      </c>
      <c r="E46" s="24" t="s">
        <v>112</v>
      </c>
      <c r="F46" s="24">
        <v>15.869</v>
      </c>
      <c r="G46" s="23">
        <f>AVERAGE(F44:F46)</f>
        <v>16.141999999999999</v>
      </c>
      <c r="H46" s="23" t="s">
        <v>468</v>
      </c>
      <c r="I46" s="24" t="s">
        <v>458</v>
      </c>
      <c r="J46" s="24">
        <v>16.306000000000001</v>
      </c>
      <c r="K46" s="23">
        <f>J46-G46</f>
        <v>0.16400000000000148</v>
      </c>
      <c r="L46" s="23">
        <f t="shared" si="58"/>
        <v>0.89254697147297579</v>
      </c>
      <c r="M46" s="23"/>
      <c r="N46" s="23">
        <f t="shared" si="59"/>
        <v>403.07732425531003</v>
      </c>
      <c r="AE46" t="s">
        <v>469</v>
      </c>
      <c r="AF46" t="s">
        <v>112</v>
      </c>
      <c r="AG46">
        <v>15.396000000000001</v>
      </c>
      <c r="AI46" t="s">
        <v>469</v>
      </c>
      <c r="AJ46" t="s">
        <v>458</v>
      </c>
      <c r="AK46">
        <v>21.594000000000001</v>
      </c>
      <c r="AL46">
        <f t="shared" ref="AL46" si="76">AK46-AH48</f>
        <v>6.1343333333333323</v>
      </c>
      <c r="AM46">
        <f t="shared" si="60"/>
        <v>1.4235792963361468E-2</v>
      </c>
      <c r="AN46">
        <f>AM46/0.000268857076805532</f>
        <v>52.949296081421032</v>
      </c>
      <c r="AP46" s="45" t="s">
        <v>465</v>
      </c>
      <c r="AQ46" s="45">
        <v>168.3367391924919</v>
      </c>
      <c r="AR46" s="102">
        <v>159.69842413380638</v>
      </c>
      <c r="AS46" s="102">
        <v>164.18815794715144</v>
      </c>
      <c r="AT46" s="102">
        <v>474.92183810513239</v>
      </c>
      <c r="AU46" s="90">
        <v>460.01793084957507</v>
      </c>
      <c r="AV46" s="90">
        <v>456.20747846313469</v>
      </c>
      <c r="AW46" s="101">
        <f t="shared" si="68"/>
        <v>164.07444042448324</v>
      </c>
      <c r="AX46" s="101">
        <f t="shared" si="69"/>
        <v>4.3202801436364746</v>
      </c>
      <c r="AY46" s="101">
        <f t="shared" si="70"/>
        <v>2.4943149039031138</v>
      </c>
      <c r="AZ46" s="101">
        <f t="shared" si="71"/>
        <v>463.71574913928072</v>
      </c>
      <c r="BA46" s="101">
        <f t="shared" si="72"/>
        <v>9.89000552478457</v>
      </c>
      <c r="BB46" s="101">
        <f t="shared" si="73"/>
        <v>5.7099973520212579</v>
      </c>
      <c r="BC46" s="94" t="s">
        <v>666</v>
      </c>
    </row>
    <row r="47" spans="4:55">
      <c r="D47" s="23" t="s">
        <v>469</v>
      </c>
      <c r="E47" s="24" t="s">
        <v>112</v>
      </c>
      <c r="F47" s="24">
        <v>14.891</v>
      </c>
      <c r="G47" s="23"/>
      <c r="H47" s="23" t="s">
        <v>469</v>
      </c>
      <c r="I47" s="24" t="s">
        <v>458</v>
      </c>
      <c r="J47" s="24">
        <v>15.984999999999999</v>
      </c>
      <c r="K47" s="23">
        <f>J47-G49</f>
        <v>0.90166666666666551</v>
      </c>
      <c r="L47" s="23">
        <f t="shared" si="58"/>
        <v>0.53526800809734676</v>
      </c>
      <c r="M47" s="23"/>
      <c r="N47" s="23">
        <f t="shared" si="59"/>
        <v>241.72889871250959</v>
      </c>
      <c r="AE47" t="s">
        <v>469</v>
      </c>
      <c r="AF47" t="s">
        <v>112</v>
      </c>
      <c r="AG47">
        <v>15.736000000000001</v>
      </c>
      <c r="AI47" t="s">
        <v>469</v>
      </c>
      <c r="AJ47" t="s">
        <v>458</v>
      </c>
      <c r="AK47">
        <v>21.832999999999998</v>
      </c>
      <c r="AL47">
        <f t="shared" ref="AL47" si="77">AK47-AH48</f>
        <v>6.3733333333333295</v>
      </c>
      <c r="AM47">
        <f t="shared" si="60"/>
        <v>1.2062449115033911E-2</v>
      </c>
      <c r="AN47">
        <f>AM47/0.000268857076805532</f>
        <v>44.865655977353519</v>
      </c>
    </row>
    <row r="48" spans="4:55">
      <c r="D48" s="23" t="s">
        <v>469</v>
      </c>
      <c r="E48" s="24" t="s">
        <v>112</v>
      </c>
      <c r="F48" s="24">
        <v>15.118</v>
      </c>
      <c r="G48" s="23"/>
      <c r="H48" s="23" t="s">
        <v>469</v>
      </c>
      <c r="I48" s="24" t="s">
        <v>458</v>
      </c>
      <c r="J48" s="24">
        <v>15.757999999999999</v>
      </c>
      <c r="K48" s="23">
        <f>J48-G49</f>
        <v>0.67466666666666519</v>
      </c>
      <c r="L48" s="23">
        <f t="shared" si="58"/>
        <v>0.62647694950194455</v>
      </c>
      <c r="M48" s="23"/>
      <c r="N48" s="23">
        <f t="shared" si="59"/>
        <v>282.91917465827004</v>
      </c>
      <c r="AE48" t="s">
        <v>469</v>
      </c>
      <c r="AF48" t="s">
        <v>112</v>
      </c>
      <c r="AG48">
        <v>15.247</v>
      </c>
      <c r="AH48">
        <f>AVERAGE(AG46:AG48)</f>
        <v>15.459666666666669</v>
      </c>
      <c r="AI48" t="s">
        <v>469</v>
      </c>
      <c r="AJ48" t="s">
        <v>458</v>
      </c>
      <c r="AK48">
        <v>20.513000000000002</v>
      </c>
      <c r="AL48">
        <f>AK48-AH48</f>
        <v>5.0533333333333328</v>
      </c>
      <c r="AM48">
        <f t="shared" si="60"/>
        <v>3.0115847449736017E-2</v>
      </c>
      <c r="AN48">
        <f>AM48/0.000268857076805532</f>
        <v>112.01433790608094</v>
      </c>
    </row>
    <row r="49" spans="4:40">
      <c r="D49" s="23" t="s">
        <v>469</v>
      </c>
      <c r="E49" s="24" t="s">
        <v>112</v>
      </c>
      <c r="F49" s="24">
        <v>15.241</v>
      </c>
      <c r="G49" s="23">
        <f>AVERAGE(F47:F49)</f>
        <v>15.083333333333334</v>
      </c>
      <c r="H49" s="23" t="s">
        <v>469</v>
      </c>
      <c r="I49" s="24" t="s">
        <v>458</v>
      </c>
      <c r="J49" s="24">
        <v>16.004000000000001</v>
      </c>
      <c r="K49" s="23">
        <f>J49-G49</f>
        <v>0.92066666666666741</v>
      </c>
      <c r="L49" s="23">
        <f t="shared" si="58"/>
        <v>0.52826485367462761</v>
      </c>
      <c r="M49" s="23"/>
      <c r="N49" s="23">
        <f t="shared" si="59"/>
        <v>238.56624975813818</v>
      </c>
      <c r="AE49" t="s">
        <v>468</v>
      </c>
      <c r="AF49" t="s">
        <v>112</v>
      </c>
      <c r="AG49">
        <v>15.523</v>
      </c>
      <c r="AI49" t="s">
        <v>468</v>
      </c>
      <c r="AJ49" t="s">
        <v>458</v>
      </c>
      <c r="AK49">
        <v>20.146000000000001</v>
      </c>
      <c r="AL49">
        <f t="shared" ref="AL49" si="78">AK49-AH51</f>
        <v>4.6783333333333346</v>
      </c>
      <c r="AM49">
        <f t="shared" si="60"/>
        <v>3.9055422194653341E-2</v>
      </c>
      <c r="AN49">
        <f>AM49/0.000184186343059541</f>
        <v>212.04298617312841</v>
      </c>
    </row>
    <row r="50" spans="4:40">
      <c r="D50" s="23" t="s">
        <v>470</v>
      </c>
      <c r="E50" s="24" t="s">
        <v>112</v>
      </c>
      <c r="F50" s="24">
        <v>16.832000000000001</v>
      </c>
      <c r="G50" s="23"/>
      <c r="H50" s="23" t="s">
        <v>470</v>
      </c>
      <c r="I50" s="24" t="s">
        <v>458</v>
      </c>
      <c r="J50" s="24">
        <v>16.536999999999999</v>
      </c>
      <c r="K50" s="23">
        <f>J50-G52</f>
        <v>-0.22133333333333383</v>
      </c>
      <c r="L50" s="23">
        <f t="shared" si="58"/>
        <v>1.1658105264458263</v>
      </c>
      <c r="M50" s="23"/>
      <c r="N50" s="23">
        <f t="shared" si="59"/>
        <v>526.4840984368135</v>
      </c>
      <c r="AE50" t="s">
        <v>468</v>
      </c>
      <c r="AF50" t="s">
        <v>112</v>
      </c>
      <c r="AG50">
        <v>15.452999999999999</v>
      </c>
      <c r="AI50" t="s">
        <v>468</v>
      </c>
      <c r="AJ50" t="s">
        <v>458</v>
      </c>
      <c r="AK50">
        <v>20.195</v>
      </c>
      <c r="AL50">
        <f t="shared" ref="AL50" si="79">AK50-AH51</f>
        <v>4.7273333333333341</v>
      </c>
      <c r="AM50">
        <f t="shared" si="60"/>
        <v>3.7751209216798608E-2</v>
      </c>
      <c r="AN50">
        <f t="shared" ref="AN50:AN51" si="80">AM50/0.000184186343059541</f>
        <v>204.96204327480979</v>
      </c>
    </row>
    <row r="51" spans="4:40">
      <c r="D51" s="23" t="s">
        <v>470</v>
      </c>
      <c r="E51" s="24" t="s">
        <v>112</v>
      </c>
      <c r="F51" s="24">
        <v>16.59</v>
      </c>
      <c r="G51" s="23"/>
      <c r="H51" s="23" t="s">
        <v>470</v>
      </c>
      <c r="I51" s="24" t="s">
        <v>458</v>
      </c>
      <c r="J51" s="24">
        <v>16.547999999999998</v>
      </c>
      <c r="K51" s="23">
        <f>J51-G52</f>
        <v>-0.21033333333333459</v>
      </c>
      <c r="L51" s="23">
        <f t="shared" si="58"/>
        <v>1.1569554664996158</v>
      </c>
      <c r="M51" s="23"/>
      <c r="N51" s="23">
        <f t="shared" si="59"/>
        <v>522.48512249121313</v>
      </c>
      <c r="AE51" t="s">
        <v>468</v>
      </c>
      <c r="AF51" t="s">
        <v>112</v>
      </c>
      <c r="AG51">
        <v>15.427</v>
      </c>
      <c r="AH51">
        <f t="shared" ref="AH51" si="81">AVERAGE(AG49:AG51)</f>
        <v>15.467666666666666</v>
      </c>
      <c r="AI51" t="s">
        <v>468</v>
      </c>
      <c r="AJ51" t="s">
        <v>458</v>
      </c>
      <c r="AK51">
        <v>20.234000000000002</v>
      </c>
      <c r="AL51">
        <f t="shared" ref="AL51" si="82">AK51-AH51</f>
        <v>4.7663333333333355</v>
      </c>
      <c r="AM51">
        <f t="shared" si="60"/>
        <v>3.6744360840703268E-2</v>
      </c>
      <c r="AN51">
        <f t="shared" si="80"/>
        <v>199.49557730686416</v>
      </c>
    </row>
    <row r="52" spans="4:40">
      <c r="D52" s="23" t="s">
        <v>470</v>
      </c>
      <c r="E52" s="24" t="s">
        <v>112</v>
      </c>
      <c r="F52" s="24">
        <v>16.853000000000002</v>
      </c>
      <c r="G52" s="23">
        <f>AVERAGE(F50:F52)</f>
        <v>16.758333333333333</v>
      </c>
      <c r="H52" s="23" t="s">
        <v>470</v>
      </c>
      <c r="I52" s="24" t="s">
        <v>458</v>
      </c>
      <c r="J52" s="24">
        <v>16.561</v>
      </c>
      <c r="K52" s="23">
        <f>J52-G52</f>
        <v>-0.19733333333333292</v>
      </c>
      <c r="L52" s="23">
        <f t="shared" si="58"/>
        <v>1.1465770706811018</v>
      </c>
      <c r="M52" s="23"/>
      <c r="N52" s="23">
        <f t="shared" si="59"/>
        <v>517.79820275444524</v>
      </c>
      <c r="AE52" t="s">
        <v>471</v>
      </c>
      <c r="AF52" t="s">
        <v>112</v>
      </c>
      <c r="AG52">
        <v>16.013999999999999</v>
      </c>
      <c r="AI52" t="s">
        <v>471</v>
      </c>
      <c r="AJ52" t="s">
        <v>458</v>
      </c>
      <c r="AK52">
        <v>23.366</v>
      </c>
      <c r="AL52">
        <f t="shared" ref="AL52" si="83">AK52-AH54</f>
        <v>7.2980000000000018</v>
      </c>
      <c r="AM52">
        <f t="shared" si="60"/>
        <v>6.3545249854072266E-3</v>
      </c>
      <c r="AN52">
        <f>AM52/0.000268857076805532</f>
        <v>23.635327218868564</v>
      </c>
    </row>
    <row r="53" spans="4:40">
      <c r="D53" s="23" t="s">
        <v>471</v>
      </c>
      <c r="E53" s="24" t="s">
        <v>112</v>
      </c>
      <c r="F53" s="24">
        <v>15.298</v>
      </c>
      <c r="G53" s="23"/>
      <c r="H53" s="23" t="s">
        <v>471</v>
      </c>
      <c r="I53" s="24" t="s">
        <v>458</v>
      </c>
      <c r="J53" s="24">
        <v>16.257000000000001</v>
      </c>
      <c r="K53" s="23">
        <f>J53-G55</f>
        <v>0.79466666666666796</v>
      </c>
      <c r="L53" s="23">
        <f t="shared" si="58"/>
        <v>0.57647635233283179</v>
      </c>
      <c r="M53" s="23"/>
      <c r="N53" s="23">
        <f t="shared" si="59"/>
        <v>260.33873064552171</v>
      </c>
      <c r="AE53" t="s">
        <v>471</v>
      </c>
      <c r="AF53" t="s">
        <v>112</v>
      </c>
      <c r="AG53">
        <v>16.100999999999999</v>
      </c>
      <c r="AI53" t="s">
        <v>471</v>
      </c>
      <c r="AJ53" t="s">
        <v>458</v>
      </c>
      <c r="AK53">
        <v>23.337</v>
      </c>
      <c r="AL53">
        <f t="shared" ref="AL53" si="84">AK53-AH54</f>
        <v>7.2690000000000019</v>
      </c>
      <c r="AM53">
        <f t="shared" si="60"/>
        <v>6.4835514499217289E-3</v>
      </c>
      <c r="AN53">
        <f t="shared" ref="AN53:AN54" si="85">AM53/0.000268857076805532</f>
        <v>24.115234484273483</v>
      </c>
    </row>
    <row r="54" spans="4:40">
      <c r="D54" s="23" t="s">
        <v>471</v>
      </c>
      <c r="E54" s="24" t="s">
        <v>112</v>
      </c>
      <c r="F54" s="24">
        <v>15.561</v>
      </c>
      <c r="G54" s="23"/>
      <c r="H54" s="23" t="s">
        <v>471</v>
      </c>
      <c r="I54" s="24" t="s">
        <v>458</v>
      </c>
      <c r="J54" s="24">
        <v>16.22</v>
      </c>
      <c r="K54" s="23">
        <f>J54-G55</f>
        <v>0.75766666666666538</v>
      </c>
      <c r="L54" s="23">
        <f t="shared" si="58"/>
        <v>0.59145213879715974</v>
      </c>
      <c r="M54" s="23"/>
      <c r="N54" s="23">
        <f t="shared" si="59"/>
        <v>267.10184802711819</v>
      </c>
      <c r="AE54" t="s">
        <v>471</v>
      </c>
      <c r="AF54" t="s">
        <v>112</v>
      </c>
      <c r="AG54">
        <v>16.088999999999999</v>
      </c>
      <c r="AH54">
        <f t="shared" ref="AH54" si="86">AVERAGE(AG52:AG54)</f>
        <v>16.067999999999998</v>
      </c>
      <c r="AI54" t="s">
        <v>471</v>
      </c>
      <c r="AJ54" t="s">
        <v>458</v>
      </c>
      <c r="AK54">
        <v>23.056999999999999</v>
      </c>
      <c r="AL54">
        <f t="shared" ref="AL54" si="87">AK54-AH54</f>
        <v>6.9890000000000008</v>
      </c>
      <c r="AM54">
        <f t="shared" si="60"/>
        <v>7.8722950032070627E-3</v>
      </c>
      <c r="AN54">
        <f t="shared" si="85"/>
        <v>29.280594346791926</v>
      </c>
    </row>
    <row r="55" spans="4:40">
      <c r="D55" s="23" t="s">
        <v>471</v>
      </c>
      <c r="E55" s="24" t="s">
        <v>112</v>
      </c>
      <c r="F55" s="24">
        <v>15.528</v>
      </c>
      <c r="G55" s="23">
        <f>AVERAGE(F53:F55)</f>
        <v>15.462333333333333</v>
      </c>
      <c r="H55" s="23" t="s">
        <v>471</v>
      </c>
      <c r="I55" s="24" t="s">
        <v>458</v>
      </c>
      <c r="J55" s="24">
        <v>16.148</v>
      </c>
      <c r="K55" s="23">
        <f>J55-G55</f>
        <v>0.6856666666666662</v>
      </c>
      <c r="L55" s="23">
        <f t="shared" si="58"/>
        <v>0.62171846532555608</v>
      </c>
      <c r="M55" s="23"/>
      <c r="N55" s="23">
        <f t="shared" si="59"/>
        <v>280.77022661336821</v>
      </c>
      <c r="AE55" t="s">
        <v>470</v>
      </c>
      <c r="AF55" t="s">
        <v>112</v>
      </c>
      <c r="AG55">
        <v>15.978</v>
      </c>
      <c r="AI55" t="s">
        <v>470</v>
      </c>
      <c r="AJ55" t="s">
        <v>458</v>
      </c>
      <c r="AK55">
        <v>20.167999999999999</v>
      </c>
      <c r="AL55">
        <f t="shared" ref="AL55" si="88">AK55-AH57</f>
        <v>4.1823333333333341</v>
      </c>
      <c r="AM55">
        <f t="shared" si="60"/>
        <v>5.5079782266976379E-2</v>
      </c>
      <c r="AN55">
        <f>AM55/0.000184186343059541</f>
        <v>299.04379093498267</v>
      </c>
    </row>
    <row r="56" spans="4:40">
      <c r="D56" s="23" t="s">
        <v>472</v>
      </c>
      <c r="E56" s="24" t="s">
        <v>112</v>
      </c>
      <c r="F56" s="24">
        <v>21.937999999999999</v>
      </c>
      <c r="G56" s="23"/>
      <c r="H56" s="23" t="s">
        <v>472</v>
      </c>
      <c r="I56" s="24" t="s">
        <v>458</v>
      </c>
      <c r="J56" s="24">
        <v>20.024999999999999</v>
      </c>
      <c r="K56" s="23">
        <f>J56-G58</f>
        <v>-1.8320000000000007</v>
      </c>
      <c r="L56" s="23">
        <f t="shared" si="58"/>
        <v>3.5603029330099871</v>
      </c>
      <c r="M56" s="23"/>
      <c r="N56" s="23">
        <f t="shared" si="59"/>
        <v>1607.845217835069</v>
      </c>
      <c r="AE56" t="s">
        <v>470</v>
      </c>
      <c r="AF56" t="s">
        <v>112</v>
      </c>
      <c r="AG56">
        <v>16.081</v>
      </c>
      <c r="AI56" t="s">
        <v>470</v>
      </c>
      <c r="AJ56" t="s">
        <v>458</v>
      </c>
      <c r="AK56">
        <v>20.242999999999999</v>
      </c>
      <c r="AL56">
        <f t="shared" ref="AL56" si="89">AK56-AH57</f>
        <v>4.2573333333333334</v>
      </c>
      <c r="AM56">
        <f t="shared" si="60"/>
        <v>5.228955731882419E-2</v>
      </c>
      <c r="AN56">
        <f t="shared" ref="AN56:AN57" si="90">AM56/0.000184186343059541</f>
        <v>283.89486674330033</v>
      </c>
    </row>
    <row r="57" spans="4:40">
      <c r="D57" s="23" t="s">
        <v>472</v>
      </c>
      <c r="E57" s="24" t="s">
        <v>112</v>
      </c>
      <c r="F57" s="24" t="s">
        <v>115</v>
      </c>
      <c r="G57" s="23"/>
      <c r="H57" s="23" t="s">
        <v>472</v>
      </c>
      <c r="I57" s="24" t="s">
        <v>458</v>
      </c>
      <c r="J57" s="24">
        <v>20.010000000000002</v>
      </c>
      <c r="K57" s="23">
        <f>J57-G58</f>
        <v>-1.8469999999999978</v>
      </c>
      <c r="L57" s="23">
        <f t="shared" si="58"/>
        <v>3.5975132485910017</v>
      </c>
      <c r="M57" s="23"/>
      <c r="N57" s="23">
        <f t="shared" si="59"/>
        <v>1624.649526088268</v>
      </c>
      <c r="AE57" t="s">
        <v>470</v>
      </c>
      <c r="AF57" t="s">
        <v>112</v>
      </c>
      <c r="AG57">
        <v>15.898</v>
      </c>
      <c r="AH57">
        <f t="shared" ref="AH57" si="91">AVERAGE(AG55:AG57)</f>
        <v>15.985666666666665</v>
      </c>
      <c r="AI57" t="s">
        <v>470</v>
      </c>
      <c r="AJ57" t="s">
        <v>458</v>
      </c>
      <c r="AK57">
        <v>20.081</v>
      </c>
      <c r="AL57">
        <f t="shared" ref="AL57" si="92">AK57-AH57</f>
        <v>4.0953333333333344</v>
      </c>
      <c r="AM57">
        <f t="shared" si="60"/>
        <v>5.8503496725033889E-2</v>
      </c>
      <c r="AN57">
        <f t="shared" si="90"/>
        <v>317.63210970599351</v>
      </c>
    </row>
    <row r="58" spans="4:40">
      <c r="D58" s="23" t="s">
        <v>472</v>
      </c>
      <c r="E58" s="24" t="s">
        <v>112</v>
      </c>
      <c r="F58" s="24">
        <v>21.776</v>
      </c>
      <c r="G58" s="23">
        <f>AVERAGE(F56:F58)</f>
        <v>21.856999999999999</v>
      </c>
      <c r="H58" s="23" t="s">
        <v>472</v>
      </c>
      <c r="I58" s="24" t="s">
        <v>458</v>
      </c>
      <c r="J58" s="24">
        <v>19.931999999999999</v>
      </c>
      <c r="K58" s="23">
        <f>J58-G58</f>
        <v>-1.9250000000000007</v>
      </c>
      <c r="L58" s="23">
        <f t="shared" si="58"/>
        <v>3.7973684838020785</v>
      </c>
      <c r="M58" s="23"/>
      <c r="N58" s="23">
        <f t="shared" si="59"/>
        <v>1714.9048471212357</v>
      </c>
      <c r="AE58" t="s">
        <v>473</v>
      </c>
      <c r="AF58" t="s">
        <v>112</v>
      </c>
      <c r="AG58">
        <v>14.862</v>
      </c>
      <c r="AI58" t="s">
        <v>473</v>
      </c>
      <c r="AJ58" t="s">
        <v>458</v>
      </c>
      <c r="AK58">
        <v>21.776</v>
      </c>
      <c r="AL58">
        <f t="shared" ref="AL58" si="93">AK58-AH60</f>
        <v>7.2893333333333334</v>
      </c>
      <c r="AM58">
        <f t="shared" si="60"/>
        <v>6.3928132570341169E-3</v>
      </c>
      <c r="AN58">
        <f>AM58/0.000268857076805532</f>
        <v>23.777738466070307</v>
      </c>
    </row>
    <row r="59" spans="4:40">
      <c r="D59" s="23" t="s">
        <v>473</v>
      </c>
      <c r="E59" s="24" t="s">
        <v>112</v>
      </c>
      <c r="F59" s="24">
        <v>15.188000000000001</v>
      </c>
      <c r="G59" s="23"/>
      <c r="H59" s="23" t="s">
        <v>473</v>
      </c>
      <c r="I59" s="24" t="s">
        <v>458</v>
      </c>
      <c r="J59" s="24">
        <v>16.109000000000002</v>
      </c>
      <c r="K59" s="23">
        <f>J59-G61</f>
        <v>1.0966666666666693</v>
      </c>
      <c r="L59" s="23">
        <f t="shared" si="58"/>
        <v>0.46759562392515852</v>
      </c>
      <c r="M59" s="23"/>
      <c r="N59" s="23">
        <f t="shared" si="59"/>
        <v>211.1678140750397</v>
      </c>
      <c r="AE59" t="s">
        <v>473</v>
      </c>
      <c r="AF59" t="s">
        <v>112</v>
      </c>
      <c r="AG59">
        <v>14.339</v>
      </c>
      <c r="AI59" t="s">
        <v>473</v>
      </c>
      <c r="AJ59" t="s">
        <v>458</v>
      </c>
      <c r="AK59">
        <v>21.817</v>
      </c>
      <c r="AL59">
        <f t="shared" ref="AL59" si="94">AK59-AH60</f>
        <v>7.3303333333333338</v>
      </c>
      <c r="AM59">
        <f t="shared" si="60"/>
        <v>6.2136929455523064E-3</v>
      </c>
      <c r="AN59">
        <f t="shared" ref="AN59:AN60" si="95">AM59/0.000268857076805532</f>
        <v>23.111509726213217</v>
      </c>
    </row>
    <row r="60" spans="4:40">
      <c r="D60" s="23" t="s">
        <v>473</v>
      </c>
      <c r="E60" s="24" t="s">
        <v>112</v>
      </c>
      <c r="F60" s="24">
        <v>14.882</v>
      </c>
      <c r="G60" s="23"/>
      <c r="H60" s="23" t="s">
        <v>473</v>
      </c>
      <c r="I60" s="24" t="s">
        <v>458</v>
      </c>
      <c r="J60" s="24">
        <v>16.416</v>
      </c>
      <c r="K60" s="23">
        <f>J60-G61</f>
        <v>1.403666666666668</v>
      </c>
      <c r="L60" s="23">
        <f t="shared" si="58"/>
        <v>0.37796730098086567</v>
      </c>
      <c r="M60" s="23"/>
      <c r="N60" s="23">
        <f t="shared" si="59"/>
        <v>170.69135093690869</v>
      </c>
      <c r="AE60" t="s">
        <v>473</v>
      </c>
      <c r="AF60" t="s">
        <v>112</v>
      </c>
      <c r="AG60">
        <v>14.259</v>
      </c>
      <c r="AH60">
        <f t="shared" ref="AH60" si="96">AVERAGE(AG58:AG60)</f>
        <v>14.486666666666666</v>
      </c>
      <c r="AI60" t="s">
        <v>473</v>
      </c>
      <c r="AJ60" t="s">
        <v>458</v>
      </c>
      <c r="AK60">
        <v>21.663</v>
      </c>
      <c r="AL60">
        <f t="shared" ref="AL60" si="97">AK60-AH60</f>
        <v>7.1763333333333339</v>
      </c>
      <c r="AM60">
        <f t="shared" si="60"/>
        <v>6.9136662051459043E-3</v>
      </c>
      <c r="AN60">
        <f t="shared" si="95"/>
        <v>25.715024083768693</v>
      </c>
    </row>
    <row r="61" spans="4:40">
      <c r="D61" s="23" t="s">
        <v>473</v>
      </c>
      <c r="E61" s="24" t="s">
        <v>112</v>
      </c>
      <c r="F61" s="24">
        <v>14.967000000000001</v>
      </c>
      <c r="G61" s="23">
        <f>AVERAGE(F59:F61)</f>
        <v>15.012333333333332</v>
      </c>
      <c r="H61" s="23" t="s">
        <v>473</v>
      </c>
      <c r="I61" s="24" t="s">
        <v>458</v>
      </c>
      <c r="J61" s="24">
        <v>16.443999999999999</v>
      </c>
      <c r="K61" s="23">
        <f>J61-G61</f>
        <v>1.4316666666666666</v>
      </c>
      <c r="L61" s="23">
        <f t="shared" si="58"/>
        <v>0.37070239299625474</v>
      </c>
      <c r="M61" s="23"/>
      <c r="N61" s="23">
        <f t="shared" si="59"/>
        <v>167.41049316136173</v>
      </c>
      <c r="AE61" t="s">
        <v>472</v>
      </c>
      <c r="AF61" t="s">
        <v>112</v>
      </c>
      <c r="AG61">
        <v>15.416</v>
      </c>
      <c r="AI61" t="s">
        <v>472</v>
      </c>
      <c r="AJ61" t="s">
        <v>458</v>
      </c>
      <c r="AK61">
        <v>18.492000000000001</v>
      </c>
      <c r="AL61">
        <f t="shared" ref="AL61" si="98">AK61-AH63</f>
        <v>3.354000000000001</v>
      </c>
      <c r="AM61">
        <f t="shared" si="60"/>
        <v>9.7801472717063853E-2</v>
      </c>
      <c r="AN61">
        <f>AM61/0.000184186343059541</f>
        <v>530.9919893759336</v>
      </c>
    </row>
    <row r="62" spans="4:40">
      <c r="D62" s="23" t="s">
        <v>474</v>
      </c>
      <c r="E62" s="24" t="s">
        <v>112</v>
      </c>
      <c r="F62" s="24">
        <v>15.775</v>
      </c>
      <c r="G62" s="23"/>
      <c r="H62" s="23" t="s">
        <v>474</v>
      </c>
      <c r="I62" s="24" t="s">
        <v>458</v>
      </c>
      <c r="J62" s="24">
        <v>15.859</v>
      </c>
      <c r="K62" s="23">
        <f>J62-G64</f>
        <v>-7.6333333333332476E-2</v>
      </c>
      <c r="L62" s="23">
        <f t="shared" si="58"/>
        <v>1.0543349982612398</v>
      </c>
      <c r="M62" s="23"/>
      <c r="N62" s="23">
        <f t="shared" si="59"/>
        <v>476.14136124009559</v>
      </c>
      <c r="AE62" t="s">
        <v>472</v>
      </c>
      <c r="AF62" t="s">
        <v>112</v>
      </c>
      <c r="AG62">
        <v>14.896000000000001</v>
      </c>
      <c r="AI62" t="s">
        <v>472</v>
      </c>
      <c r="AJ62" t="s">
        <v>458</v>
      </c>
      <c r="AK62">
        <v>17.702000000000002</v>
      </c>
      <c r="AL62">
        <f t="shared" ref="AL62" si="99">AK62-AH63</f>
        <v>2.5640000000000018</v>
      </c>
      <c r="AM62">
        <f t="shared" si="60"/>
        <v>0.16910602888128409</v>
      </c>
      <c r="AN62">
        <f t="shared" ref="AN62:AN63" si="100">AM62/0.000184186343059541</f>
        <v>918.12468868344934</v>
      </c>
    </row>
    <row r="63" spans="4:40">
      <c r="D63" s="23" t="s">
        <v>474</v>
      </c>
      <c r="E63" s="24" t="s">
        <v>112</v>
      </c>
      <c r="F63" s="24">
        <v>16.02</v>
      </c>
      <c r="G63" s="23"/>
      <c r="H63" s="23" t="s">
        <v>474</v>
      </c>
      <c r="I63" s="24" t="s">
        <v>458</v>
      </c>
      <c r="J63" s="24">
        <v>16.015000000000001</v>
      </c>
      <c r="K63" s="23">
        <f>J63-G64</f>
        <v>7.9666666666668107E-2</v>
      </c>
      <c r="L63" s="23">
        <f t="shared" si="58"/>
        <v>0.94627625770971191</v>
      </c>
      <c r="M63" s="23"/>
      <c r="N63" s="23">
        <f t="shared" si="59"/>
        <v>427.34165725137689</v>
      </c>
      <c r="AE63" t="s">
        <v>472</v>
      </c>
      <c r="AF63" t="s">
        <v>112</v>
      </c>
      <c r="AG63">
        <v>15.102</v>
      </c>
      <c r="AH63">
        <f t="shared" ref="AH63" si="101">AVERAGE(AG61:AG63)</f>
        <v>15.138</v>
      </c>
      <c r="AI63" t="s">
        <v>472</v>
      </c>
      <c r="AJ63" t="s">
        <v>458</v>
      </c>
      <c r="AK63">
        <v>18.166</v>
      </c>
      <c r="AL63">
        <f t="shared" ref="AL63" si="102">AK63-AH63</f>
        <v>3.0280000000000005</v>
      </c>
      <c r="AM63">
        <f t="shared" si="60"/>
        <v>0.12259737549856892</v>
      </c>
      <c r="AN63">
        <f t="shared" si="100"/>
        <v>665.61599227222541</v>
      </c>
    </row>
    <row r="64" spans="4:40">
      <c r="D64" s="23" t="s">
        <v>474</v>
      </c>
      <c r="E64" s="24" t="s">
        <v>112</v>
      </c>
      <c r="F64" s="24">
        <v>16.010999999999999</v>
      </c>
      <c r="G64" s="23">
        <f>AVERAGE(F62:F64)</f>
        <v>15.935333333333332</v>
      </c>
      <c r="H64" s="23" t="s">
        <v>474</v>
      </c>
      <c r="I64" s="24" t="s">
        <v>458</v>
      </c>
      <c r="J64" s="24">
        <v>16.053000000000001</v>
      </c>
      <c r="K64" s="23">
        <f>J64-G64</f>
        <v>0.11766666666666836</v>
      </c>
      <c r="L64" s="23">
        <f t="shared" si="58"/>
        <v>0.92167711423038334</v>
      </c>
      <c r="M64" s="23"/>
      <c r="N64" s="23">
        <f t="shared" si="59"/>
        <v>416.23259828918373</v>
      </c>
      <c r="AE64" t="s">
        <v>475</v>
      </c>
      <c r="AF64" t="s">
        <v>112</v>
      </c>
      <c r="AG64">
        <v>15.082000000000001</v>
      </c>
      <c r="AI64" t="s">
        <v>475</v>
      </c>
      <c r="AJ64" t="s">
        <v>458</v>
      </c>
      <c r="AK64">
        <v>19.533000000000001</v>
      </c>
      <c r="AL64">
        <f t="shared" ref="AL64" si="103">AK64-AH66</f>
        <v>4.4656666666666691</v>
      </c>
      <c r="AM64">
        <f t="shared" si="60"/>
        <v>4.5258523618268605E-2</v>
      </c>
      <c r="AN64">
        <f>AM64/0.000268857076805532</f>
        <v>168.3367391924919</v>
      </c>
    </row>
    <row r="65" spans="4:40">
      <c r="D65" s="23" t="s">
        <v>475</v>
      </c>
      <c r="E65" s="24" t="s">
        <v>112</v>
      </c>
      <c r="F65" s="24">
        <v>15.148</v>
      </c>
      <c r="G65" s="23"/>
      <c r="H65" s="23" t="s">
        <v>475</v>
      </c>
      <c r="I65" s="24" t="s">
        <v>458</v>
      </c>
      <c r="J65" s="24">
        <v>16.125</v>
      </c>
      <c r="K65" s="23">
        <f>J65-G67</f>
        <v>1.0783333333333331</v>
      </c>
      <c r="L65" s="23">
        <f t="shared" si="58"/>
        <v>0.47357560345995214</v>
      </c>
      <c r="M65" s="23"/>
      <c r="N65" s="23">
        <f t="shared" si="59"/>
        <v>213.86839368264091</v>
      </c>
      <c r="AE65" t="s">
        <v>475</v>
      </c>
      <c r="AF65" t="s">
        <v>112</v>
      </c>
      <c r="AG65">
        <v>15.087</v>
      </c>
      <c r="AI65" t="s">
        <v>475</v>
      </c>
      <c r="AJ65" t="s">
        <v>458</v>
      </c>
      <c r="AK65">
        <v>19.609000000000002</v>
      </c>
      <c r="AL65">
        <f t="shared" ref="AL65" si="104">AK65-AH66</f>
        <v>4.5416666666666696</v>
      </c>
      <c r="AM65">
        <f t="shared" si="60"/>
        <v>4.2936051483065209E-2</v>
      </c>
      <c r="AN65">
        <f t="shared" ref="AN65:AN66" si="105">AM65/0.000268857076805532</f>
        <v>159.69842413380638</v>
      </c>
    </row>
    <row r="66" spans="4:40">
      <c r="D66" s="23" t="s">
        <v>475</v>
      </c>
      <c r="E66" s="24" t="s">
        <v>112</v>
      </c>
      <c r="F66" s="24">
        <v>14.975</v>
      </c>
      <c r="G66" s="23"/>
      <c r="H66" s="23" t="s">
        <v>475</v>
      </c>
      <c r="I66" s="24" t="s">
        <v>458</v>
      </c>
      <c r="J66" s="24">
        <v>16.478000000000002</v>
      </c>
      <c r="K66" s="23">
        <f>J66-G67</f>
        <v>1.4313333333333347</v>
      </c>
      <c r="L66" s="23">
        <f t="shared" si="58"/>
        <v>0.37078805333125403</v>
      </c>
      <c r="M66" s="23"/>
      <c r="N66" s="23">
        <f t="shared" si="59"/>
        <v>167.44917766730919</v>
      </c>
      <c r="AE66" t="s">
        <v>475</v>
      </c>
      <c r="AF66" t="s">
        <v>112</v>
      </c>
      <c r="AG66">
        <v>15.032999999999999</v>
      </c>
      <c r="AH66">
        <f t="shared" ref="AH66" si="106">AVERAGE(AG64:AG66)</f>
        <v>15.067333333333332</v>
      </c>
      <c r="AI66" t="s">
        <v>475</v>
      </c>
      <c r="AJ66" t="s">
        <v>458</v>
      </c>
      <c r="AK66">
        <v>19.568999999999999</v>
      </c>
      <c r="AL66">
        <f t="shared" ref="AL66" si="107">AK66-AH66</f>
        <v>4.5016666666666669</v>
      </c>
      <c r="AM66">
        <f t="shared" si="60"/>
        <v>4.4143148191756111E-2</v>
      </c>
      <c r="AN66">
        <f t="shared" si="105"/>
        <v>164.18815794715144</v>
      </c>
    </row>
    <row r="67" spans="4:40">
      <c r="D67" s="23" t="s">
        <v>475</v>
      </c>
      <c r="E67" s="24" t="s">
        <v>112</v>
      </c>
      <c r="F67" s="24">
        <v>15.016999999999999</v>
      </c>
      <c r="G67" s="23">
        <f>AVERAGE(F65:F67)</f>
        <v>15.046666666666667</v>
      </c>
      <c r="H67" s="23" t="s">
        <v>475</v>
      </c>
      <c r="I67" s="24" t="s">
        <v>458</v>
      </c>
      <c r="J67" s="24">
        <v>16.291</v>
      </c>
      <c r="K67" s="23">
        <f>J67-G67</f>
        <v>1.2443333333333335</v>
      </c>
      <c r="L67" s="23">
        <f t="shared" si="58"/>
        <v>0.42210290596459721</v>
      </c>
      <c r="M67" s="23"/>
      <c r="N67" s="23">
        <f t="shared" si="59"/>
        <v>190.62314402996327</v>
      </c>
      <c r="AE67" t="s">
        <v>474</v>
      </c>
      <c r="AF67" t="s">
        <v>112</v>
      </c>
      <c r="AG67">
        <v>14.817</v>
      </c>
      <c r="AI67" t="s">
        <v>474</v>
      </c>
      <c r="AJ67" t="s">
        <v>458</v>
      </c>
      <c r="AK67">
        <v>19.03</v>
      </c>
      <c r="AL67">
        <f t="shared" ref="AL67" si="108">AK67-AH69</f>
        <v>3.5150000000000006</v>
      </c>
      <c r="AM67">
        <f t="shared" si="60"/>
        <v>8.7474116599699711E-2</v>
      </c>
      <c r="AN67">
        <f>AM67/0.000184186343059541</f>
        <v>474.92183810513239</v>
      </c>
    </row>
    <row r="68" spans="4:40">
      <c r="AE68" t="s">
        <v>474</v>
      </c>
      <c r="AF68" t="s">
        <v>112</v>
      </c>
      <c r="AG68">
        <v>15.657</v>
      </c>
      <c r="AI68" t="s">
        <v>474</v>
      </c>
      <c r="AJ68" t="s">
        <v>458</v>
      </c>
      <c r="AK68">
        <v>19.076000000000001</v>
      </c>
      <c r="AL68">
        <f t="shared" ref="AL68" si="109">AK68-AH69</f>
        <v>3.5609999999999999</v>
      </c>
      <c r="AM68">
        <f t="shared" si="60"/>
        <v>8.4729020425000051E-2</v>
      </c>
      <c r="AN68">
        <f t="shared" ref="AN68:AN69" si="110">AM68/0.000184186343059541</f>
        <v>460.01793084957507</v>
      </c>
    </row>
    <row r="69" spans="4:40">
      <c r="AE69" t="s">
        <v>474</v>
      </c>
      <c r="AF69" t="s">
        <v>112</v>
      </c>
      <c r="AG69">
        <v>16.071000000000002</v>
      </c>
      <c r="AH69">
        <f t="shared" ref="AH69" si="111">AVERAGE(AG67:AG69)</f>
        <v>15.515000000000001</v>
      </c>
      <c r="AI69" t="s">
        <v>474</v>
      </c>
      <c r="AJ69" t="s">
        <v>458</v>
      </c>
      <c r="AK69">
        <v>19.088000000000001</v>
      </c>
      <c r="AL69">
        <f t="shared" ref="AL69" si="112">AK69-AH69</f>
        <v>3.5730000000000004</v>
      </c>
      <c r="AM69">
        <f t="shared" si="60"/>
        <v>8.4027187134539091E-2</v>
      </c>
      <c r="AN69">
        <f t="shared" si="110"/>
        <v>456.20747846313469</v>
      </c>
    </row>
    <row r="73" spans="4:40">
      <c r="D73" s="52"/>
      <c r="E73" s="52"/>
      <c r="F73" s="52"/>
      <c r="G73" s="52"/>
      <c r="H73" s="52"/>
      <c r="I73" s="52"/>
      <c r="J73" s="52"/>
      <c r="K73" s="52"/>
      <c r="L73" s="52"/>
      <c r="M73" s="52"/>
      <c r="N73" s="52"/>
    </row>
    <row r="74" spans="4:40">
      <c r="D74" s="52"/>
      <c r="E74" s="52"/>
      <c r="F74" s="52"/>
      <c r="G74" s="52"/>
      <c r="H74" s="52"/>
      <c r="I74" s="52"/>
      <c r="J74" s="52"/>
      <c r="K74" s="52"/>
      <c r="L74" s="52"/>
      <c r="M74" s="52"/>
      <c r="N74" s="52"/>
    </row>
    <row r="75" spans="4:40">
      <c r="D75" s="52"/>
      <c r="E75" s="52"/>
      <c r="F75" s="52"/>
      <c r="G75" s="52"/>
      <c r="H75" s="52"/>
      <c r="I75" s="52"/>
      <c r="J75" s="52"/>
      <c r="K75" s="52"/>
      <c r="L75" s="52"/>
      <c r="M75" s="52"/>
      <c r="N75" s="52"/>
    </row>
  </sheetData>
  <phoneticPr fontId="2" type="noConversion"/>
  <pageMargins left="0.7" right="0.7" top="0.75" bottom="0.75" header="0.3" footer="0.3"/>
  <pageSetup paperSize="9" orientation="portrait" horizontalDpi="0" verticalDpi="0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76F2BC-7024-B348-A679-625D92AF1C5F}">
  <dimension ref="A1:AT65"/>
  <sheetViews>
    <sheetView topLeftCell="W4" zoomScale="59" workbookViewId="0">
      <selection activeCell="AF58" sqref="AF58"/>
    </sheetView>
  </sheetViews>
  <sheetFormatPr baseColWidth="10" defaultRowHeight="16"/>
  <sheetData>
    <row r="1" spans="1:46">
      <c r="A1" t="s">
        <v>344</v>
      </c>
    </row>
    <row r="6" spans="1:46">
      <c r="B6" s="26" t="s">
        <v>485</v>
      </c>
      <c r="Y6" t="s">
        <v>480</v>
      </c>
      <c r="AF6" t="s">
        <v>702</v>
      </c>
    </row>
    <row r="7" spans="1:46">
      <c r="B7" t="s">
        <v>442</v>
      </c>
      <c r="D7" t="s">
        <v>107</v>
      </c>
      <c r="G7" t="s">
        <v>108</v>
      </c>
      <c r="I7">
        <v>0.6</v>
      </c>
      <c r="K7">
        <v>-0.151</v>
      </c>
      <c r="R7" t="s">
        <v>481</v>
      </c>
      <c r="X7" t="s">
        <v>482</v>
      </c>
      <c r="Y7" t="s">
        <v>483</v>
      </c>
      <c r="AB7" t="s">
        <v>484</v>
      </c>
      <c r="AF7" s="111" t="s">
        <v>485</v>
      </c>
      <c r="AG7" s="90"/>
      <c r="AH7" s="90"/>
      <c r="AI7" s="90"/>
      <c r="AJ7" s="90"/>
      <c r="AK7" s="90"/>
      <c r="AL7" s="90"/>
      <c r="AM7" s="90"/>
      <c r="AN7" s="90"/>
      <c r="AO7" s="90"/>
      <c r="AP7" s="90"/>
      <c r="AQ7" s="90"/>
      <c r="AR7" s="90"/>
      <c r="AS7" s="90"/>
      <c r="AT7" s="90"/>
    </row>
    <row r="8" spans="1:46">
      <c r="C8" s="27" t="s">
        <v>486</v>
      </c>
      <c r="D8" s="28">
        <v>0.24399999999999999</v>
      </c>
      <c r="E8" s="28">
        <v>0.23400000000000001</v>
      </c>
      <c r="F8" s="28">
        <v>0.23200000000000001</v>
      </c>
      <c r="G8" s="28">
        <v>0.35799999999999998</v>
      </c>
      <c r="H8" s="28">
        <v>0.35699999999999998</v>
      </c>
      <c r="I8" s="28">
        <v>0.33700000000000002</v>
      </c>
      <c r="K8" s="28">
        <f>D8-0.151</f>
        <v>9.2999999999999999E-2</v>
      </c>
      <c r="L8" s="28">
        <f t="shared" ref="L8:P8" si="0">E8-0.151</f>
        <v>8.3000000000000018E-2</v>
      </c>
      <c r="M8" s="28">
        <f t="shared" si="0"/>
        <v>8.1000000000000016E-2</v>
      </c>
      <c r="N8" s="28">
        <f t="shared" si="0"/>
        <v>0.20699999999999999</v>
      </c>
      <c r="O8" s="28">
        <f t="shared" si="0"/>
        <v>0.20599999999999999</v>
      </c>
      <c r="P8" s="28">
        <f t="shared" si="0"/>
        <v>0.18600000000000003</v>
      </c>
      <c r="Q8" t="s">
        <v>486</v>
      </c>
      <c r="R8" s="29">
        <f>K8*222.98-16.155</f>
        <v>4.582139999999999</v>
      </c>
      <c r="S8" s="29">
        <f t="shared" ref="S8:W8" si="1">L8*222.98-16.155</f>
        <v>2.3523400000000017</v>
      </c>
      <c r="T8" s="29">
        <f t="shared" si="1"/>
        <v>1.9063800000000022</v>
      </c>
      <c r="U8" s="29">
        <f t="shared" si="1"/>
        <v>30.001859999999994</v>
      </c>
      <c r="V8" s="29">
        <f t="shared" si="1"/>
        <v>29.778879999999994</v>
      </c>
      <c r="W8" s="29">
        <f t="shared" si="1"/>
        <v>25.319280000000006</v>
      </c>
      <c r="X8" t="s">
        <v>486</v>
      </c>
      <c r="Y8" s="30">
        <f>R8*5</f>
        <v>22.910699999999995</v>
      </c>
      <c r="Z8" s="30">
        <f t="shared" ref="Z8:AD8" si="2">S8*5</f>
        <v>11.761700000000008</v>
      </c>
      <c r="AA8" s="30">
        <f t="shared" si="2"/>
        <v>9.5319000000000109</v>
      </c>
      <c r="AB8" s="30">
        <f t="shared" si="2"/>
        <v>150.00929999999997</v>
      </c>
      <c r="AC8" s="30">
        <f t="shared" si="2"/>
        <v>148.89439999999996</v>
      </c>
      <c r="AD8" s="30">
        <f t="shared" si="2"/>
        <v>126.59640000000003</v>
      </c>
      <c r="AF8" s="90" t="s">
        <v>442</v>
      </c>
      <c r="AG8" s="90"/>
      <c r="AH8" s="90" t="s">
        <v>24</v>
      </c>
      <c r="AI8" s="90"/>
      <c r="AJ8" s="90"/>
      <c r="AK8" s="90" t="s">
        <v>479</v>
      </c>
      <c r="AL8" s="90"/>
      <c r="AM8" s="90"/>
      <c r="AN8" s="101" t="s">
        <v>663</v>
      </c>
      <c r="AO8" s="101" t="s">
        <v>396</v>
      </c>
      <c r="AP8" s="101" t="s">
        <v>664</v>
      </c>
      <c r="AQ8" s="101" t="s">
        <v>663</v>
      </c>
      <c r="AR8" s="101" t="s">
        <v>396</v>
      </c>
      <c r="AS8" s="101" t="s">
        <v>664</v>
      </c>
      <c r="AT8" s="101" t="s">
        <v>665</v>
      </c>
    </row>
    <row r="9" spans="1:46">
      <c r="C9" s="27" t="s">
        <v>487</v>
      </c>
      <c r="D9" s="28">
        <v>2.173</v>
      </c>
      <c r="E9" s="31">
        <v>2.1960000000000002</v>
      </c>
      <c r="F9" s="31">
        <v>2.19</v>
      </c>
      <c r="G9" s="28">
        <v>4.032</v>
      </c>
      <c r="H9" s="28">
        <v>3.9830000000000001</v>
      </c>
      <c r="I9" s="28">
        <v>3.93</v>
      </c>
      <c r="K9" s="28">
        <f>D9-0.151</f>
        <v>2.0220000000000002</v>
      </c>
      <c r="L9" s="28">
        <f t="shared" ref="L9:P12" si="3">E9-0.151</f>
        <v>2.0450000000000004</v>
      </c>
      <c r="M9" s="28">
        <f t="shared" si="3"/>
        <v>2.0390000000000001</v>
      </c>
      <c r="N9" s="28">
        <f t="shared" si="3"/>
        <v>3.8810000000000002</v>
      </c>
      <c r="O9" s="28">
        <f t="shared" si="3"/>
        <v>3.8320000000000003</v>
      </c>
      <c r="P9" s="28">
        <f t="shared" si="3"/>
        <v>3.7790000000000004</v>
      </c>
      <c r="Q9" t="s">
        <v>487</v>
      </c>
      <c r="R9" s="29">
        <f>K9*222.98-16.155</f>
        <v>434.71055999999999</v>
      </c>
      <c r="S9" s="29">
        <f t="shared" ref="S9:W12" si="4">L9*222.98-16.155</f>
        <v>439.83910000000003</v>
      </c>
      <c r="T9" s="29">
        <f t="shared" si="4"/>
        <v>438.50121999999999</v>
      </c>
      <c r="U9" s="29">
        <f t="shared" si="4"/>
        <v>849.23038000000008</v>
      </c>
      <c r="V9" s="29">
        <f t="shared" si="4"/>
        <v>838.30436000000009</v>
      </c>
      <c r="W9" s="29">
        <f t="shared" si="4"/>
        <v>826.48642000000007</v>
      </c>
      <c r="X9" t="s">
        <v>487</v>
      </c>
      <c r="Y9" s="30">
        <f>R9*5</f>
        <v>2173.5527999999999</v>
      </c>
      <c r="Z9" s="30">
        <f t="shared" ref="Z9:AD12" si="5">S9*5</f>
        <v>2199.1955000000003</v>
      </c>
      <c r="AA9" s="30">
        <f t="shared" si="5"/>
        <v>2192.5061000000001</v>
      </c>
      <c r="AB9" s="30">
        <f t="shared" si="5"/>
        <v>4246.1519000000008</v>
      </c>
      <c r="AC9" s="30">
        <f t="shared" si="5"/>
        <v>4191.5218000000004</v>
      </c>
      <c r="AD9" s="30">
        <f t="shared" si="5"/>
        <v>4132.4321</v>
      </c>
      <c r="AF9" s="90"/>
      <c r="AG9" s="90" t="s">
        <v>27</v>
      </c>
      <c r="AH9" s="90">
        <v>22.910699999999995</v>
      </c>
      <c r="AI9" s="90">
        <v>11.761700000000008</v>
      </c>
      <c r="AJ9" s="90">
        <v>9.5319000000000109</v>
      </c>
      <c r="AK9" s="90">
        <v>150.00929999999997</v>
      </c>
      <c r="AL9" s="90">
        <v>148.89439999999996</v>
      </c>
      <c r="AM9" s="90">
        <v>126.59640000000003</v>
      </c>
      <c r="AN9" s="101">
        <f>AVERAGE(AH9:AJ9)</f>
        <v>14.734766666666673</v>
      </c>
      <c r="AO9" s="101">
        <f>STDEV(AH9:AJ9)</f>
        <v>7.1678041556206846</v>
      </c>
      <c r="AP9" s="101">
        <f>AO9/SQRT(3)</f>
        <v>4.138333658746121</v>
      </c>
      <c r="AQ9" s="101">
        <f>AVERAGE(AK9:AM9)</f>
        <v>141.83336666666665</v>
      </c>
      <c r="AR9" s="101">
        <f>STDEV(AK9:AM9)</f>
        <v>13.207369738268566</v>
      </c>
      <c r="AS9" s="101">
        <f>AR9/SQRT(3)</f>
        <v>7.625278473676274</v>
      </c>
      <c r="AT9" s="94">
        <v>8.0999999999999996E-3</v>
      </c>
    </row>
    <row r="10" spans="1:46">
      <c r="C10" s="27" t="s">
        <v>488</v>
      </c>
      <c r="D10" s="32">
        <v>1.181</v>
      </c>
      <c r="E10" s="33">
        <v>1.226</v>
      </c>
      <c r="F10" s="33">
        <v>1.228</v>
      </c>
      <c r="G10" s="28">
        <v>4.0629999999999997</v>
      </c>
      <c r="H10" s="28">
        <v>4.1769999999999996</v>
      </c>
      <c r="I10" s="28">
        <v>4.1619999999999999</v>
      </c>
      <c r="K10" s="28">
        <f>D10-0.151</f>
        <v>1.03</v>
      </c>
      <c r="L10" s="28">
        <f t="shared" si="3"/>
        <v>1.075</v>
      </c>
      <c r="M10" s="28">
        <f t="shared" si="3"/>
        <v>1.077</v>
      </c>
      <c r="N10" s="28">
        <f t="shared" si="3"/>
        <v>3.9119999999999999</v>
      </c>
      <c r="O10" s="28">
        <f t="shared" si="3"/>
        <v>4.0259999999999998</v>
      </c>
      <c r="P10" s="28">
        <f t="shared" si="3"/>
        <v>4.0110000000000001</v>
      </c>
      <c r="Q10" t="s">
        <v>488</v>
      </c>
      <c r="R10" s="29">
        <f>K10*222.98-16.155</f>
        <v>213.51439999999999</v>
      </c>
      <c r="S10" s="29">
        <f t="shared" si="4"/>
        <v>223.54849999999999</v>
      </c>
      <c r="T10" s="29">
        <f t="shared" si="4"/>
        <v>223.99445999999998</v>
      </c>
      <c r="U10" s="29">
        <f t="shared" si="4"/>
        <v>856.14275999999995</v>
      </c>
      <c r="V10" s="29">
        <f t="shared" si="4"/>
        <v>881.56247999999994</v>
      </c>
      <c r="W10" s="29">
        <f t="shared" si="4"/>
        <v>878.21778000000006</v>
      </c>
      <c r="X10" t="s">
        <v>488</v>
      </c>
      <c r="Y10" s="30">
        <f>R10*5</f>
        <v>1067.5719999999999</v>
      </c>
      <c r="Z10" s="30">
        <f t="shared" si="5"/>
        <v>1117.7424999999998</v>
      </c>
      <c r="AA10" s="30">
        <f t="shared" si="5"/>
        <v>1119.9722999999999</v>
      </c>
      <c r="AB10" s="30">
        <f t="shared" si="5"/>
        <v>4280.7137999999995</v>
      </c>
      <c r="AC10" s="30">
        <f t="shared" si="5"/>
        <v>4407.8123999999998</v>
      </c>
      <c r="AD10" s="30">
        <f t="shared" si="5"/>
        <v>4391.0889000000006</v>
      </c>
      <c r="AF10" s="90"/>
      <c r="AG10" s="90" t="s">
        <v>469</v>
      </c>
      <c r="AH10" s="90">
        <v>2173.5527999999999</v>
      </c>
      <c r="AI10" s="90">
        <v>2199.1955000000003</v>
      </c>
      <c r="AJ10" s="90">
        <v>2192.5061000000001</v>
      </c>
      <c r="AK10" s="90">
        <v>4246.1519000000008</v>
      </c>
      <c r="AL10" s="90">
        <v>4191.5218000000004</v>
      </c>
      <c r="AM10" s="90">
        <v>4132.4321</v>
      </c>
      <c r="AN10" s="101">
        <f t="shared" ref="AN10:AN13" si="6">AVERAGE(AH10:AJ10)</f>
        <v>2188.4181333333331</v>
      </c>
      <c r="AO10" s="101">
        <f t="shared" ref="AO10:AO13" si="7">STDEV(AH10:AJ10)</f>
        <v>13.301151056331081</v>
      </c>
      <c r="AP10" s="101">
        <f t="shared" ref="AP10:AP13" si="8">AO10/SQRT(3)</f>
        <v>7.6794231429046249</v>
      </c>
      <c r="AQ10" s="101">
        <f t="shared" ref="AQ10:AQ13" si="9">AVERAGE(AK10:AM10)</f>
        <v>4190.0352666666668</v>
      </c>
      <c r="AR10" s="101">
        <f t="shared" ref="AR10:AR13" si="10">STDEV(AK10:AM10)</f>
        <v>56.87447198896335</v>
      </c>
      <c r="AS10" s="101">
        <f t="shared" ref="AS10:AS13" si="11">AR10/SQRT(3)</f>
        <v>32.83649171284582</v>
      </c>
      <c r="AT10" s="94" t="s">
        <v>666</v>
      </c>
    </row>
    <row r="11" spans="1:46">
      <c r="C11" s="27" t="s">
        <v>489</v>
      </c>
      <c r="D11" s="32">
        <v>0.86499999999999999</v>
      </c>
      <c r="E11" s="33">
        <v>0.872</v>
      </c>
      <c r="F11" s="33">
        <v>0.88800000000000001</v>
      </c>
      <c r="G11" s="28">
        <v>3.028</v>
      </c>
      <c r="H11" s="28">
        <v>2.992</v>
      </c>
      <c r="I11" s="28">
        <v>3.13</v>
      </c>
      <c r="K11" s="28">
        <f>D11-0.151</f>
        <v>0.71399999999999997</v>
      </c>
      <c r="L11" s="28">
        <f t="shared" si="3"/>
        <v>0.72099999999999997</v>
      </c>
      <c r="M11" s="28">
        <f t="shared" si="3"/>
        <v>0.73699999999999999</v>
      </c>
      <c r="N11" s="28">
        <f t="shared" si="3"/>
        <v>2.8770000000000002</v>
      </c>
      <c r="O11" s="28">
        <f t="shared" si="3"/>
        <v>2.8410000000000002</v>
      </c>
      <c r="P11" s="28">
        <f t="shared" si="3"/>
        <v>2.9790000000000001</v>
      </c>
      <c r="Q11" t="s">
        <v>489</v>
      </c>
      <c r="R11" s="29">
        <f>K11*222.98-16.155</f>
        <v>143.05271999999999</v>
      </c>
      <c r="S11" s="29">
        <f t="shared" si="4"/>
        <v>144.61357999999998</v>
      </c>
      <c r="T11" s="29">
        <f t="shared" si="4"/>
        <v>148.18125999999998</v>
      </c>
      <c r="U11" s="29">
        <f t="shared" si="4"/>
        <v>625.35846000000004</v>
      </c>
      <c r="V11" s="29">
        <f t="shared" si="4"/>
        <v>617.33118000000002</v>
      </c>
      <c r="W11" s="29">
        <f t="shared" si="4"/>
        <v>648.10242000000005</v>
      </c>
      <c r="X11" t="s">
        <v>489</v>
      </c>
      <c r="Y11" s="30">
        <f>R11*5</f>
        <v>715.2636</v>
      </c>
      <c r="Z11" s="30">
        <f t="shared" si="5"/>
        <v>723.0678999999999</v>
      </c>
      <c r="AA11" s="30">
        <f t="shared" si="5"/>
        <v>740.90629999999987</v>
      </c>
      <c r="AB11" s="30">
        <f t="shared" si="5"/>
        <v>3126.7923000000001</v>
      </c>
      <c r="AC11" s="30">
        <f t="shared" si="5"/>
        <v>3086.6559000000002</v>
      </c>
      <c r="AD11" s="30">
        <f t="shared" si="5"/>
        <v>3240.5121000000004</v>
      </c>
      <c r="AF11" s="90"/>
      <c r="AG11" s="90" t="s">
        <v>471</v>
      </c>
      <c r="AH11" s="90">
        <v>1067.5719999999999</v>
      </c>
      <c r="AI11" s="90">
        <v>1117.7424999999998</v>
      </c>
      <c r="AJ11" s="90">
        <v>1119.9722999999999</v>
      </c>
      <c r="AK11" s="90">
        <v>4280.7137999999995</v>
      </c>
      <c r="AL11" s="90">
        <v>4407.8123999999998</v>
      </c>
      <c r="AM11" s="90">
        <v>4391.0889000000006</v>
      </c>
      <c r="AN11" s="101">
        <f t="shared" si="6"/>
        <v>1101.7622666666664</v>
      </c>
      <c r="AO11" s="101">
        <f t="shared" si="7"/>
        <v>29.630621881144055</v>
      </c>
      <c r="AP11" s="101">
        <f t="shared" si="8"/>
        <v>17.107247519334535</v>
      </c>
      <c r="AQ11" s="101">
        <f t="shared" si="9"/>
        <v>4359.8717000000006</v>
      </c>
      <c r="AR11" s="101">
        <f t="shared" si="10"/>
        <v>69.060833417864629</v>
      </c>
      <c r="AS11" s="101">
        <f t="shared" si="11"/>
        <v>39.872290764264051</v>
      </c>
      <c r="AT11" s="94" t="s">
        <v>666</v>
      </c>
    </row>
    <row r="12" spans="1:46">
      <c r="C12" s="27" t="s">
        <v>490</v>
      </c>
      <c r="D12" s="32">
        <v>1.641</v>
      </c>
      <c r="E12" s="33">
        <v>1.6870000000000001</v>
      </c>
      <c r="F12" s="33">
        <v>1.657</v>
      </c>
      <c r="G12" s="28">
        <v>4.2679999999999998</v>
      </c>
      <c r="H12" s="28">
        <v>4.306</v>
      </c>
      <c r="I12" s="28">
        <v>4.2299999999999995</v>
      </c>
      <c r="K12" s="28">
        <f>D12-0.151</f>
        <v>1.49</v>
      </c>
      <c r="L12" s="28">
        <f t="shared" si="3"/>
        <v>1.536</v>
      </c>
      <c r="M12" s="28">
        <f t="shared" si="3"/>
        <v>1.506</v>
      </c>
      <c r="N12" s="28">
        <f t="shared" si="3"/>
        <v>4.117</v>
      </c>
      <c r="O12" s="28">
        <f t="shared" si="3"/>
        <v>4.1550000000000002</v>
      </c>
      <c r="P12" s="28">
        <f t="shared" si="3"/>
        <v>4.0789999999999997</v>
      </c>
      <c r="Q12" t="s">
        <v>490</v>
      </c>
      <c r="R12" s="29">
        <f>K12*222.98-16.155</f>
        <v>316.08519999999999</v>
      </c>
      <c r="S12" s="29">
        <f t="shared" si="4"/>
        <v>326.34227999999996</v>
      </c>
      <c r="T12" s="29">
        <f t="shared" si="4"/>
        <v>319.65287999999998</v>
      </c>
      <c r="U12" s="29">
        <f t="shared" si="4"/>
        <v>901.85365999999999</v>
      </c>
      <c r="V12" s="29">
        <f t="shared" si="4"/>
        <v>910.32690000000002</v>
      </c>
      <c r="W12" s="29">
        <f t="shared" si="4"/>
        <v>893.38041999999996</v>
      </c>
      <c r="X12" t="s">
        <v>490</v>
      </c>
      <c r="Y12" s="30">
        <f>R12*5</f>
        <v>1580.4259999999999</v>
      </c>
      <c r="Z12" s="30">
        <f t="shared" si="5"/>
        <v>1631.7113999999997</v>
      </c>
      <c r="AA12" s="30">
        <f t="shared" si="5"/>
        <v>1598.2644</v>
      </c>
      <c r="AB12" s="30">
        <f t="shared" si="5"/>
        <v>4509.2682999999997</v>
      </c>
      <c r="AC12" s="30">
        <f t="shared" si="5"/>
        <v>4551.6345000000001</v>
      </c>
      <c r="AD12" s="30">
        <f t="shared" si="5"/>
        <v>4466.9020999999993</v>
      </c>
      <c r="AF12" s="90"/>
      <c r="AG12" s="90" t="s">
        <v>473</v>
      </c>
      <c r="AH12" s="90">
        <v>715.2636</v>
      </c>
      <c r="AI12" s="90">
        <v>723.0678999999999</v>
      </c>
      <c r="AJ12" s="90">
        <v>740.90629999999987</v>
      </c>
      <c r="AK12" s="90">
        <v>3126.7923000000001</v>
      </c>
      <c r="AL12" s="90">
        <v>3086.6559000000002</v>
      </c>
      <c r="AM12" s="90">
        <v>3240.5121000000004</v>
      </c>
      <c r="AN12" s="101">
        <f t="shared" si="6"/>
        <v>726.4126</v>
      </c>
      <c r="AO12" s="101">
        <f t="shared" si="7"/>
        <v>13.14447714403272</v>
      </c>
      <c r="AP12" s="101">
        <f t="shared" si="8"/>
        <v>7.5889674174641746</v>
      </c>
      <c r="AQ12" s="101">
        <f t="shared" si="9"/>
        <v>3151.3201000000004</v>
      </c>
      <c r="AR12" s="101">
        <f t="shared" si="10"/>
        <v>79.80690633798568</v>
      </c>
      <c r="AS12" s="101">
        <f t="shared" si="11"/>
        <v>46.076538857427288</v>
      </c>
      <c r="AT12" s="94" t="s">
        <v>666</v>
      </c>
    </row>
    <row r="13" spans="1:46">
      <c r="AF13" s="90"/>
      <c r="AG13" s="90" t="s">
        <v>475</v>
      </c>
      <c r="AH13" s="90">
        <v>1580.4259999999999</v>
      </c>
      <c r="AI13" s="90">
        <v>1631.7113999999997</v>
      </c>
      <c r="AJ13" s="90">
        <v>1598.2644</v>
      </c>
      <c r="AK13" s="90">
        <v>4509.2682999999997</v>
      </c>
      <c r="AL13" s="90">
        <v>4551.6345000000001</v>
      </c>
      <c r="AM13" s="90">
        <v>4466.9020999999993</v>
      </c>
      <c r="AN13" s="101">
        <f t="shared" si="6"/>
        <v>1603.4672666666665</v>
      </c>
      <c r="AO13" s="101">
        <f t="shared" si="7"/>
        <v>26.035560863045102</v>
      </c>
      <c r="AP13" s="101">
        <f t="shared" si="8"/>
        <v>15.031638072781975</v>
      </c>
      <c r="AQ13" s="101">
        <f t="shared" si="9"/>
        <v>4509.2682999999997</v>
      </c>
      <c r="AR13" s="101">
        <f t="shared" si="10"/>
        <v>42.36620000000039</v>
      </c>
      <c r="AS13" s="101">
        <f t="shared" si="11"/>
        <v>24.460136974541751</v>
      </c>
      <c r="AT13" s="94" t="s">
        <v>666</v>
      </c>
    </row>
    <row r="16" spans="1:46">
      <c r="C16" s="67"/>
      <c r="D16" s="68"/>
      <c r="E16" s="68"/>
      <c r="F16" s="68"/>
      <c r="G16" s="68"/>
      <c r="H16" s="68"/>
      <c r="I16" s="68"/>
      <c r="J16" s="67"/>
      <c r="K16" s="68"/>
      <c r="L16" s="68"/>
      <c r="M16" s="68"/>
      <c r="N16" s="68"/>
      <c r="O16" s="68"/>
      <c r="P16" s="68"/>
      <c r="Q16" s="67"/>
      <c r="R16" s="68"/>
      <c r="S16" s="68"/>
      <c r="T16" s="68"/>
      <c r="U16" s="68"/>
      <c r="V16" s="68"/>
      <c r="W16" s="68"/>
      <c r="X16" s="67"/>
      <c r="Y16" s="68"/>
      <c r="Z16" s="68"/>
      <c r="AA16" s="68"/>
      <c r="AB16" s="68"/>
      <c r="AC16" s="68"/>
      <c r="AD16" s="68"/>
      <c r="AE16" s="67"/>
    </row>
    <row r="19" spans="2:46">
      <c r="Y19" t="s">
        <v>480</v>
      </c>
    </row>
    <row r="20" spans="2:46">
      <c r="B20" t="s">
        <v>445</v>
      </c>
      <c r="G20">
        <v>0.6</v>
      </c>
      <c r="J20" t="s">
        <v>492</v>
      </c>
      <c r="K20">
        <v>-0.16800000000000001</v>
      </c>
      <c r="U20" t="s">
        <v>493</v>
      </c>
      <c r="Y20" t="s">
        <v>483</v>
      </c>
      <c r="AB20" t="s">
        <v>484</v>
      </c>
      <c r="AF20" t="s">
        <v>702</v>
      </c>
    </row>
    <row r="21" spans="2:46">
      <c r="D21" s="28">
        <v>0.56799999999999995</v>
      </c>
      <c r="E21" s="28">
        <v>0.57199999999999995</v>
      </c>
      <c r="F21" s="28">
        <v>0.55700000000000005</v>
      </c>
      <c r="G21" s="28">
        <v>0.32</v>
      </c>
      <c r="H21" s="28">
        <v>0.308</v>
      </c>
      <c r="I21" s="28">
        <v>0.3</v>
      </c>
      <c r="J21" t="s">
        <v>486</v>
      </c>
      <c r="K21">
        <f>D21-0.168</f>
        <v>0.39999999999999991</v>
      </c>
      <c r="L21">
        <f t="shared" ref="L21:P21" si="12">E21-0.168</f>
        <v>0.40399999999999991</v>
      </c>
      <c r="M21">
        <f t="shared" si="12"/>
        <v>0.38900000000000001</v>
      </c>
      <c r="N21">
        <f t="shared" si="12"/>
        <v>0.152</v>
      </c>
      <c r="O21">
        <f t="shared" si="12"/>
        <v>0.13999999999999999</v>
      </c>
      <c r="P21">
        <f t="shared" si="12"/>
        <v>0.13199999999999998</v>
      </c>
      <c r="R21" s="28">
        <f t="shared" ref="R21:W25" si="13">57.409*K21*D21+57.732*D21+9.3818</f>
        <v>55.216900799999991</v>
      </c>
      <c r="S21" s="28">
        <f t="shared" si="13"/>
        <v>55.671034991999989</v>
      </c>
      <c r="T21" s="28">
        <f t="shared" si="13"/>
        <v>53.977504257000007</v>
      </c>
      <c r="U21" s="28">
        <f t="shared" si="13"/>
        <v>30.648413760000004</v>
      </c>
      <c r="V21" s="28">
        <f t="shared" si="13"/>
        <v>29.638732079999997</v>
      </c>
      <c r="W21" s="28">
        <f t="shared" si="13"/>
        <v>28.974796399999995</v>
      </c>
      <c r="X21" t="s">
        <v>486</v>
      </c>
      <c r="Y21" s="30">
        <f t="shared" ref="Y21:AD25" si="14">R21*5</f>
        <v>276.08450399999992</v>
      </c>
      <c r="Z21" s="30">
        <f t="shared" si="14"/>
        <v>278.35517495999994</v>
      </c>
      <c r="AA21" s="30">
        <f t="shared" si="14"/>
        <v>269.88752128500005</v>
      </c>
      <c r="AB21" s="30">
        <f t="shared" si="14"/>
        <v>153.24206880000003</v>
      </c>
      <c r="AC21" s="30">
        <f t="shared" si="14"/>
        <v>148.1936604</v>
      </c>
      <c r="AD21" s="30">
        <f t="shared" si="14"/>
        <v>144.87398199999998</v>
      </c>
      <c r="AF21" s="90" t="s">
        <v>445</v>
      </c>
      <c r="AG21" s="90"/>
      <c r="AH21" s="90" t="s">
        <v>24</v>
      </c>
      <c r="AI21" s="90"/>
      <c r="AJ21" s="90"/>
      <c r="AK21" s="90" t="s">
        <v>479</v>
      </c>
      <c r="AL21" s="90"/>
      <c r="AM21" s="90"/>
      <c r="AN21" s="101" t="s">
        <v>663</v>
      </c>
      <c r="AO21" s="101" t="s">
        <v>396</v>
      </c>
      <c r="AP21" s="101" t="s">
        <v>664</v>
      </c>
      <c r="AQ21" s="101" t="s">
        <v>663</v>
      </c>
      <c r="AR21" s="101" t="s">
        <v>396</v>
      </c>
      <c r="AS21" s="101" t="s">
        <v>664</v>
      </c>
      <c r="AT21" s="101" t="s">
        <v>665</v>
      </c>
    </row>
    <row r="22" spans="2:46">
      <c r="D22" s="28">
        <v>1.337</v>
      </c>
      <c r="E22" s="31">
        <v>1.341</v>
      </c>
      <c r="F22" s="31">
        <v>1.298</v>
      </c>
      <c r="G22" s="28">
        <v>3.6779999999999999</v>
      </c>
      <c r="H22" s="28">
        <v>3.665</v>
      </c>
      <c r="I22" s="28">
        <v>3.5070000000000001</v>
      </c>
      <c r="J22" t="s">
        <v>487</v>
      </c>
      <c r="K22">
        <f>D22-0.168</f>
        <v>1.169</v>
      </c>
      <c r="L22">
        <f t="shared" ref="L22:P25" si="15">E22-0.168</f>
        <v>1.173</v>
      </c>
      <c r="M22">
        <f t="shared" si="15"/>
        <v>1.1300000000000001</v>
      </c>
      <c r="N22">
        <f t="shared" si="15"/>
        <v>3.51</v>
      </c>
      <c r="O22">
        <f t="shared" si="15"/>
        <v>3.4969999999999999</v>
      </c>
      <c r="P22">
        <f t="shared" si="15"/>
        <v>3.339</v>
      </c>
      <c r="R22" s="28">
        <f t="shared" si="13"/>
        <v>176.29705277699998</v>
      </c>
      <c r="S22" s="28">
        <f t="shared" si="13"/>
        <v>177.104367137</v>
      </c>
      <c r="T22" s="28">
        <f t="shared" si="13"/>
        <v>168.52201266000003</v>
      </c>
      <c r="U22" s="28">
        <f t="shared" si="13"/>
        <v>962.85765601999992</v>
      </c>
      <c r="V22" s="28">
        <f t="shared" si="13"/>
        <v>956.75231554499999</v>
      </c>
      <c r="W22" s="28">
        <f t="shared" si="13"/>
        <v>884.10002305700004</v>
      </c>
      <c r="X22" t="s">
        <v>487</v>
      </c>
      <c r="Y22" s="30">
        <f t="shared" si="14"/>
        <v>881.48526388499988</v>
      </c>
      <c r="Z22" s="30">
        <f t="shared" si="14"/>
        <v>885.52183568500004</v>
      </c>
      <c r="AA22" s="30">
        <f t="shared" si="14"/>
        <v>842.61006330000009</v>
      </c>
      <c r="AB22" s="30">
        <f t="shared" si="14"/>
        <v>4814.2882800999996</v>
      </c>
      <c r="AC22" s="30">
        <f t="shared" si="14"/>
        <v>4783.7615777250003</v>
      </c>
      <c r="AD22" s="30">
        <f t="shared" si="14"/>
        <v>4420.500115285</v>
      </c>
      <c r="AF22" s="90"/>
      <c r="AG22" s="90" t="s">
        <v>27</v>
      </c>
      <c r="AH22" s="90">
        <v>276.08450399999992</v>
      </c>
      <c r="AI22" s="90">
        <v>278.35517495999994</v>
      </c>
      <c r="AJ22" s="90">
        <v>269.88752128500005</v>
      </c>
      <c r="AK22" s="90">
        <v>153.24206880000003</v>
      </c>
      <c r="AL22" s="90">
        <v>148.1936604</v>
      </c>
      <c r="AM22" s="90">
        <v>144.87398199999998</v>
      </c>
      <c r="AN22" s="101">
        <f>AVERAGE(AH22:AJ22)</f>
        <v>274.77573341499993</v>
      </c>
      <c r="AO22" s="101">
        <f>STDEV(AH22:AJ22)</f>
        <v>4.3829156988305904</v>
      </c>
      <c r="AP22" s="101">
        <f>AO22/SQRT(3)</f>
        <v>2.5304775585552783</v>
      </c>
      <c r="AQ22" s="101">
        <f>AVERAGE(AK22:AM22)</f>
        <v>148.76990373333334</v>
      </c>
      <c r="AR22" s="101">
        <f>STDEV(AK22:AM22)</f>
        <v>4.2136992604470578</v>
      </c>
      <c r="AS22" s="101">
        <f>AR22/SQRT(3)</f>
        <v>2.4327804023032358</v>
      </c>
      <c r="AT22" s="94">
        <v>0.49409999999999998</v>
      </c>
    </row>
    <row r="23" spans="2:46">
      <c r="D23" s="32">
        <v>0.747</v>
      </c>
      <c r="E23" s="33">
        <v>0.71899999999999997</v>
      </c>
      <c r="F23" s="33">
        <v>0.73099999999999998</v>
      </c>
      <c r="G23" s="28">
        <v>2.3250000000000002</v>
      </c>
      <c r="H23" s="28">
        <v>2.2700000000000005</v>
      </c>
      <c r="I23" s="28">
        <v>2.2770000000000001</v>
      </c>
      <c r="J23" t="s">
        <v>488</v>
      </c>
      <c r="K23">
        <f>D23-0.168</f>
        <v>0.57899999999999996</v>
      </c>
      <c r="L23">
        <f t="shared" si="15"/>
        <v>0.55099999999999993</v>
      </c>
      <c r="M23">
        <f t="shared" si="15"/>
        <v>0.56299999999999994</v>
      </c>
      <c r="N23">
        <f t="shared" si="15"/>
        <v>2.157</v>
      </c>
      <c r="O23">
        <f t="shared" si="15"/>
        <v>2.1020000000000003</v>
      </c>
      <c r="P23">
        <f t="shared" si="15"/>
        <v>2.109</v>
      </c>
      <c r="R23" s="28">
        <f t="shared" si="13"/>
        <v>77.337742816999992</v>
      </c>
      <c r="S23" s="28">
        <f t="shared" si="13"/>
        <v>73.634774120999992</v>
      </c>
      <c r="T23" s="28">
        <f t="shared" si="13"/>
        <v>75.210738176999996</v>
      </c>
      <c r="U23" s="28">
        <f t="shared" si="13"/>
        <v>431.51627022500003</v>
      </c>
      <c r="V23" s="28">
        <f t="shared" si="13"/>
        <v>414.3627798600001</v>
      </c>
      <c r="W23" s="28">
        <f t="shared" si="13"/>
        <v>416.52666193700009</v>
      </c>
      <c r="X23" t="s">
        <v>488</v>
      </c>
      <c r="Y23" s="30">
        <f t="shared" si="14"/>
        <v>386.68871408499996</v>
      </c>
      <c r="Z23" s="30">
        <f t="shared" si="14"/>
        <v>368.17387060499993</v>
      </c>
      <c r="AA23" s="30">
        <f t="shared" si="14"/>
        <v>376.05369088499998</v>
      </c>
      <c r="AB23" s="30">
        <f t="shared" si="14"/>
        <v>2157.5813511250003</v>
      </c>
      <c r="AC23" s="30">
        <f t="shared" si="14"/>
        <v>2071.8138993000007</v>
      </c>
      <c r="AD23" s="30">
        <f t="shared" si="14"/>
        <v>2082.6333096850003</v>
      </c>
      <c r="AF23" s="90"/>
      <c r="AG23" s="90" t="s">
        <v>469</v>
      </c>
      <c r="AH23" s="90">
        <v>881.48526388499988</v>
      </c>
      <c r="AI23" s="90">
        <v>885.52183568500004</v>
      </c>
      <c r="AJ23" s="90">
        <v>842.61006330000009</v>
      </c>
      <c r="AK23" s="90">
        <v>4814.2882800999996</v>
      </c>
      <c r="AL23" s="90">
        <v>4783.7615777250003</v>
      </c>
      <c r="AM23" s="90">
        <v>4420.500115285</v>
      </c>
      <c r="AN23" s="101">
        <f t="shared" ref="AN23:AN26" si="16">AVERAGE(AH23:AJ23)</f>
        <v>869.87238762333334</v>
      </c>
      <c r="AO23" s="101">
        <f t="shared" ref="AO23:AO26" si="17">STDEV(AH23:AJ23)</f>
        <v>23.695974839771729</v>
      </c>
      <c r="AP23" s="101">
        <f t="shared" ref="AP23:AP26" si="18">AO23/SQRT(3)</f>
        <v>13.680877452452808</v>
      </c>
      <c r="AQ23" s="101">
        <f t="shared" ref="AQ23:AQ26" si="19">AVERAGE(AK23:AM23)</f>
        <v>4672.8499910366672</v>
      </c>
      <c r="AR23" s="101">
        <f t="shared" ref="AR23:AR26" si="20">STDEV(AK23:AM23)</f>
        <v>219.07376550692723</v>
      </c>
      <c r="AS23" s="101">
        <f t="shared" ref="AS23:AS26" si="21">AR23/SQRT(3)</f>
        <v>126.48229748780939</v>
      </c>
      <c r="AT23" s="94" t="s">
        <v>666</v>
      </c>
    </row>
    <row r="24" spans="2:46">
      <c r="D24" s="32">
        <v>0.78300000000000003</v>
      </c>
      <c r="E24" s="33">
        <v>0.81499999999999995</v>
      </c>
      <c r="F24" s="33">
        <v>0.79</v>
      </c>
      <c r="G24" s="28">
        <v>1.782</v>
      </c>
      <c r="H24" s="28">
        <v>1.7249999999999999</v>
      </c>
      <c r="I24" s="28">
        <v>1.702</v>
      </c>
      <c r="J24" t="s">
        <v>489</v>
      </c>
      <c r="K24">
        <f>D24-0.168</f>
        <v>0.61499999999999999</v>
      </c>
      <c r="L24">
        <f t="shared" si="15"/>
        <v>0.64699999999999991</v>
      </c>
      <c r="M24">
        <f t="shared" si="15"/>
        <v>0.622</v>
      </c>
      <c r="N24">
        <f t="shared" si="15"/>
        <v>1.6140000000000001</v>
      </c>
      <c r="O24">
        <f t="shared" si="15"/>
        <v>1.5569999999999999</v>
      </c>
      <c r="P24">
        <f t="shared" si="15"/>
        <v>1.534</v>
      </c>
      <c r="R24" s="28">
        <f t="shared" si="13"/>
        <v>82.230972905000002</v>
      </c>
      <c r="S24" s="28">
        <f t="shared" si="13"/>
        <v>86.705432744999982</v>
      </c>
      <c r="T24" s="28">
        <f t="shared" si="13"/>
        <v>83.199714420000006</v>
      </c>
      <c r="U24" s="28">
        <f t="shared" si="13"/>
        <v>277.377004532</v>
      </c>
      <c r="V24" s="28">
        <f t="shared" si="13"/>
        <v>263.16002742500001</v>
      </c>
      <c r="W24" s="28">
        <f t="shared" si="13"/>
        <v>257.52898501200002</v>
      </c>
      <c r="X24" t="s">
        <v>489</v>
      </c>
      <c r="Y24" s="30">
        <f t="shared" si="14"/>
        <v>411.15486452499999</v>
      </c>
      <c r="Z24" s="30">
        <f t="shared" si="14"/>
        <v>433.52716372499992</v>
      </c>
      <c r="AA24" s="30">
        <f t="shared" si="14"/>
        <v>415.99857210000005</v>
      </c>
      <c r="AB24" s="30">
        <f t="shared" si="14"/>
        <v>1386.88502266</v>
      </c>
      <c r="AC24" s="30">
        <f t="shared" si="14"/>
        <v>1315.800137125</v>
      </c>
      <c r="AD24" s="30">
        <f t="shared" si="14"/>
        <v>1287.6449250600001</v>
      </c>
      <c r="AF24" s="90"/>
      <c r="AG24" s="90" t="s">
        <v>471</v>
      </c>
      <c r="AH24" s="90">
        <v>386.68871408499996</v>
      </c>
      <c r="AI24" s="90">
        <v>368.17387060499993</v>
      </c>
      <c r="AJ24" s="90">
        <v>376.05369088499998</v>
      </c>
      <c r="AK24" s="90">
        <v>2157.5813511250003</v>
      </c>
      <c r="AL24" s="90">
        <v>2071.8138993000007</v>
      </c>
      <c r="AM24" s="90">
        <v>2082.6333096850003</v>
      </c>
      <c r="AN24" s="101">
        <f t="shared" si="16"/>
        <v>376.97209185833327</v>
      </c>
      <c r="AO24" s="101">
        <f t="shared" si="17"/>
        <v>9.2915258452575777</v>
      </c>
      <c r="AP24" s="101">
        <f t="shared" si="18"/>
        <v>5.364464947941828</v>
      </c>
      <c r="AQ24" s="101">
        <f t="shared" si="19"/>
        <v>2104.0095200366673</v>
      </c>
      <c r="AR24" s="101">
        <f t="shared" si="20"/>
        <v>46.708893423923428</v>
      </c>
      <c r="AS24" s="101">
        <f t="shared" si="21"/>
        <v>26.967392191851733</v>
      </c>
      <c r="AT24" s="94" t="s">
        <v>666</v>
      </c>
    </row>
    <row r="25" spans="2:46">
      <c r="D25" s="32">
        <v>1.0900000000000001</v>
      </c>
      <c r="E25" s="33">
        <v>1.0369999999999999</v>
      </c>
      <c r="F25" s="33">
        <v>1.0309999999999999</v>
      </c>
      <c r="G25" s="28">
        <v>3.3029999999999999</v>
      </c>
      <c r="H25" s="28">
        <v>3.113</v>
      </c>
      <c r="I25" s="28">
        <v>3.1880000000000002</v>
      </c>
      <c r="J25" t="s">
        <v>490</v>
      </c>
      <c r="K25">
        <f>D25-0.168</f>
        <v>0.92200000000000004</v>
      </c>
      <c r="L25">
        <f t="shared" si="15"/>
        <v>0.86899999999999988</v>
      </c>
      <c r="M25">
        <f t="shared" si="15"/>
        <v>0.86299999999999988</v>
      </c>
      <c r="N25">
        <f t="shared" si="15"/>
        <v>3.1349999999999998</v>
      </c>
      <c r="O25">
        <f t="shared" si="15"/>
        <v>2.9449999999999998</v>
      </c>
      <c r="P25">
        <f t="shared" si="15"/>
        <v>3.02</v>
      </c>
      <c r="R25" s="28">
        <f t="shared" si="13"/>
        <v>130.00457682000001</v>
      </c>
      <c r="S25" s="28">
        <f t="shared" si="13"/>
        <v>120.98417657699999</v>
      </c>
      <c r="T25" s="28">
        <f t="shared" si="13"/>
        <v>119.98332197699997</v>
      </c>
      <c r="U25" s="28">
        <f t="shared" si="13"/>
        <v>794.53533714499997</v>
      </c>
      <c r="V25" s="28">
        <f t="shared" si="13"/>
        <v>715.41488506500002</v>
      </c>
      <c r="W25" s="28">
        <f t="shared" si="13"/>
        <v>746.15148984000007</v>
      </c>
      <c r="X25" t="s">
        <v>490</v>
      </c>
      <c r="Y25" s="30">
        <f t="shared" si="14"/>
        <v>650.02288410000006</v>
      </c>
      <c r="Z25" s="30">
        <f t="shared" si="14"/>
        <v>604.92088288499997</v>
      </c>
      <c r="AA25" s="30">
        <f t="shared" si="14"/>
        <v>599.91660988499984</v>
      </c>
      <c r="AB25" s="30">
        <f t="shared" si="14"/>
        <v>3972.676685725</v>
      </c>
      <c r="AC25" s="30">
        <f t="shared" si="14"/>
        <v>3577.074425325</v>
      </c>
      <c r="AD25" s="30">
        <f t="shared" si="14"/>
        <v>3730.7574492000003</v>
      </c>
      <c r="AF25" s="90"/>
      <c r="AG25" s="90" t="s">
        <v>473</v>
      </c>
      <c r="AH25" s="90">
        <v>411.15486452499999</v>
      </c>
      <c r="AI25" s="90">
        <v>433.52716372499992</v>
      </c>
      <c r="AJ25" s="90">
        <v>415.99857210000005</v>
      </c>
      <c r="AK25" s="90">
        <v>1386.88502266</v>
      </c>
      <c r="AL25" s="90">
        <v>1315.800137125</v>
      </c>
      <c r="AM25" s="90">
        <v>1287.6449250600001</v>
      </c>
      <c r="AN25" s="101">
        <f t="shared" si="16"/>
        <v>420.22686678333338</v>
      </c>
      <c r="AO25" s="101">
        <f t="shared" si="17"/>
        <v>11.770250626915628</v>
      </c>
      <c r="AP25" s="101">
        <f t="shared" si="18"/>
        <v>6.7955573678790993</v>
      </c>
      <c r="AQ25" s="101">
        <f t="shared" si="19"/>
        <v>1330.1100282816667</v>
      </c>
      <c r="AR25" s="101">
        <f t="shared" si="20"/>
        <v>51.144197927048502</v>
      </c>
      <c r="AS25" s="101">
        <f t="shared" si="21"/>
        <v>29.528116440668953</v>
      </c>
      <c r="AT25" s="94" t="s">
        <v>666</v>
      </c>
    </row>
    <row r="26" spans="2:46">
      <c r="AF26" s="90"/>
      <c r="AG26" s="90" t="s">
        <v>475</v>
      </c>
      <c r="AH26" s="90">
        <v>650.02288410000006</v>
      </c>
      <c r="AI26" s="90">
        <v>604.92088288499997</v>
      </c>
      <c r="AJ26" s="90">
        <v>599.91660988499984</v>
      </c>
      <c r="AK26" s="90">
        <v>3972.676685725</v>
      </c>
      <c r="AL26" s="90">
        <v>3577.074425325</v>
      </c>
      <c r="AM26" s="90">
        <v>3730.7574492000003</v>
      </c>
      <c r="AN26" s="101">
        <f t="shared" si="16"/>
        <v>618.28679228999988</v>
      </c>
      <c r="AO26" s="101">
        <f t="shared" si="17"/>
        <v>27.597922559392021</v>
      </c>
      <c r="AP26" s="101">
        <f t="shared" si="18"/>
        <v>15.93366801873943</v>
      </c>
      <c r="AQ26" s="101">
        <f t="shared" si="19"/>
        <v>3760.1695200833333</v>
      </c>
      <c r="AR26" s="101">
        <f t="shared" si="20"/>
        <v>199.43442416902857</v>
      </c>
      <c r="AS26" s="101">
        <f t="shared" si="21"/>
        <v>115.14351847966667</v>
      </c>
      <c r="AT26" s="94" t="s">
        <v>666</v>
      </c>
    </row>
    <row r="29" spans="2:46">
      <c r="D29" s="68"/>
      <c r="E29" s="68"/>
      <c r="F29" s="68"/>
      <c r="G29" s="68"/>
      <c r="H29" s="68"/>
      <c r="I29" s="68"/>
      <c r="J29" s="67"/>
      <c r="K29" s="67"/>
      <c r="L29" s="67"/>
      <c r="M29" s="67"/>
      <c r="N29" s="67"/>
      <c r="O29" s="67"/>
      <c r="P29" s="67"/>
      <c r="Q29" s="67"/>
      <c r="R29" s="67"/>
      <c r="S29" s="67"/>
      <c r="T29" s="68"/>
      <c r="U29" s="68"/>
      <c r="V29" s="68"/>
      <c r="W29" s="68"/>
      <c r="X29" s="68"/>
      <c r="Y29" s="68"/>
      <c r="Z29" s="67"/>
      <c r="AA29" s="68"/>
      <c r="AB29" s="68"/>
      <c r="AC29" s="68"/>
      <c r="AD29" s="68"/>
      <c r="AE29" s="68"/>
      <c r="AF29" s="68"/>
      <c r="AG29" s="67"/>
    </row>
    <row r="30" spans="2:46">
      <c r="D30" s="67"/>
      <c r="E30" s="67"/>
      <c r="F30" s="67"/>
      <c r="G30" s="67"/>
      <c r="H30" s="67"/>
      <c r="I30" s="67"/>
      <c r="J30" s="67"/>
      <c r="K30" s="67"/>
      <c r="L30" s="67"/>
      <c r="M30" s="67"/>
      <c r="N30" s="67"/>
      <c r="O30" s="67"/>
      <c r="P30" s="67"/>
      <c r="Q30" s="67"/>
      <c r="R30" s="67"/>
      <c r="S30" s="67"/>
      <c r="T30" s="67"/>
      <c r="U30" s="67"/>
      <c r="V30" s="67"/>
      <c r="W30" s="67"/>
      <c r="X30" s="67"/>
      <c r="Y30" s="67"/>
      <c r="Z30" s="67"/>
      <c r="AA30" s="67"/>
      <c r="AB30" s="67"/>
      <c r="AC30" s="67"/>
      <c r="AD30" s="67"/>
      <c r="AE30" s="67"/>
      <c r="AF30" s="67"/>
      <c r="AG30" s="67"/>
    </row>
    <row r="44" spans="3:45">
      <c r="C44" s="83" t="s">
        <v>31</v>
      </c>
    </row>
    <row r="45" spans="3:45">
      <c r="AF45" t="s">
        <v>702</v>
      </c>
    </row>
    <row r="46" spans="3:45">
      <c r="C46" t="s">
        <v>442</v>
      </c>
      <c r="AF46" s="112" t="s">
        <v>31</v>
      </c>
      <c r="AG46" s="90"/>
      <c r="AH46" s="90"/>
      <c r="AI46" s="90"/>
      <c r="AJ46" s="90"/>
      <c r="AK46" s="90"/>
      <c r="AL46" s="90"/>
      <c r="AM46" s="90"/>
      <c r="AN46" s="90"/>
      <c r="AO46" s="90"/>
      <c r="AP46" s="90"/>
      <c r="AQ46" s="90"/>
      <c r="AR46" s="90"/>
      <c r="AS46" s="90"/>
    </row>
    <row r="47" spans="3:45">
      <c r="AF47" s="90"/>
      <c r="AG47" s="90"/>
      <c r="AH47" s="90"/>
      <c r="AI47" s="90"/>
      <c r="AJ47" s="90"/>
      <c r="AK47" s="90"/>
      <c r="AL47" s="90"/>
      <c r="AM47" s="90"/>
      <c r="AN47" s="90"/>
      <c r="AO47" s="90"/>
      <c r="AP47" s="90"/>
      <c r="AQ47" s="90"/>
      <c r="AR47" s="90"/>
      <c r="AS47" s="90"/>
    </row>
    <row r="48" spans="3:45">
      <c r="D48" s="21" t="s">
        <v>24</v>
      </c>
      <c r="E48" s="22"/>
      <c r="F48" s="22"/>
      <c r="G48" s="21" t="s">
        <v>479</v>
      </c>
      <c r="H48" s="20"/>
      <c r="I48" s="20"/>
      <c r="K48" s="77">
        <v>-0.151</v>
      </c>
      <c r="R48" t="s">
        <v>504</v>
      </c>
      <c r="AF48" s="90" t="s">
        <v>442</v>
      </c>
      <c r="AG48" s="90"/>
      <c r="AH48" s="90"/>
      <c r="AI48" s="90"/>
      <c r="AJ48" s="90"/>
      <c r="AK48" s="90"/>
      <c r="AL48" s="90"/>
      <c r="AM48" s="90"/>
      <c r="AN48" s="90"/>
      <c r="AO48" s="90"/>
      <c r="AP48" s="90"/>
      <c r="AQ48" s="90"/>
      <c r="AR48" s="90"/>
      <c r="AS48" s="90"/>
    </row>
    <row r="49" spans="3:45">
      <c r="C49" s="21" t="s">
        <v>459</v>
      </c>
      <c r="D49" s="41">
        <v>0.19400000000000001</v>
      </c>
      <c r="E49" s="41">
        <v>0.19600000000000001</v>
      </c>
      <c r="F49" s="41">
        <v>0.20200000000000001</v>
      </c>
      <c r="G49" s="41">
        <v>0.27600000000000002</v>
      </c>
      <c r="H49" s="41">
        <v>0.26200000000000001</v>
      </c>
      <c r="I49" s="41">
        <v>0.26500000000000001</v>
      </c>
      <c r="J49" s="67"/>
      <c r="K49" s="76">
        <v>4.300000000000001E-2</v>
      </c>
      <c r="L49" s="76">
        <v>4.5000000000000012E-2</v>
      </c>
      <c r="M49" s="76">
        <v>5.1000000000000018E-2</v>
      </c>
      <c r="N49" s="76">
        <v>0.12500000000000003</v>
      </c>
      <c r="O49" s="76">
        <v>0.11100000000000002</v>
      </c>
      <c r="P49" s="76">
        <v>0.11400000000000002</v>
      </c>
      <c r="Q49" s="67"/>
      <c r="R49" s="76">
        <v>1.9504800000000007</v>
      </c>
      <c r="S49" s="76">
        <v>2.3488000000000024</v>
      </c>
      <c r="T49" s="76">
        <v>3.5437600000000025</v>
      </c>
      <c r="U49" s="76">
        <v>18.281600000000005</v>
      </c>
      <c r="V49" s="76">
        <v>15.493360000000001</v>
      </c>
      <c r="W49" s="76">
        <v>16.09084</v>
      </c>
      <c r="X49" s="21" t="s">
        <v>459</v>
      </c>
      <c r="Y49">
        <v>9.7524000000000033</v>
      </c>
      <c r="Z49">
        <v>11.744000000000012</v>
      </c>
      <c r="AA49">
        <v>17.718800000000012</v>
      </c>
      <c r="AB49">
        <v>91.408000000000015</v>
      </c>
      <c r="AC49">
        <v>77.466800000000006</v>
      </c>
      <c r="AD49">
        <v>80.4542</v>
      </c>
      <c r="AF49" s="90"/>
      <c r="AG49" s="90"/>
      <c r="AH49" s="90"/>
      <c r="AI49" s="90"/>
      <c r="AJ49" s="90"/>
      <c r="AK49" s="90"/>
      <c r="AL49" s="90"/>
      <c r="AM49" s="90"/>
      <c r="AN49" s="90"/>
      <c r="AO49" s="90"/>
      <c r="AP49" s="90"/>
      <c r="AQ49" s="90"/>
      <c r="AR49" s="90"/>
      <c r="AS49" s="90"/>
    </row>
    <row r="50" spans="3:45">
      <c r="C50" s="21" t="s">
        <v>461</v>
      </c>
      <c r="D50">
        <v>1.5069999999999999</v>
      </c>
      <c r="E50">
        <v>1.496</v>
      </c>
      <c r="F50">
        <v>1.5009999999999999</v>
      </c>
      <c r="G50">
        <v>2.2530000000000001</v>
      </c>
      <c r="H50">
        <v>2.3029999999999999</v>
      </c>
      <c r="I50">
        <v>2.2879999999999998</v>
      </c>
      <c r="K50">
        <v>1.3559999999999999</v>
      </c>
      <c r="L50">
        <v>1.345</v>
      </c>
      <c r="M50">
        <v>1.3499999999999999</v>
      </c>
      <c r="N50">
        <v>2.1020000000000003</v>
      </c>
      <c r="O50">
        <v>2.1520000000000001</v>
      </c>
      <c r="P50">
        <v>2.137</v>
      </c>
      <c r="R50">
        <v>263.44755999999995</v>
      </c>
      <c r="S50">
        <v>261.2568</v>
      </c>
      <c r="T50">
        <v>262.25259999999997</v>
      </c>
      <c r="U50">
        <v>412.02092000000005</v>
      </c>
      <c r="V50">
        <v>421.97892000000002</v>
      </c>
      <c r="W50">
        <v>418.99151999999998</v>
      </c>
      <c r="X50" s="21" t="s">
        <v>461</v>
      </c>
      <c r="Y50">
        <v>1317.2377999999999</v>
      </c>
      <c r="Z50">
        <v>1306.2840000000001</v>
      </c>
      <c r="AA50">
        <v>1311.2629999999999</v>
      </c>
      <c r="AB50">
        <v>2060.1046000000001</v>
      </c>
      <c r="AC50">
        <v>2109.8946000000001</v>
      </c>
      <c r="AD50">
        <v>2094.9575999999997</v>
      </c>
      <c r="AF50" s="90"/>
      <c r="AG50" s="90" t="s">
        <v>24</v>
      </c>
      <c r="AH50" s="90"/>
      <c r="AI50" s="90"/>
      <c r="AJ50" s="90" t="s">
        <v>479</v>
      </c>
      <c r="AK50" s="90"/>
      <c r="AL50" s="90"/>
      <c r="AM50" s="101" t="s">
        <v>663</v>
      </c>
      <c r="AN50" s="101" t="s">
        <v>396</v>
      </c>
      <c r="AO50" s="101" t="s">
        <v>664</v>
      </c>
      <c r="AP50" s="101" t="s">
        <v>663</v>
      </c>
      <c r="AQ50" s="101" t="s">
        <v>396</v>
      </c>
      <c r="AR50" s="101" t="s">
        <v>664</v>
      </c>
      <c r="AS50" s="101" t="s">
        <v>665</v>
      </c>
    </row>
    <row r="51" spans="3:45">
      <c r="C51" s="21" t="s">
        <v>463</v>
      </c>
      <c r="D51">
        <v>0.19600000000000001</v>
      </c>
      <c r="E51">
        <v>0.20300000000000001</v>
      </c>
      <c r="F51">
        <v>0.21</v>
      </c>
      <c r="G51">
        <v>0.30499999999999999</v>
      </c>
      <c r="H51">
        <v>0.29799999999999999</v>
      </c>
      <c r="I51">
        <v>0.312</v>
      </c>
      <c r="K51">
        <v>4.5000000000000012E-2</v>
      </c>
      <c r="L51">
        <v>5.2000000000000018E-2</v>
      </c>
      <c r="M51">
        <v>5.8999999999999997E-2</v>
      </c>
      <c r="N51">
        <v>0.154</v>
      </c>
      <c r="O51">
        <v>0.14699999999999999</v>
      </c>
      <c r="P51">
        <v>0.161</v>
      </c>
      <c r="R51">
        <v>2.3488000000000024</v>
      </c>
      <c r="S51">
        <v>3.7429200000000034</v>
      </c>
      <c r="T51">
        <v>5.1370399999999989</v>
      </c>
      <c r="U51">
        <v>24.05724</v>
      </c>
      <c r="V51">
        <v>22.663119999999999</v>
      </c>
      <c r="W51">
        <v>25.451360000000001</v>
      </c>
      <c r="X51" s="21" t="s">
        <v>463</v>
      </c>
      <c r="Y51">
        <v>11.744000000000012</v>
      </c>
      <c r="Z51">
        <v>18.714600000000019</v>
      </c>
      <c r="AA51">
        <v>25.685199999999995</v>
      </c>
      <c r="AB51">
        <v>120.28620000000001</v>
      </c>
      <c r="AC51">
        <v>113.31559999999999</v>
      </c>
      <c r="AD51">
        <v>127.2568</v>
      </c>
      <c r="AF51" s="45" t="s">
        <v>459</v>
      </c>
      <c r="AG51" s="90">
        <v>9.7524000000000033</v>
      </c>
      <c r="AH51" s="90">
        <v>11.744000000000012</v>
      </c>
      <c r="AI51" s="90">
        <v>17.718800000000012</v>
      </c>
      <c r="AJ51" s="90">
        <v>91.408000000000015</v>
      </c>
      <c r="AK51" s="90">
        <v>77.466800000000006</v>
      </c>
      <c r="AL51" s="90">
        <v>80.4542</v>
      </c>
      <c r="AM51" s="101">
        <f>AVERAGE(AG51:AI51)</f>
        <v>13.071733333333341</v>
      </c>
      <c r="AN51" s="101">
        <f>STDEV(AG51:AI51)</f>
        <v>4.1458460045367618</v>
      </c>
      <c r="AO51" s="101">
        <f>AN51/SQRT(3)</f>
        <v>2.3936053067380341</v>
      </c>
      <c r="AP51" s="101">
        <f>AVERAGE(AJ51:AL51)</f>
        <v>83.109666666666669</v>
      </c>
      <c r="AQ51" s="101">
        <f>STDEV(AJ51:AL51)</f>
        <v>7.3401561136895053</v>
      </c>
      <c r="AR51" s="101">
        <f>AQ51/SQRT(3)</f>
        <v>4.2378411081325131</v>
      </c>
      <c r="AS51" s="94" t="s">
        <v>666</v>
      </c>
    </row>
    <row r="52" spans="3:45">
      <c r="C52" s="21" t="s">
        <v>464</v>
      </c>
      <c r="D52">
        <v>0.27700000000000002</v>
      </c>
      <c r="E52">
        <v>0.28100000000000003</v>
      </c>
      <c r="F52">
        <v>0.28899999999999998</v>
      </c>
      <c r="G52">
        <v>0.46700000000000003</v>
      </c>
      <c r="H52">
        <v>0.44700000000000001</v>
      </c>
      <c r="I52">
        <v>0.47199999999999998</v>
      </c>
      <c r="K52">
        <v>0.12600000000000003</v>
      </c>
      <c r="L52">
        <v>0.13000000000000003</v>
      </c>
      <c r="M52">
        <v>0.13799999999999998</v>
      </c>
      <c r="N52">
        <v>0.31600000000000006</v>
      </c>
      <c r="O52">
        <v>0.29600000000000004</v>
      </c>
      <c r="P52">
        <v>0.32099999999999995</v>
      </c>
      <c r="R52">
        <v>18.480760000000004</v>
      </c>
      <c r="S52">
        <v>19.277400000000007</v>
      </c>
      <c r="T52">
        <v>20.870679999999993</v>
      </c>
      <c r="U52">
        <v>56.321160000000013</v>
      </c>
      <c r="V52">
        <v>52.33796000000001</v>
      </c>
      <c r="W52">
        <v>57.316959999999987</v>
      </c>
      <c r="X52" s="21" t="s">
        <v>464</v>
      </c>
      <c r="Y52">
        <v>92.403800000000018</v>
      </c>
      <c r="Z52">
        <v>96.387000000000029</v>
      </c>
      <c r="AA52">
        <v>104.35339999999997</v>
      </c>
      <c r="AB52">
        <v>281.60580000000004</v>
      </c>
      <c r="AC52">
        <v>261.68980000000005</v>
      </c>
      <c r="AD52">
        <v>286.58479999999992</v>
      </c>
      <c r="AF52" s="45" t="s">
        <v>461</v>
      </c>
      <c r="AG52" s="90">
        <v>1317.2377999999999</v>
      </c>
      <c r="AH52" s="90">
        <v>1306.2840000000001</v>
      </c>
      <c r="AI52" s="90">
        <v>1311.2629999999999</v>
      </c>
      <c r="AJ52" s="90">
        <v>2060.1046000000001</v>
      </c>
      <c r="AK52" s="90">
        <v>2109.8946000000001</v>
      </c>
      <c r="AL52" s="90">
        <v>2094.9575999999997</v>
      </c>
      <c r="AM52" s="101">
        <f t="shared" ref="AM52:AM55" si="22">AVERAGE(AG52:AI52)</f>
        <v>1311.5949333333333</v>
      </c>
      <c r="AN52" s="101">
        <f t="shared" ref="AN52:AN55" si="23">STDEV(AG52:AI52)</f>
        <v>5.4844387509873895</v>
      </c>
      <c r="AO52" s="101">
        <f t="shared" ref="AO52:AO55" si="24">AN52/SQRT(3)</f>
        <v>3.1664421892365846</v>
      </c>
      <c r="AP52" s="101">
        <f t="shared" ref="AP52:AP55" si="25">AVERAGE(AJ52:AL52)</f>
        <v>2088.3189333333335</v>
      </c>
      <c r="AQ52" s="101">
        <f t="shared" ref="AQ52:AQ55" si="26">STDEV(AJ52:AL52)</f>
        <v>25.550243567005971</v>
      </c>
      <c r="AR52" s="101">
        <f t="shared" ref="AR52:AR55" si="27">AQ52/SQRT(3)</f>
        <v>14.751440001271403</v>
      </c>
      <c r="AS52" s="94" t="s">
        <v>666</v>
      </c>
    </row>
    <row r="53" spans="3:45">
      <c r="C53" s="21" t="s">
        <v>465</v>
      </c>
      <c r="D53">
        <v>0.223</v>
      </c>
      <c r="E53">
        <v>0.218</v>
      </c>
      <c r="F53">
        <v>0.222</v>
      </c>
      <c r="G53">
        <v>0.46200000000000002</v>
      </c>
      <c r="H53">
        <v>0.46300000000000002</v>
      </c>
      <c r="I53">
        <v>0.47199999999999998</v>
      </c>
      <c r="K53">
        <v>7.2000000000000008E-2</v>
      </c>
      <c r="L53">
        <v>6.7000000000000004E-2</v>
      </c>
      <c r="M53">
        <v>7.1000000000000008E-2</v>
      </c>
      <c r="N53">
        <v>0.31100000000000005</v>
      </c>
      <c r="O53">
        <v>0.31200000000000006</v>
      </c>
      <c r="P53">
        <v>0.32099999999999995</v>
      </c>
      <c r="R53">
        <v>7.7261200000000017</v>
      </c>
      <c r="S53">
        <v>6.7303200000000007</v>
      </c>
      <c r="T53">
        <v>7.5269600000000008</v>
      </c>
      <c r="U53">
        <v>55.325360000000011</v>
      </c>
      <c r="V53">
        <v>55.52452000000001</v>
      </c>
      <c r="W53">
        <v>57.316959999999987</v>
      </c>
      <c r="X53" s="21" t="s">
        <v>465</v>
      </c>
      <c r="Y53">
        <v>38.630600000000008</v>
      </c>
      <c r="Z53">
        <v>33.651600000000002</v>
      </c>
      <c r="AA53">
        <v>37.634800000000006</v>
      </c>
      <c r="AB53">
        <v>276.62680000000006</v>
      </c>
      <c r="AC53">
        <v>277.62260000000003</v>
      </c>
      <c r="AD53">
        <v>286.58479999999992</v>
      </c>
      <c r="AF53" s="45" t="s">
        <v>463</v>
      </c>
      <c r="AG53" s="90">
        <v>11.744000000000012</v>
      </c>
      <c r="AH53" s="90">
        <v>18.714600000000019</v>
      </c>
      <c r="AI53" s="90">
        <v>25.685199999999995</v>
      </c>
      <c r="AJ53" s="90">
        <v>120.28620000000001</v>
      </c>
      <c r="AK53" s="90">
        <v>113.31559999999999</v>
      </c>
      <c r="AL53" s="90">
        <v>127.2568</v>
      </c>
      <c r="AM53" s="101">
        <f t="shared" si="22"/>
        <v>18.714600000000008</v>
      </c>
      <c r="AN53" s="101">
        <f t="shared" si="23"/>
        <v>6.970599999999985</v>
      </c>
      <c r="AO53" s="101">
        <f t="shared" si="24"/>
        <v>4.0244777864131969</v>
      </c>
      <c r="AP53" s="101">
        <f t="shared" si="25"/>
        <v>120.28620000000001</v>
      </c>
      <c r="AQ53" s="101">
        <f t="shared" si="26"/>
        <v>6.9706000000000046</v>
      </c>
      <c r="AR53" s="101">
        <f t="shared" si="27"/>
        <v>4.0244777864132084</v>
      </c>
      <c r="AS53" s="94" t="s">
        <v>666</v>
      </c>
    </row>
    <row r="54" spans="3:45">
      <c r="AF54" s="45" t="s">
        <v>464</v>
      </c>
      <c r="AG54" s="90">
        <v>92.403800000000018</v>
      </c>
      <c r="AH54" s="90">
        <v>96.387000000000029</v>
      </c>
      <c r="AI54" s="90">
        <v>104.35339999999997</v>
      </c>
      <c r="AJ54" s="90">
        <v>281.60580000000004</v>
      </c>
      <c r="AK54" s="90">
        <v>261.68980000000005</v>
      </c>
      <c r="AL54" s="90">
        <v>286.58479999999992</v>
      </c>
      <c r="AM54" s="101">
        <f t="shared" si="22"/>
        <v>97.714733333333342</v>
      </c>
      <c r="AN54" s="101">
        <f t="shared" si="23"/>
        <v>6.0844385027160035</v>
      </c>
      <c r="AO54" s="101">
        <f t="shared" si="24"/>
        <v>3.5128522074108082</v>
      </c>
      <c r="AP54" s="101">
        <f t="shared" si="25"/>
        <v>276.6268</v>
      </c>
      <c r="AQ54" s="101">
        <f t="shared" si="26"/>
        <v>13.173195777790546</v>
      </c>
      <c r="AR54" s="101">
        <f t="shared" si="27"/>
        <v>7.6055481283950144</v>
      </c>
      <c r="AS54" s="94" t="s">
        <v>666</v>
      </c>
    </row>
    <row r="55" spans="3:45">
      <c r="AF55" s="45" t="s">
        <v>465</v>
      </c>
      <c r="AG55" s="90">
        <v>38.630600000000008</v>
      </c>
      <c r="AH55" s="90">
        <v>33.651600000000002</v>
      </c>
      <c r="AI55" s="90">
        <v>37.634800000000006</v>
      </c>
      <c r="AJ55" s="90">
        <v>276.62680000000006</v>
      </c>
      <c r="AK55" s="90">
        <v>277.62260000000003</v>
      </c>
      <c r="AL55" s="90">
        <v>286.58479999999992</v>
      </c>
      <c r="AM55" s="101">
        <f t="shared" si="22"/>
        <v>36.63900000000001</v>
      </c>
      <c r="AN55" s="101">
        <f t="shared" si="23"/>
        <v>2.6346391555581223</v>
      </c>
      <c r="AO55" s="101">
        <f t="shared" si="24"/>
        <v>1.5211096256790104</v>
      </c>
      <c r="AP55" s="101">
        <f t="shared" si="25"/>
        <v>280.27806666666669</v>
      </c>
      <c r="AQ55" s="101">
        <f t="shared" si="26"/>
        <v>5.4844387509874242</v>
      </c>
      <c r="AR55" s="101">
        <f t="shared" si="27"/>
        <v>3.1664421892366046</v>
      </c>
      <c r="AS55" s="94" t="s">
        <v>666</v>
      </c>
    </row>
    <row r="57" spans="3:45">
      <c r="C57" t="s">
        <v>445</v>
      </c>
    </row>
    <row r="58" spans="3:45">
      <c r="K58">
        <v>-0.16800000000000001</v>
      </c>
      <c r="R58" s="81"/>
      <c r="S58" s="81"/>
      <c r="T58" s="81"/>
      <c r="U58" t="s">
        <v>557</v>
      </c>
      <c r="Y58" t="s">
        <v>491</v>
      </c>
      <c r="AF58" t="s">
        <v>702</v>
      </c>
    </row>
    <row r="59" spans="3:45">
      <c r="C59" s="21" t="s">
        <v>459</v>
      </c>
      <c r="D59" s="76">
        <v>0.432</v>
      </c>
      <c r="E59" s="76">
        <v>0.41299999999999998</v>
      </c>
      <c r="F59" s="76">
        <v>0.42699999999999999</v>
      </c>
      <c r="G59" s="76">
        <v>0.73329999999999995</v>
      </c>
      <c r="H59" s="76">
        <v>0.79300000000000004</v>
      </c>
      <c r="I59" s="76">
        <v>0.79500000000000004</v>
      </c>
      <c r="K59" s="76">
        <v>0.26400000000000001</v>
      </c>
      <c r="L59" s="76">
        <v>0.24499999999999997</v>
      </c>
      <c r="M59" s="76">
        <v>0.25900000000000001</v>
      </c>
      <c r="N59" s="76">
        <v>0.56529999999999991</v>
      </c>
      <c r="O59" s="76">
        <v>0.625</v>
      </c>
      <c r="P59" s="76">
        <v>0.627</v>
      </c>
      <c r="R59" s="82">
        <v>18.3135184</v>
      </c>
      <c r="S59" s="82">
        <v>17.601804999999999</v>
      </c>
      <c r="T59" s="82">
        <v>18.120877400000001</v>
      </c>
      <c r="U59" s="76">
        <v>36.972882775999992</v>
      </c>
      <c r="V59" s="76">
        <v>42.316625000000002</v>
      </c>
      <c r="W59" s="76">
        <v>42.505072600000005</v>
      </c>
      <c r="X59" s="21" t="s">
        <v>459</v>
      </c>
      <c r="Y59">
        <v>91.567591999999991</v>
      </c>
      <c r="Z59">
        <v>88.009024999999994</v>
      </c>
      <c r="AA59">
        <v>90.604387000000003</v>
      </c>
      <c r="AB59">
        <v>184.86441387999997</v>
      </c>
      <c r="AC59">
        <v>211.583125</v>
      </c>
      <c r="AD59">
        <v>212.52536300000003</v>
      </c>
      <c r="AF59" s="90" t="s">
        <v>445</v>
      </c>
      <c r="AG59" s="90"/>
      <c r="AH59" s="90"/>
      <c r="AI59" s="90"/>
      <c r="AJ59" s="90"/>
      <c r="AK59" s="90"/>
      <c r="AL59" s="90"/>
      <c r="AM59" s="90"/>
      <c r="AN59" s="90"/>
      <c r="AO59" s="90"/>
      <c r="AP59" s="90"/>
      <c r="AQ59" s="90"/>
      <c r="AR59" s="90"/>
      <c r="AS59" s="90"/>
    </row>
    <row r="60" spans="3:45">
      <c r="C60" s="21" t="s">
        <v>461</v>
      </c>
      <c r="D60">
        <v>2.3490000000000002</v>
      </c>
      <c r="E60">
        <v>2.3119999999999998</v>
      </c>
      <c r="F60">
        <v>2.347</v>
      </c>
      <c r="G60">
        <v>4.53</v>
      </c>
      <c r="H60">
        <v>4.4850000000000003</v>
      </c>
      <c r="I60">
        <v>4.4480000000000004</v>
      </c>
      <c r="K60">
        <v>2.181</v>
      </c>
      <c r="L60">
        <v>2.1439999999999997</v>
      </c>
      <c r="M60">
        <v>2.1789999999999998</v>
      </c>
      <c r="N60">
        <v>4.3620000000000001</v>
      </c>
      <c r="O60">
        <v>4.3170000000000002</v>
      </c>
      <c r="P60">
        <v>4.28</v>
      </c>
      <c r="R60">
        <v>373.66589140000008</v>
      </c>
      <c r="S60">
        <v>361.49285439999989</v>
      </c>
      <c r="T60">
        <v>373.00254139999993</v>
      </c>
      <c r="U60">
        <v>1460.7988636000002</v>
      </c>
      <c r="V60">
        <v>1431.0247666</v>
      </c>
      <c r="W60">
        <v>1406.7756400000003</v>
      </c>
      <c r="X60" s="21" t="s">
        <v>461</v>
      </c>
      <c r="Y60">
        <v>1868.3294570000003</v>
      </c>
      <c r="Z60">
        <v>1807.4642719999995</v>
      </c>
      <c r="AA60">
        <v>1865.0127069999996</v>
      </c>
      <c r="AB60">
        <v>7303.9943180000009</v>
      </c>
      <c r="AC60">
        <v>7155.1238329999996</v>
      </c>
      <c r="AD60">
        <v>7033.878200000001</v>
      </c>
      <c r="AF60" s="90"/>
      <c r="AG60" s="90" t="s">
        <v>24</v>
      </c>
      <c r="AH60" s="90"/>
      <c r="AI60" s="90"/>
      <c r="AJ60" s="90" t="s">
        <v>479</v>
      </c>
      <c r="AK60" s="90"/>
      <c r="AL60" s="90"/>
      <c r="AM60" s="101" t="s">
        <v>663</v>
      </c>
      <c r="AN60" s="101" t="s">
        <v>396</v>
      </c>
      <c r="AO60" s="101" t="s">
        <v>664</v>
      </c>
      <c r="AP60" s="101" t="s">
        <v>663</v>
      </c>
      <c r="AQ60" s="101" t="s">
        <v>396</v>
      </c>
      <c r="AR60" s="101" t="s">
        <v>664</v>
      </c>
      <c r="AS60" s="101" t="s">
        <v>665</v>
      </c>
    </row>
    <row r="61" spans="3:45">
      <c r="C61" s="21" t="s">
        <v>463</v>
      </c>
      <c r="D61">
        <v>0.55400000000000005</v>
      </c>
      <c r="E61">
        <v>0.54200000000000004</v>
      </c>
      <c r="F61">
        <v>0.55300000000000005</v>
      </c>
      <c r="G61">
        <v>0.84199999999999997</v>
      </c>
      <c r="H61">
        <v>0.81</v>
      </c>
      <c r="I61">
        <v>0.81699999999999995</v>
      </c>
      <c r="K61">
        <v>0.38600000000000001</v>
      </c>
      <c r="L61">
        <v>0.374</v>
      </c>
      <c r="M61">
        <v>0.38500000000000001</v>
      </c>
      <c r="N61">
        <v>0.67399999999999993</v>
      </c>
      <c r="O61">
        <v>0.64200000000000002</v>
      </c>
      <c r="P61">
        <v>0.64899999999999991</v>
      </c>
      <c r="R61">
        <v>24.197700400000002</v>
      </c>
      <c r="S61">
        <v>23.518080400000002</v>
      </c>
      <c r="T61">
        <v>24.140225000000001</v>
      </c>
      <c r="U61">
        <v>47.109540399999993</v>
      </c>
      <c r="V61">
        <v>43.937911600000007</v>
      </c>
      <c r="W61">
        <v>44.618335399999992</v>
      </c>
      <c r="X61" s="21" t="s">
        <v>463</v>
      </c>
      <c r="Y61">
        <v>120.98850200000001</v>
      </c>
      <c r="Z61">
        <v>117.59040200000001</v>
      </c>
      <c r="AA61">
        <v>120.701125</v>
      </c>
      <c r="AB61">
        <v>235.54770199999996</v>
      </c>
      <c r="AC61">
        <v>219.68955800000003</v>
      </c>
      <c r="AD61">
        <v>223.09167699999995</v>
      </c>
      <c r="AF61" s="45" t="s">
        <v>459</v>
      </c>
      <c r="AG61" s="90">
        <v>91.567591999999991</v>
      </c>
      <c r="AH61" s="90">
        <v>88.009024999999994</v>
      </c>
      <c r="AI61" s="90">
        <v>90.604387000000003</v>
      </c>
      <c r="AJ61" s="90">
        <v>184.86441387999997</v>
      </c>
      <c r="AK61" s="90">
        <v>211.583125</v>
      </c>
      <c r="AL61" s="90">
        <v>212.52536300000003</v>
      </c>
      <c r="AM61" s="101">
        <f>AVERAGE(AG61:AI61)</f>
        <v>90.060334666666677</v>
      </c>
      <c r="AN61" s="101">
        <f>STDEV(AG61:AI61)</f>
        <v>1.8406098118358307</v>
      </c>
      <c r="AO61" s="101">
        <f>AN61/SQRT(3)</f>
        <v>1.0626765703364833</v>
      </c>
      <c r="AP61" s="101">
        <f>AVERAGE(AJ61:AL61)</f>
        <v>202.99096729333334</v>
      </c>
      <c r="AQ61" s="101">
        <f>STDEV(AJ61:AL61)</f>
        <v>15.705123593814264</v>
      </c>
      <c r="AR61" s="101">
        <f>AQ61/SQRT(3)</f>
        <v>9.067357334545008</v>
      </c>
      <c r="AS61" s="94">
        <v>3.3000000000000002E-2</v>
      </c>
    </row>
    <row r="62" spans="3:45">
      <c r="C62" s="21" t="s">
        <v>464</v>
      </c>
      <c r="D62">
        <v>0.66900000000000004</v>
      </c>
      <c r="E62">
        <v>0.628</v>
      </c>
      <c r="F62">
        <v>0.628</v>
      </c>
      <c r="G62">
        <v>1.35</v>
      </c>
      <c r="H62">
        <v>1.4179999999999999</v>
      </c>
      <c r="I62">
        <v>1.3959999999999999</v>
      </c>
      <c r="K62">
        <v>0.501</v>
      </c>
      <c r="L62">
        <v>0.45999999999999996</v>
      </c>
      <c r="M62">
        <v>0.45999999999999996</v>
      </c>
      <c r="N62">
        <v>1.1820000000000002</v>
      </c>
      <c r="O62">
        <v>1.25</v>
      </c>
      <c r="P62">
        <v>1.228</v>
      </c>
      <c r="R62">
        <v>31.826547400000003</v>
      </c>
      <c r="S62">
        <v>28.874899999999997</v>
      </c>
      <c r="T62">
        <v>28.874899999999997</v>
      </c>
      <c r="U62">
        <v>118.41719560000004</v>
      </c>
      <c r="V62">
        <v>130.95474999999999</v>
      </c>
      <c r="W62">
        <v>126.82116560000001</v>
      </c>
      <c r="X62" s="21" t="s">
        <v>464</v>
      </c>
      <c r="Y62">
        <v>159.13273700000002</v>
      </c>
      <c r="Z62">
        <v>144.37449999999998</v>
      </c>
      <c r="AA62">
        <v>144.37449999999998</v>
      </c>
      <c r="AB62">
        <v>592.08597800000018</v>
      </c>
      <c r="AC62">
        <v>654.77374999999995</v>
      </c>
      <c r="AD62">
        <v>634.10582800000009</v>
      </c>
      <c r="AF62" s="45" t="s">
        <v>461</v>
      </c>
      <c r="AG62" s="90">
        <v>1868.3294570000003</v>
      </c>
      <c r="AH62" s="90">
        <v>1807.4642719999995</v>
      </c>
      <c r="AI62" s="90">
        <v>1865.0127069999996</v>
      </c>
      <c r="AJ62" s="90">
        <v>7303.9943180000009</v>
      </c>
      <c r="AK62" s="90">
        <v>7155.1238329999996</v>
      </c>
      <c r="AL62" s="90">
        <v>7033.878200000001</v>
      </c>
      <c r="AM62" s="101">
        <f t="shared" ref="AM62:AM65" si="28">AVERAGE(AG62:AI62)</f>
        <v>1846.9354786666665</v>
      </c>
      <c r="AN62" s="101">
        <f t="shared" ref="AN62:AN65" si="29">STDEV(AG62:AI62)</f>
        <v>34.223271679263483</v>
      </c>
      <c r="AO62" s="101">
        <f t="shared" ref="AO62:AO65" si="30">AN62/SQRT(3)</f>
        <v>19.758815116572467</v>
      </c>
      <c r="AP62" s="101">
        <f t="shared" ref="AP62:AP65" si="31">AVERAGE(AJ62:AL62)</f>
        <v>7164.3321170000008</v>
      </c>
      <c r="AQ62" s="101">
        <f t="shared" ref="AQ62:AQ65" si="32">STDEV(AJ62:AL62)</f>
        <v>135.29328760702055</v>
      </c>
      <c r="AR62" s="101">
        <f t="shared" ref="AR62:AR65" si="33">AQ62/SQRT(3)</f>
        <v>78.111616019462772</v>
      </c>
      <c r="AS62" s="94" t="s">
        <v>666</v>
      </c>
    </row>
    <row r="63" spans="3:45">
      <c r="C63" s="21" t="s">
        <v>465</v>
      </c>
      <c r="D63">
        <v>0.50800000000000001</v>
      </c>
      <c r="E63">
        <v>0.498</v>
      </c>
      <c r="F63">
        <v>0.498</v>
      </c>
      <c r="G63">
        <v>1.5580000000000001</v>
      </c>
      <c r="H63">
        <v>1.5649999999999999</v>
      </c>
      <c r="I63">
        <v>1.5580000000000001</v>
      </c>
      <c r="K63">
        <v>0.33999999999999997</v>
      </c>
      <c r="L63">
        <v>0.32999999999999996</v>
      </c>
      <c r="M63">
        <v>0.32999999999999996</v>
      </c>
      <c r="N63">
        <v>1.3900000000000001</v>
      </c>
      <c r="O63">
        <v>1.397</v>
      </c>
      <c r="P63">
        <v>1.3900000000000001</v>
      </c>
      <c r="R63">
        <v>21.711979999999997</v>
      </c>
      <c r="S63">
        <v>21.214389999999998</v>
      </c>
      <c r="T63">
        <v>21.214389999999998</v>
      </c>
      <c r="U63">
        <v>158.99213000000003</v>
      </c>
      <c r="V63">
        <v>160.47261460000004</v>
      </c>
      <c r="W63">
        <v>158.99213000000003</v>
      </c>
      <c r="X63" s="21" t="s">
        <v>465</v>
      </c>
      <c r="Y63">
        <v>108.55989999999998</v>
      </c>
      <c r="Z63">
        <v>106.07194999999999</v>
      </c>
      <c r="AA63">
        <v>106.07194999999999</v>
      </c>
      <c r="AB63">
        <v>794.96065000000021</v>
      </c>
      <c r="AC63">
        <v>802.36307300000021</v>
      </c>
      <c r="AD63">
        <v>794.96065000000021</v>
      </c>
      <c r="AF63" s="45" t="s">
        <v>463</v>
      </c>
      <c r="AG63" s="90">
        <v>120.98850200000001</v>
      </c>
      <c r="AH63" s="90">
        <v>117.59040200000001</v>
      </c>
      <c r="AI63" s="90">
        <v>120.701125</v>
      </c>
      <c r="AJ63" s="90">
        <v>235.54770199999996</v>
      </c>
      <c r="AK63" s="90">
        <v>219.68955800000003</v>
      </c>
      <c r="AL63" s="90">
        <v>223.09167699999995</v>
      </c>
      <c r="AM63" s="101">
        <f t="shared" si="28"/>
        <v>119.76000966666668</v>
      </c>
      <c r="AN63" s="101">
        <f t="shared" si="29"/>
        <v>1.8844215174626737</v>
      </c>
      <c r="AO63" s="101">
        <f t="shared" si="30"/>
        <v>1.0879712703737978</v>
      </c>
      <c r="AP63" s="101">
        <f t="shared" si="31"/>
        <v>226.10964566666667</v>
      </c>
      <c r="AQ63" s="101">
        <f t="shared" si="32"/>
        <v>8.3487294803412979</v>
      </c>
      <c r="AR63" s="101">
        <f t="shared" si="33"/>
        <v>4.8201412128664129</v>
      </c>
      <c r="AS63" s="94">
        <v>4.87E-2</v>
      </c>
    </row>
    <row r="64" spans="3:45">
      <c r="AF64" s="45" t="s">
        <v>464</v>
      </c>
      <c r="AG64" s="90">
        <v>159.13273700000002</v>
      </c>
      <c r="AH64" s="90">
        <v>144.37449999999998</v>
      </c>
      <c r="AI64" s="90">
        <v>144.37449999999998</v>
      </c>
      <c r="AJ64" s="90">
        <v>592.08597800000018</v>
      </c>
      <c r="AK64" s="90">
        <v>654.77374999999995</v>
      </c>
      <c r="AL64" s="90">
        <v>634.10582800000009</v>
      </c>
      <c r="AM64" s="101">
        <f t="shared" si="28"/>
        <v>149.29391233333334</v>
      </c>
      <c r="AN64" s="101">
        <f t="shared" si="29"/>
        <v>8.5206721047143166</v>
      </c>
      <c r="AO64" s="101">
        <f t="shared" si="30"/>
        <v>4.9194123333333462</v>
      </c>
      <c r="AP64" s="101">
        <f t="shared" si="31"/>
        <v>626.98851866666666</v>
      </c>
      <c r="AQ64" s="101">
        <f t="shared" si="32"/>
        <v>31.94418974854041</v>
      </c>
      <c r="AR64" s="101">
        <f t="shared" si="33"/>
        <v>18.442986550364289</v>
      </c>
      <c r="AS64" s="94" t="s">
        <v>666</v>
      </c>
    </row>
    <row r="65" spans="32:45">
      <c r="AF65" s="45" t="s">
        <v>465</v>
      </c>
      <c r="AG65" s="90">
        <v>108.55989999999998</v>
      </c>
      <c r="AH65" s="90">
        <v>106.07194999999999</v>
      </c>
      <c r="AI65" s="90">
        <v>106.07194999999999</v>
      </c>
      <c r="AJ65" s="90">
        <v>794.96065000000021</v>
      </c>
      <c r="AK65" s="90">
        <v>802.36307300000021</v>
      </c>
      <c r="AL65" s="90">
        <v>794.96065000000021</v>
      </c>
      <c r="AM65" s="101">
        <f t="shared" si="28"/>
        <v>106.90126666666667</v>
      </c>
      <c r="AN65" s="101">
        <f t="shared" si="29"/>
        <v>1.4364186022303282</v>
      </c>
      <c r="AO65" s="101">
        <f t="shared" si="30"/>
        <v>0.82931666666666604</v>
      </c>
      <c r="AP65" s="101">
        <f t="shared" si="31"/>
        <v>797.42812433333347</v>
      </c>
      <c r="AQ65" s="101">
        <f t="shared" si="32"/>
        <v>4.2737909117054764</v>
      </c>
      <c r="AR65" s="101">
        <f t="shared" si="33"/>
        <v>2.4674743333333331</v>
      </c>
      <c r="AS65" s="94" t="s">
        <v>666</v>
      </c>
    </row>
  </sheetData>
  <phoneticPr fontId="2" type="noConversion"/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26954D-F48C-5547-AD64-7A4AD1D7A864}">
  <dimension ref="A1:AA90"/>
  <sheetViews>
    <sheetView topLeftCell="N1" zoomScale="87" workbookViewId="0">
      <selection activeCell="U5" sqref="U5:AA8"/>
    </sheetView>
  </sheetViews>
  <sheetFormatPr baseColWidth="10" defaultRowHeight="16"/>
  <sheetData>
    <row r="1" spans="1:27">
      <c r="A1" t="s">
        <v>345</v>
      </c>
    </row>
    <row r="2" spans="1:27">
      <c r="D2" s="83" t="s">
        <v>571</v>
      </c>
    </row>
    <row r="3" spans="1:27">
      <c r="B3" s="20" t="s">
        <v>23</v>
      </c>
      <c r="C3" s="20" t="s">
        <v>24</v>
      </c>
      <c r="D3" s="20">
        <v>19.402000000000001</v>
      </c>
      <c r="E3" s="20"/>
      <c r="F3" s="21" t="s">
        <v>575</v>
      </c>
      <c r="G3" s="20" t="s">
        <v>24</v>
      </c>
      <c r="H3" s="20">
        <v>30.475000000000001</v>
      </c>
      <c r="I3">
        <f t="shared" ref="I3" si="0">H3-E5</f>
        <v>11.239000000000001</v>
      </c>
      <c r="J3">
        <f t="shared" ref="J3:J44" si="1">POWER(2,-I3)</f>
        <v>4.1373654050103428E-4</v>
      </c>
      <c r="L3">
        <f>J3/0.000321396</f>
        <v>1.2873107957194063</v>
      </c>
    </row>
    <row r="4" spans="1:27">
      <c r="B4" s="20" t="s">
        <v>23</v>
      </c>
      <c r="C4" s="20" t="s">
        <v>24</v>
      </c>
      <c r="D4" s="20">
        <v>19.181999999999999</v>
      </c>
      <c r="E4" s="20"/>
      <c r="F4" s="20" t="s">
        <v>442</v>
      </c>
      <c r="G4" s="20" t="s">
        <v>24</v>
      </c>
      <c r="H4" s="20">
        <v>31.114999999999998</v>
      </c>
      <c r="I4">
        <f t="shared" ref="I4" si="2">H4-E5</f>
        <v>11.878999999999998</v>
      </c>
      <c r="J4">
        <f t="shared" si="1"/>
        <v>2.6550009542355583E-4</v>
      </c>
      <c r="L4">
        <f t="shared" ref="L4:L44" si="3">J4/0.000321396</f>
        <v>0.82608400671929905</v>
      </c>
    </row>
    <row r="5" spans="1:27">
      <c r="B5" s="20" t="s">
        <v>23</v>
      </c>
      <c r="C5" s="20" t="s">
        <v>24</v>
      </c>
      <c r="D5" s="20">
        <v>19.123999999999999</v>
      </c>
      <c r="E5" s="20">
        <f>AVERAGE(D3:D5)</f>
        <v>19.236000000000001</v>
      </c>
      <c r="F5" s="20" t="s">
        <v>442</v>
      </c>
      <c r="G5" s="20" t="s">
        <v>24</v>
      </c>
      <c r="H5" s="20">
        <v>31.013000000000002</v>
      </c>
      <c r="I5">
        <f t="shared" ref="I5" si="4">H5-E5</f>
        <v>11.777000000000001</v>
      </c>
      <c r="J5">
        <f t="shared" si="1"/>
        <v>2.8495070845177415E-4</v>
      </c>
      <c r="K5">
        <f t="shared" ref="K5" si="5">AVERAGE(J3:J5)</f>
        <v>3.2139578145878807E-4</v>
      </c>
      <c r="L5">
        <f t="shared" si="3"/>
        <v>0.88660315763660458</v>
      </c>
      <c r="N5" s="90"/>
      <c r="O5" s="114" t="s">
        <v>341</v>
      </c>
      <c r="P5" s="114"/>
      <c r="Q5" s="114"/>
      <c r="R5" s="114" t="s">
        <v>342</v>
      </c>
      <c r="S5" s="114"/>
      <c r="T5" s="114"/>
      <c r="U5" s="101" t="s">
        <v>663</v>
      </c>
      <c r="V5" s="101" t="s">
        <v>396</v>
      </c>
      <c r="W5" s="101" t="s">
        <v>664</v>
      </c>
      <c r="X5" s="101" t="s">
        <v>663</v>
      </c>
      <c r="Y5" s="101" t="s">
        <v>396</v>
      </c>
      <c r="Z5" s="101" t="s">
        <v>664</v>
      </c>
      <c r="AA5" s="101" t="s">
        <v>665</v>
      </c>
    </row>
    <row r="6" spans="1:27">
      <c r="B6" s="20" t="s">
        <v>23</v>
      </c>
      <c r="C6" s="20" t="s">
        <v>26</v>
      </c>
      <c r="D6" s="20">
        <v>20.366</v>
      </c>
      <c r="E6" s="20"/>
      <c r="F6" s="20" t="s">
        <v>442</v>
      </c>
      <c r="G6" s="20" t="s">
        <v>26</v>
      </c>
      <c r="H6" s="20">
        <v>32.15</v>
      </c>
      <c r="I6">
        <f t="shared" ref="I6" si="6">H6-E8</f>
        <v>11.836666666666666</v>
      </c>
      <c r="J6">
        <f t="shared" si="1"/>
        <v>2.7340615333172868E-4</v>
      </c>
      <c r="L6">
        <f t="shared" si="3"/>
        <v>0.8506831240330579</v>
      </c>
      <c r="N6" s="90" t="s">
        <v>237</v>
      </c>
      <c r="O6" s="90">
        <v>1.2873107957194063</v>
      </c>
      <c r="P6" s="90">
        <v>0.82608400671929905</v>
      </c>
      <c r="Q6" s="90">
        <v>0.88660315763660458</v>
      </c>
      <c r="R6" s="90">
        <v>0.8506831240330579</v>
      </c>
      <c r="S6" s="90">
        <v>2.1179870071663345</v>
      </c>
      <c r="T6" s="90">
        <v>1.2567465591813596</v>
      </c>
      <c r="U6" s="101">
        <f>AVERAGE(O6:Q6)</f>
        <v>0.99999932002510328</v>
      </c>
      <c r="V6" s="101">
        <f>STDEV(O6:Q6)</f>
        <v>0.2506522590286519</v>
      </c>
      <c r="W6" s="101">
        <f>V6/SQRT(3)</f>
        <v>0.14471414922317999</v>
      </c>
      <c r="X6" s="101">
        <f>AVERAGE(R6:T6)</f>
        <v>1.4084722301269172</v>
      </c>
      <c r="Y6" s="101">
        <f>STDEV(R6:T6)</f>
        <v>0.64713236085756087</v>
      </c>
      <c r="Z6" s="101">
        <f>Y6/SQRT(3)</f>
        <v>0.37362204274243083</v>
      </c>
      <c r="AA6" s="94" t="s">
        <v>681</v>
      </c>
    </row>
    <row r="7" spans="1:27">
      <c r="B7" s="20" t="s">
        <v>23</v>
      </c>
      <c r="C7" s="20" t="s">
        <v>26</v>
      </c>
      <c r="D7" s="20">
        <v>20.262</v>
      </c>
      <c r="E7" s="20"/>
      <c r="F7" s="20" t="s">
        <v>442</v>
      </c>
      <c r="G7" s="20" t="s">
        <v>26</v>
      </c>
      <c r="H7" s="20">
        <v>30.834</v>
      </c>
      <c r="I7">
        <f t="shared" ref="I7" si="7">H7-E8</f>
        <v>10.520666666666667</v>
      </c>
      <c r="J7">
        <f t="shared" si="1"/>
        <v>6.8071255215523124E-4</v>
      </c>
      <c r="L7">
        <f t="shared" si="3"/>
        <v>2.1179870071663345</v>
      </c>
      <c r="N7" s="90" t="s">
        <v>20</v>
      </c>
      <c r="O7" s="90">
        <v>324.03976866774644</v>
      </c>
      <c r="P7" s="90">
        <v>344.89826769903374</v>
      </c>
      <c r="Q7" s="90">
        <v>356.81366871809735</v>
      </c>
      <c r="R7" s="90">
        <v>843.37302759012152</v>
      </c>
      <c r="S7" s="90">
        <v>1066.0261200254388</v>
      </c>
      <c r="T7" s="90">
        <v>880.40716276709486</v>
      </c>
      <c r="U7" s="101">
        <f t="shared" ref="U7:U8" si="8">AVERAGE(O7:Q7)</f>
        <v>341.91723502829245</v>
      </c>
      <c r="V7" s="101">
        <f t="shared" ref="V7:V8" si="9">STDEV(O7:Q7)</f>
        <v>16.589064107586591</v>
      </c>
      <c r="W7" s="101">
        <f t="shared" ref="W7:W8" si="10">V7/SQRT(3)</f>
        <v>9.5777006281190769</v>
      </c>
      <c r="X7" s="101">
        <f t="shared" ref="X7:X8" si="11">AVERAGE(R7:T7)</f>
        <v>929.93543679421839</v>
      </c>
      <c r="Y7" s="101">
        <f t="shared" ref="Y7:Y8" si="12">STDEV(R7:T7)</f>
        <v>119.30376079081408</v>
      </c>
      <c r="Z7" s="101">
        <f t="shared" ref="Z7:Z8" si="13">Y7/SQRT(3)</f>
        <v>68.880058407911235</v>
      </c>
      <c r="AA7" s="94" t="s">
        <v>666</v>
      </c>
    </row>
    <row r="8" spans="1:27">
      <c r="B8" s="20" t="s">
        <v>23</v>
      </c>
      <c r="C8" s="20" t="s">
        <v>26</v>
      </c>
      <c r="D8" s="20">
        <v>20.312000000000001</v>
      </c>
      <c r="E8" s="20">
        <f t="shared" ref="E8" si="14">AVERAGE(D6:D8)</f>
        <v>20.313333333333333</v>
      </c>
      <c r="F8" s="20" t="s">
        <v>442</v>
      </c>
      <c r="G8" s="20" t="s">
        <v>26</v>
      </c>
      <c r="H8" s="20">
        <v>31.587</v>
      </c>
      <c r="I8">
        <f t="shared" ref="I8" si="15">H8-E8</f>
        <v>11.273666666666667</v>
      </c>
      <c r="J8">
        <f t="shared" si="1"/>
        <v>4.0391331713465225E-4</v>
      </c>
      <c r="K8">
        <f t="shared" ref="K8" si="16">AVERAGE(J6:J8)</f>
        <v>4.526773408738707E-4</v>
      </c>
      <c r="L8">
        <f t="shared" si="3"/>
        <v>1.2567465591813596</v>
      </c>
      <c r="N8" s="90" t="s">
        <v>589</v>
      </c>
      <c r="O8" s="90">
        <v>214.2810418993646</v>
      </c>
      <c r="P8" s="90">
        <v>263.99383079596623</v>
      </c>
      <c r="Q8" s="90">
        <v>180.1881599900068</v>
      </c>
      <c r="R8" s="90">
        <v>842.98339653012158</v>
      </c>
      <c r="S8" s="90">
        <v>519.99733016478683</v>
      </c>
      <c r="T8" s="90">
        <v>734.87772171807194</v>
      </c>
      <c r="U8" s="101">
        <f t="shared" si="8"/>
        <v>219.48767756177918</v>
      </c>
      <c r="V8" s="101">
        <f t="shared" si="9"/>
        <v>42.144743515651726</v>
      </c>
      <c r="W8" s="101">
        <f t="shared" si="10"/>
        <v>24.332279013689259</v>
      </c>
      <c r="X8" s="101">
        <f t="shared" si="11"/>
        <v>699.28614947099334</v>
      </c>
      <c r="Y8" s="101">
        <f t="shared" si="12"/>
        <v>164.40824121011258</v>
      </c>
      <c r="Z8" s="101">
        <f t="shared" si="13"/>
        <v>94.921142319651423</v>
      </c>
      <c r="AA8" s="94" t="s">
        <v>666</v>
      </c>
    </row>
    <row r="9" spans="1:27">
      <c r="B9" s="20" t="s">
        <v>23</v>
      </c>
      <c r="C9" s="20" t="s">
        <v>576</v>
      </c>
      <c r="D9" s="20">
        <v>18.684000000000001</v>
      </c>
      <c r="E9" s="20"/>
      <c r="F9" s="20" t="s">
        <v>442</v>
      </c>
      <c r="G9" s="20" t="s">
        <v>576</v>
      </c>
      <c r="H9" s="20">
        <v>21.911000000000001</v>
      </c>
      <c r="I9">
        <f t="shared" ref="I9" si="17">H9-E11</f>
        <v>3.2633333333333354</v>
      </c>
      <c r="J9">
        <f t="shared" si="1"/>
        <v>0.10414508549073903</v>
      </c>
      <c r="L9">
        <f t="shared" si="3"/>
        <v>324.03976866774644</v>
      </c>
      <c r="N9" s="90"/>
      <c r="O9" s="90"/>
      <c r="P9" s="90"/>
      <c r="Q9" s="90"/>
      <c r="R9" s="90"/>
      <c r="S9" s="90"/>
      <c r="T9" s="90"/>
      <c r="U9" s="101"/>
      <c r="V9" s="101"/>
      <c r="W9" s="101"/>
      <c r="X9" s="101"/>
      <c r="Y9" s="101"/>
      <c r="Z9" s="101"/>
      <c r="AA9" s="94"/>
    </row>
    <row r="10" spans="1:27">
      <c r="B10" s="20" t="s">
        <v>23</v>
      </c>
      <c r="C10" s="20" t="s">
        <v>576</v>
      </c>
      <c r="D10" s="20">
        <v>18.678999999999998</v>
      </c>
      <c r="E10" s="20"/>
      <c r="F10" s="20" t="s">
        <v>442</v>
      </c>
      <c r="G10" s="20" t="s">
        <v>576</v>
      </c>
      <c r="H10" s="20">
        <v>21.821000000000002</v>
      </c>
      <c r="I10">
        <f t="shared" ref="I10" si="18">H10-E11</f>
        <v>3.1733333333333356</v>
      </c>
      <c r="J10">
        <f t="shared" si="1"/>
        <v>0.11084892364539864</v>
      </c>
      <c r="L10">
        <f t="shared" si="3"/>
        <v>344.89826769903374</v>
      </c>
      <c r="N10" s="90"/>
      <c r="O10" s="90"/>
      <c r="P10" s="90"/>
      <c r="Q10" s="90"/>
      <c r="R10" s="90"/>
      <c r="S10" s="90"/>
      <c r="T10" s="90"/>
      <c r="U10" s="101"/>
      <c r="V10" s="101"/>
      <c r="W10" s="101"/>
      <c r="X10" s="101"/>
      <c r="Y10" s="101"/>
      <c r="Z10" s="101"/>
      <c r="AA10" s="94"/>
    </row>
    <row r="11" spans="1:27">
      <c r="B11" s="20" t="s">
        <v>23</v>
      </c>
      <c r="C11" s="20" t="s">
        <v>576</v>
      </c>
      <c r="D11" s="20">
        <v>18.579999999999998</v>
      </c>
      <c r="E11" s="20">
        <f t="shared" ref="E11" si="19">AVERAGE(D9:D11)</f>
        <v>18.647666666666666</v>
      </c>
      <c r="F11" s="20" t="s">
        <v>442</v>
      </c>
      <c r="G11" s="20" t="s">
        <v>576</v>
      </c>
      <c r="H11" s="20">
        <v>21.771999999999998</v>
      </c>
      <c r="I11">
        <f t="shared" ref="I11" si="20">H11-E11</f>
        <v>3.1243333333333325</v>
      </c>
      <c r="J11">
        <f t="shared" si="1"/>
        <v>0.11467848587132161</v>
      </c>
      <c r="K11">
        <f t="shared" ref="K11" si="21">AVERAGE(J9:J11)</f>
        <v>0.10989083166915309</v>
      </c>
      <c r="L11">
        <f t="shared" si="3"/>
        <v>356.81366871809735</v>
      </c>
    </row>
    <row r="12" spans="1:27">
      <c r="B12" s="20" t="s">
        <v>23</v>
      </c>
      <c r="C12" s="20" t="s">
        <v>577</v>
      </c>
      <c r="D12" s="20">
        <v>20.209</v>
      </c>
      <c r="E12" s="20"/>
      <c r="F12" s="20" t="s">
        <v>442</v>
      </c>
      <c r="G12" s="20" t="s">
        <v>577</v>
      </c>
      <c r="H12" s="20">
        <v>21.919</v>
      </c>
      <c r="I12">
        <f t="shared" ref="I12" si="22">H12-E14</f>
        <v>1.8833333333333329</v>
      </c>
      <c r="J12">
        <f t="shared" si="1"/>
        <v>0.27105671757535471</v>
      </c>
      <c r="L12">
        <f t="shared" si="3"/>
        <v>843.37302759012152</v>
      </c>
    </row>
    <row r="13" spans="1:27">
      <c r="B13" s="20" t="s">
        <v>23</v>
      </c>
      <c r="C13" s="20" t="s">
        <v>577</v>
      </c>
      <c r="D13" s="20">
        <v>19.908999999999999</v>
      </c>
      <c r="E13" s="20"/>
      <c r="F13" s="20" t="s">
        <v>442</v>
      </c>
      <c r="G13" s="20" t="s">
        <v>577</v>
      </c>
      <c r="H13" s="20">
        <v>21.581</v>
      </c>
      <c r="I13">
        <f t="shared" ref="I13" si="23">H13-E14</f>
        <v>1.5453333333333319</v>
      </c>
      <c r="J13">
        <f t="shared" si="1"/>
        <v>0.34261653087169591</v>
      </c>
      <c r="L13">
        <f t="shared" si="3"/>
        <v>1066.0261200254388</v>
      </c>
    </row>
    <row r="14" spans="1:27">
      <c r="B14" s="20" t="s">
        <v>23</v>
      </c>
      <c r="C14" s="20" t="s">
        <v>577</v>
      </c>
      <c r="D14" s="20">
        <v>19.989000000000001</v>
      </c>
      <c r="E14" s="20">
        <f t="shared" ref="E14" si="24">AVERAGE(D12:D14)</f>
        <v>20.035666666666668</v>
      </c>
      <c r="F14" s="20" t="s">
        <v>442</v>
      </c>
      <c r="G14" s="20" t="s">
        <v>577</v>
      </c>
      <c r="H14" s="20">
        <v>21.856999999999999</v>
      </c>
      <c r="I14">
        <f t="shared" ref="I14" si="25">H14-E14</f>
        <v>1.8213333333333317</v>
      </c>
      <c r="J14">
        <f t="shared" si="1"/>
        <v>0.28295934048469323</v>
      </c>
      <c r="K14">
        <f t="shared" ref="K14" si="26">AVERAGE(J12:J14)</f>
        <v>0.29887752964391462</v>
      </c>
      <c r="L14">
        <f t="shared" si="3"/>
        <v>880.40716276709486</v>
      </c>
    </row>
    <row r="15" spans="1:27">
      <c r="B15" s="20" t="s">
        <v>23</v>
      </c>
      <c r="C15" s="20" t="s">
        <v>578</v>
      </c>
      <c r="D15" s="20">
        <v>19.785</v>
      </c>
      <c r="E15" s="20"/>
      <c r="F15" s="20" t="s">
        <v>442</v>
      </c>
      <c r="G15" s="20" t="s">
        <v>578</v>
      </c>
      <c r="H15" s="20">
        <v>23.553999999999998</v>
      </c>
      <c r="I15">
        <f t="shared" ref="I15" si="27">H15-E17</f>
        <v>3.8599999999999994</v>
      </c>
      <c r="J15">
        <f t="shared" si="1"/>
        <v>6.886906974228818E-2</v>
      </c>
      <c r="L15">
        <f t="shared" si="3"/>
        <v>214.2810418993646</v>
      </c>
    </row>
    <row r="16" spans="1:27">
      <c r="B16" s="20" t="s">
        <v>23</v>
      </c>
      <c r="C16" s="20" t="s">
        <v>578</v>
      </c>
      <c r="D16" s="20">
        <v>19.645</v>
      </c>
      <c r="E16" s="20"/>
      <c r="F16" s="20" t="s">
        <v>442</v>
      </c>
      <c r="G16" s="20" t="s">
        <v>578</v>
      </c>
      <c r="H16" s="20">
        <v>23.253</v>
      </c>
      <c r="I16">
        <f t="shared" ref="I16" si="28">H16-E17</f>
        <v>3.5590000000000011</v>
      </c>
      <c r="J16">
        <f t="shared" si="1"/>
        <v>8.4846561242500368E-2</v>
      </c>
      <c r="L16">
        <f t="shared" si="3"/>
        <v>263.99383079596623</v>
      </c>
    </row>
    <row r="17" spans="2:27">
      <c r="B17" s="20" t="s">
        <v>23</v>
      </c>
      <c r="C17" s="20" t="s">
        <v>578</v>
      </c>
      <c r="D17" s="20">
        <v>19.652000000000001</v>
      </c>
      <c r="E17" s="20">
        <f t="shared" ref="E17" si="29">AVERAGE(D15:D17)</f>
        <v>19.693999999999999</v>
      </c>
      <c r="F17" s="20" t="s">
        <v>442</v>
      </c>
      <c r="G17" s="20" t="s">
        <v>578</v>
      </c>
      <c r="H17" s="20">
        <v>23.803999999999998</v>
      </c>
      <c r="I17">
        <f t="shared" ref="I17" si="30">H17-E17</f>
        <v>4.1099999999999994</v>
      </c>
      <c r="J17">
        <f t="shared" si="1"/>
        <v>5.7911753868148223E-2</v>
      </c>
      <c r="K17">
        <f t="shared" ref="K17" si="31">AVERAGE(J15:J17)</f>
        <v>7.0542461617645588E-2</v>
      </c>
      <c r="L17">
        <f t="shared" si="3"/>
        <v>180.1881599900068</v>
      </c>
    </row>
    <row r="18" spans="2:27">
      <c r="B18" s="20" t="s">
        <v>23</v>
      </c>
      <c r="C18" s="20" t="s">
        <v>579</v>
      </c>
      <c r="D18" s="20">
        <v>21.338999999999999</v>
      </c>
      <c r="E18" s="20"/>
      <c r="F18" s="20" t="s">
        <v>442</v>
      </c>
      <c r="G18" s="20" t="s">
        <v>579</v>
      </c>
      <c r="H18" s="20">
        <v>23.161000000000001</v>
      </c>
      <c r="I18">
        <f t="shared" ref="I18" si="32">H18-E20</f>
        <v>1.8840000000000003</v>
      </c>
      <c r="J18">
        <f t="shared" si="1"/>
        <v>0.27093149171119496</v>
      </c>
      <c r="L18">
        <f t="shared" si="3"/>
        <v>842.98339653012158</v>
      </c>
    </row>
    <row r="19" spans="2:27">
      <c r="B19" s="20" t="s">
        <v>23</v>
      </c>
      <c r="C19" s="20" t="s">
        <v>579</v>
      </c>
      <c r="D19" s="20">
        <v>21.228999999999999</v>
      </c>
      <c r="E19" s="20"/>
      <c r="F19" s="20" t="s">
        <v>442</v>
      </c>
      <c r="G19" s="20" t="s">
        <v>579</v>
      </c>
      <c r="H19" s="20">
        <v>23.858000000000001</v>
      </c>
      <c r="I19">
        <f t="shared" ref="I19" si="33">H19-E20</f>
        <v>2.5809999999999995</v>
      </c>
      <c r="J19">
        <f t="shared" si="1"/>
        <v>0.16712506192564183</v>
      </c>
      <c r="L19">
        <f t="shared" si="3"/>
        <v>519.99733016478683</v>
      </c>
    </row>
    <row r="20" spans="2:27">
      <c r="B20" s="20" t="s">
        <v>23</v>
      </c>
      <c r="C20" s="20" t="s">
        <v>579</v>
      </c>
      <c r="D20" s="20">
        <v>21.263000000000002</v>
      </c>
      <c r="E20" s="20">
        <f t="shared" ref="E20" si="34">AVERAGE(D18:D20)</f>
        <v>21.277000000000001</v>
      </c>
      <c r="F20" s="20" t="s">
        <v>442</v>
      </c>
      <c r="G20" s="20" t="s">
        <v>579</v>
      </c>
      <c r="H20" s="20">
        <v>23.359000000000002</v>
      </c>
      <c r="I20">
        <f t="shared" ref="I20" si="35">H20-E20</f>
        <v>2.0820000000000007</v>
      </c>
      <c r="J20">
        <f t="shared" si="1"/>
        <v>0.23618676024930144</v>
      </c>
      <c r="K20">
        <f t="shared" ref="K20" si="36">AVERAGE(J18:J20)</f>
        <v>0.2247477712953794</v>
      </c>
      <c r="L20">
        <f t="shared" si="3"/>
        <v>734.87772171807194</v>
      </c>
    </row>
    <row r="21" spans="2:27">
      <c r="B21" s="20" t="s">
        <v>23</v>
      </c>
      <c r="C21" s="20" t="s">
        <v>580</v>
      </c>
      <c r="D21" s="20">
        <v>20.292000000000002</v>
      </c>
      <c r="E21" s="20"/>
      <c r="F21" s="20" t="s">
        <v>442</v>
      </c>
      <c r="G21" s="20" t="s">
        <v>580</v>
      </c>
      <c r="H21" s="20">
        <v>24.968</v>
      </c>
      <c r="I21">
        <f t="shared" ref="I21" si="37">H21-E23</f>
        <v>4.6203333333333312</v>
      </c>
      <c r="J21">
        <f t="shared" si="1"/>
        <v>4.0657538011305623E-2</v>
      </c>
      <c r="L21">
        <f t="shared" si="3"/>
        <v>126.50293722170041</v>
      </c>
      <c r="N21" s="90"/>
      <c r="O21" s="114" t="s">
        <v>341</v>
      </c>
      <c r="P21" s="114"/>
      <c r="Q21" s="114"/>
      <c r="R21" s="114" t="s">
        <v>342</v>
      </c>
      <c r="S21" s="114"/>
      <c r="T21" s="114"/>
      <c r="U21" s="90"/>
      <c r="V21" s="90"/>
      <c r="W21" s="90"/>
      <c r="X21" s="90"/>
      <c r="Y21" s="90"/>
      <c r="Z21" s="90"/>
      <c r="AA21" s="90"/>
    </row>
    <row r="22" spans="2:27">
      <c r="B22" s="20" t="s">
        <v>23</v>
      </c>
      <c r="C22" s="20" t="s">
        <v>580</v>
      </c>
      <c r="D22" s="20">
        <v>20.372</v>
      </c>
      <c r="E22" s="20"/>
      <c r="F22" s="20" t="s">
        <v>442</v>
      </c>
      <c r="G22" s="20" t="s">
        <v>580</v>
      </c>
      <c r="H22" s="20">
        <v>24.794</v>
      </c>
      <c r="I22">
        <f t="shared" ref="I22" si="38">H22-E23</f>
        <v>4.4463333333333317</v>
      </c>
      <c r="J22">
        <f t="shared" si="1"/>
        <v>4.5869108137314138E-2</v>
      </c>
      <c r="L22">
        <f t="shared" si="3"/>
        <v>142.71835410930484</v>
      </c>
      <c r="N22" s="90"/>
      <c r="O22" s="90"/>
      <c r="P22" s="90"/>
      <c r="Q22" s="90"/>
      <c r="R22" s="90"/>
      <c r="S22" s="90"/>
      <c r="T22" s="90"/>
      <c r="U22" s="101" t="s">
        <v>663</v>
      </c>
      <c r="V22" s="101" t="s">
        <v>396</v>
      </c>
      <c r="W22" s="101" t="s">
        <v>664</v>
      </c>
      <c r="X22" s="101" t="s">
        <v>663</v>
      </c>
      <c r="Y22" s="101" t="s">
        <v>396</v>
      </c>
      <c r="Z22" s="101" t="s">
        <v>664</v>
      </c>
      <c r="AA22" s="101" t="s">
        <v>665</v>
      </c>
    </row>
    <row r="23" spans="2:27">
      <c r="B23" s="20" t="s">
        <v>23</v>
      </c>
      <c r="C23" s="20" t="s">
        <v>580</v>
      </c>
      <c r="D23" s="20">
        <v>20.379000000000001</v>
      </c>
      <c r="E23" s="20">
        <f t="shared" ref="E23" si="39">AVERAGE(D21:D23)</f>
        <v>20.347666666666669</v>
      </c>
      <c r="F23" s="20" t="s">
        <v>442</v>
      </c>
      <c r="G23" s="20" t="s">
        <v>580</v>
      </c>
      <c r="H23" s="20">
        <v>24.919</v>
      </c>
      <c r="I23">
        <f t="shared" ref="I23" si="40">H23-E23</f>
        <v>4.5713333333333317</v>
      </c>
      <c r="J23">
        <f t="shared" si="1"/>
        <v>4.2062157620109342E-2</v>
      </c>
      <c r="K23">
        <f t="shared" ref="K23" si="41">AVERAGE(J21:J23)</f>
        <v>4.2862934589576372E-2</v>
      </c>
      <c r="L23">
        <f t="shared" si="3"/>
        <v>130.87330775774851</v>
      </c>
      <c r="N23" s="90" t="s">
        <v>237</v>
      </c>
      <c r="O23" s="90">
        <v>1.2873107957194063</v>
      </c>
      <c r="P23" s="90">
        <v>0.82608400671929905</v>
      </c>
      <c r="Q23" s="90">
        <v>0.88660315763660458</v>
      </c>
      <c r="R23" s="90">
        <v>0.8506831240330579</v>
      </c>
      <c r="S23" s="90">
        <v>2.1179870071663345</v>
      </c>
      <c r="T23" s="90">
        <v>1.2567465591813596</v>
      </c>
      <c r="U23" s="101">
        <f>AVERAGE(O23:Q23)</f>
        <v>0.99999932002510328</v>
      </c>
      <c r="V23" s="101">
        <f>STDEV(O23:Q23)</f>
        <v>0.2506522590286519</v>
      </c>
      <c r="W23" s="101">
        <f>V23/SQRT(3)</f>
        <v>0.14471414922317999</v>
      </c>
      <c r="X23" s="101">
        <f>AVERAGE(R23:T23)</f>
        <v>1.4084722301269172</v>
      </c>
      <c r="Y23" s="101">
        <f>STDEV(R23:T23)</f>
        <v>0.64713236085756087</v>
      </c>
      <c r="Z23" s="101">
        <f>Y23/SQRT(3)</f>
        <v>0.37362204274243083</v>
      </c>
      <c r="AA23" s="94" t="s">
        <v>681</v>
      </c>
    </row>
    <row r="24" spans="2:27">
      <c r="B24" s="20" t="s">
        <v>23</v>
      </c>
      <c r="C24" s="20" t="s">
        <v>581</v>
      </c>
      <c r="D24" s="20">
        <v>21.829000000000001</v>
      </c>
      <c r="E24" s="20"/>
      <c r="F24" s="20" t="s">
        <v>442</v>
      </c>
      <c r="G24" s="20" t="s">
        <v>581</v>
      </c>
      <c r="H24" s="20">
        <v>25.632000000000001</v>
      </c>
      <c r="I24">
        <f t="shared" ref="I24" si="42">H24-E26</f>
        <v>3.4883333333333297</v>
      </c>
      <c r="J24">
        <f t="shared" si="1"/>
        <v>8.9106017095165996E-2</v>
      </c>
      <c r="L24">
        <f t="shared" si="3"/>
        <v>277.24681419546602</v>
      </c>
      <c r="N24" s="90" t="s">
        <v>588</v>
      </c>
      <c r="O24" s="90">
        <v>126.50293722170041</v>
      </c>
      <c r="P24" s="90">
        <v>142.71835410930484</v>
      </c>
      <c r="Q24" s="90">
        <v>130.87330775774851</v>
      </c>
      <c r="R24" s="90">
        <v>277.24681419546602</v>
      </c>
      <c r="S24" s="90">
        <v>378.9929160960445</v>
      </c>
      <c r="T24" s="90">
        <v>222.40217277883033</v>
      </c>
      <c r="U24" s="101">
        <f t="shared" ref="U24:U27" si="43">AVERAGE(O24:Q24)</f>
        <v>133.36486636291792</v>
      </c>
      <c r="V24" s="101">
        <f t="shared" ref="V24:V27" si="44">STDEV(O24:Q24)</f>
        <v>8.3899245778461609</v>
      </c>
      <c r="W24" s="101">
        <f t="shared" ref="W24:W27" si="45">V24/SQRT(3)</f>
        <v>4.8439252135001389</v>
      </c>
      <c r="X24" s="101">
        <f t="shared" ref="X24:X27" si="46">AVERAGE(R24:T24)</f>
        <v>292.88063435678032</v>
      </c>
      <c r="Y24" s="101">
        <f t="shared" ref="Y24:Y27" si="47">STDEV(R24:T24)</f>
        <v>79.45739407246252</v>
      </c>
      <c r="Z24" s="101">
        <f t="shared" ref="Z24:Z27" si="48">Y24/SQRT(3)</f>
        <v>45.874747856842411</v>
      </c>
      <c r="AA24" s="94">
        <v>0.55359999999999998</v>
      </c>
    </row>
    <row r="25" spans="2:27">
      <c r="B25" s="20" t="s">
        <v>23</v>
      </c>
      <c r="C25" s="20" t="s">
        <v>581</v>
      </c>
      <c r="D25" s="20">
        <v>22.376999999999999</v>
      </c>
      <c r="E25" s="20"/>
      <c r="F25" s="20" t="s">
        <v>442</v>
      </c>
      <c r="G25" s="20" t="s">
        <v>581</v>
      </c>
      <c r="H25" s="20">
        <v>25.181000000000001</v>
      </c>
      <c r="I25">
        <f t="shared" ref="I25" si="49">H25-E26</f>
        <v>3.0373333333333292</v>
      </c>
      <c r="J25">
        <f t="shared" si="1"/>
        <v>0.12180680726160432</v>
      </c>
      <c r="L25">
        <f t="shared" si="3"/>
        <v>378.9929160960445</v>
      </c>
      <c r="N25" s="90" t="s">
        <v>590</v>
      </c>
      <c r="O25" s="90">
        <v>638.71435830497023</v>
      </c>
      <c r="P25" s="90">
        <v>668.61275751843732</v>
      </c>
      <c r="Q25" s="90">
        <v>702.34062319122631</v>
      </c>
      <c r="R25" s="90">
        <v>1268.6048719210946</v>
      </c>
      <c r="S25" s="90">
        <v>1243.3588932697135</v>
      </c>
      <c r="T25" s="90">
        <v>1546.7529524598121</v>
      </c>
      <c r="U25" s="101">
        <f t="shared" si="43"/>
        <v>669.88924633821125</v>
      </c>
      <c r="V25" s="101">
        <f t="shared" si="44"/>
        <v>31.832333618889173</v>
      </c>
      <c r="W25" s="101">
        <f t="shared" si="45"/>
        <v>18.378406383799639</v>
      </c>
      <c r="X25" s="101">
        <f t="shared" si="46"/>
        <v>1352.9055725502067</v>
      </c>
      <c r="Y25" s="101">
        <f t="shared" si="47"/>
        <v>168.35066047652253</v>
      </c>
      <c r="Z25" s="101">
        <f t="shared" si="48"/>
        <v>97.197299144371584</v>
      </c>
      <c r="AA25" s="94" t="s">
        <v>666</v>
      </c>
    </row>
    <row r="26" spans="2:27">
      <c r="B26" s="20" t="s">
        <v>23</v>
      </c>
      <c r="C26" s="20" t="s">
        <v>581</v>
      </c>
      <c r="D26" s="20">
        <v>22.225000000000001</v>
      </c>
      <c r="E26" s="20">
        <f t="shared" ref="E26" si="50">AVERAGE(D24:D26)</f>
        <v>22.143666666666672</v>
      </c>
      <c r="F26" s="20" t="s">
        <v>442</v>
      </c>
      <c r="G26" s="20" t="s">
        <v>581</v>
      </c>
      <c r="H26" s="20">
        <v>25.95</v>
      </c>
      <c r="I26">
        <f t="shared" ref="I26" si="51">H26-E26</f>
        <v>3.8063333333333276</v>
      </c>
      <c r="J26">
        <f t="shared" si="1"/>
        <v>7.1479168722424949E-2</v>
      </c>
      <c r="K26">
        <f t="shared" ref="K26" si="52">AVERAGE(J24:J26)</f>
        <v>9.4130664359731761E-2</v>
      </c>
      <c r="L26">
        <f t="shared" si="3"/>
        <v>222.40217277883033</v>
      </c>
      <c r="N26" s="90" t="s">
        <v>591</v>
      </c>
      <c r="O26" s="90">
        <v>630.06654845738956</v>
      </c>
      <c r="P26" s="90">
        <v>546.60710626715922</v>
      </c>
      <c r="Q26" s="90">
        <v>753.44605193175107</v>
      </c>
      <c r="R26" s="90">
        <v>1609.0875086876099</v>
      </c>
      <c r="S26" s="90">
        <v>1464.3321042493367</v>
      </c>
      <c r="T26" s="90">
        <v>1016.9457983314237</v>
      </c>
      <c r="U26" s="101">
        <f t="shared" si="43"/>
        <v>643.37323555209991</v>
      </c>
      <c r="V26" s="101">
        <f t="shared" si="44"/>
        <v>104.05954209964385</v>
      </c>
      <c r="W26" s="101">
        <f t="shared" si="45"/>
        <v>60.078804642978575</v>
      </c>
      <c r="X26" s="101">
        <f t="shared" si="46"/>
        <v>1363.4551370894567</v>
      </c>
      <c r="Y26" s="101">
        <f t="shared" si="47"/>
        <v>308.69090230102188</v>
      </c>
      <c r="Z26" s="101">
        <f t="shared" si="48"/>
        <v>178.22277553988346</v>
      </c>
      <c r="AA26" s="94" t="s">
        <v>666</v>
      </c>
    </row>
    <row r="27" spans="2:27">
      <c r="B27" s="20" t="s">
        <v>23</v>
      </c>
      <c r="C27" s="20" t="s">
        <v>582</v>
      </c>
      <c r="D27" s="20">
        <v>20.207000000000001</v>
      </c>
      <c r="E27" s="20"/>
      <c r="F27" s="20" t="s">
        <v>442</v>
      </c>
      <c r="G27" s="20" t="s">
        <v>582</v>
      </c>
      <c r="H27" s="20">
        <v>22.795000000000002</v>
      </c>
      <c r="I27">
        <f t="shared" ref="I27" si="53">H27-E29</f>
        <v>2.2843333333333327</v>
      </c>
      <c r="J27">
        <f t="shared" si="1"/>
        <v>0.20528023990178421</v>
      </c>
      <c r="L27">
        <f t="shared" si="3"/>
        <v>638.71435830497023</v>
      </c>
      <c r="N27" s="90" t="s">
        <v>592</v>
      </c>
      <c r="O27" s="90">
        <v>477.28055133895958</v>
      </c>
      <c r="P27" s="90">
        <v>475.95908145775593</v>
      </c>
      <c r="Q27" s="90">
        <v>404.41529171846616</v>
      </c>
      <c r="R27" s="90">
        <v>763.43441101746839</v>
      </c>
      <c r="S27" s="90">
        <v>745.13623242253948</v>
      </c>
      <c r="T27" s="90">
        <v>1032.0952505609614</v>
      </c>
      <c r="U27" s="101">
        <f t="shared" si="43"/>
        <v>452.55164150506062</v>
      </c>
      <c r="V27" s="101">
        <f t="shared" si="44"/>
        <v>41.692537686554374</v>
      </c>
      <c r="W27" s="101">
        <f t="shared" si="45"/>
        <v>24.071197856530787</v>
      </c>
      <c r="X27" s="101">
        <f t="shared" si="46"/>
        <v>846.88863133365646</v>
      </c>
      <c r="Y27" s="101">
        <f t="shared" si="47"/>
        <v>160.65436405270393</v>
      </c>
      <c r="Z27" s="101">
        <f t="shared" si="48"/>
        <v>92.753840332316756</v>
      </c>
      <c r="AA27" s="94">
        <v>6.8999999999999999E-3</v>
      </c>
    </row>
    <row r="28" spans="2:27">
      <c r="B28" s="20" t="s">
        <v>23</v>
      </c>
      <c r="C28" s="20" t="s">
        <v>582</v>
      </c>
      <c r="D28" s="20">
        <v>20.559000000000001</v>
      </c>
      <c r="E28" s="20"/>
      <c r="F28" s="20" t="s">
        <v>442</v>
      </c>
      <c r="G28" s="20" t="s">
        <v>582</v>
      </c>
      <c r="H28" s="20">
        <v>22.728999999999999</v>
      </c>
      <c r="I28">
        <f t="shared" ref="I28" si="54">H28-E29</f>
        <v>2.2183333333333302</v>
      </c>
      <c r="J28">
        <f t="shared" si="1"/>
        <v>0.2148894658153957</v>
      </c>
      <c r="L28">
        <f t="shared" si="3"/>
        <v>668.61275751843732</v>
      </c>
      <c r="N28" s="90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</row>
    <row r="29" spans="2:27">
      <c r="B29" s="20" t="s">
        <v>23</v>
      </c>
      <c r="C29" s="20" t="s">
        <v>582</v>
      </c>
      <c r="D29" s="20">
        <v>20.765999999999998</v>
      </c>
      <c r="E29" s="20">
        <f t="shared" ref="E29" si="55">AVERAGE(D27:D29)</f>
        <v>20.510666666666669</v>
      </c>
      <c r="F29" s="20" t="s">
        <v>442</v>
      </c>
      <c r="G29" s="20" t="s">
        <v>582</v>
      </c>
      <c r="H29" s="20">
        <v>22.658000000000001</v>
      </c>
      <c r="I29">
        <f t="shared" ref="I29" si="56">H29-E29</f>
        <v>2.1473333333333322</v>
      </c>
      <c r="J29">
        <f t="shared" si="1"/>
        <v>0.22572946693116736</v>
      </c>
      <c r="K29">
        <f t="shared" ref="K29" si="57">AVERAGE(J27:J29)</f>
        <v>0.21529972421611576</v>
      </c>
      <c r="L29">
        <f t="shared" si="3"/>
        <v>702.34062319122631</v>
      </c>
    </row>
    <row r="30" spans="2:27">
      <c r="B30" s="20" t="s">
        <v>23</v>
      </c>
      <c r="C30" s="20" t="s">
        <v>583</v>
      </c>
      <c r="D30" s="20">
        <v>20.826000000000001</v>
      </c>
      <c r="E30" s="20"/>
      <c r="F30" s="20" t="s">
        <v>442</v>
      </c>
      <c r="G30" s="20" t="s">
        <v>583</v>
      </c>
      <c r="H30" s="20">
        <v>22.114000000000001</v>
      </c>
      <c r="I30">
        <f t="shared" ref="I30" si="58">H30-E32</f>
        <v>1.2943333333333342</v>
      </c>
      <c r="J30">
        <f t="shared" si="1"/>
        <v>0.40772453141595211</v>
      </c>
      <c r="L30">
        <f t="shared" si="3"/>
        <v>1268.6048719210946</v>
      </c>
    </row>
    <row r="31" spans="2:27">
      <c r="B31" s="20" t="s">
        <v>23</v>
      </c>
      <c r="C31" s="20" t="s">
        <v>583</v>
      </c>
      <c r="D31" s="20">
        <v>20.928000000000001</v>
      </c>
      <c r="E31" s="20"/>
      <c r="F31" s="20" t="s">
        <v>442</v>
      </c>
      <c r="G31" s="20" t="s">
        <v>583</v>
      </c>
      <c r="H31" s="20">
        <v>22.143000000000001</v>
      </c>
      <c r="I31">
        <f t="shared" ref="I31" si="59">H31-E32</f>
        <v>1.3233333333333341</v>
      </c>
      <c r="J31">
        <f t="shared" si="1"/>
        <v>0.39961057486131285</v>
      </c>
      <c r="L31">
        <f t="shared" si="3"/>
        <v>1243.3588932697135</v>
      </c>
    </row>
    <row r="32" spans="2:27">
      <c r="B32" s="20" t="s">
        <v>23</v>
      </c>
      <c r="C32" s="20" t="s">
        <v>583</v>
      </c>
      <c r="D32" s="20">
        <v>20.704999999999998</v>
      </c>
      <c r="E32" s="20">
        <f t="shared" ref="E32" si="60">AVERAGE(D30:D32)</f>
        <v>20.819666666666667</v>
      </c>
      <c r="F32" s="20" t="s">
        <v>442</v>
      </c>
      <c r="G32" s="20" t="s">
        <v>583</v>
      </c>
      <c r="H32" s="20">
        <v>21.827999999999999</v>
      </c>
      <c r="I32">
        <f t="shared" ref="I32" si="61">H32-E32</f>
        <v>1.0083333333333329</v>
      </c>
      <c r="J32">
        <f t="shared" si="1"/>
        <v>0.49712021190877376</v>
      </c>
      <c r="K32">
        <f t="shared" ref="K32" si="62">AVERAGE(J30:J32)</f>
        <v>0.43481843939534626</v>
      </c>
      <c r="L32">
        <f t="shared" si="3"/>
        <v>1546.7529524598121</v>
      </c>
    </row>
    <row r="33" spans="2:12">
      <c r="B33" s="20" t="s">
        <v>23</v>
      </c>
      <c r="C33" s="20" t="s">
        <v>584</v>
      </c>
      <c r="D33" s="20">
        <v>19.981999999999999</v>
      </c>
      <c r="E33" s="20"/>
      <c r="F33" s="20" t="s">
        <v>442</v>
      </c>
      <c r="G33" s="20" t="s">
        <v>584</v>
      </c>
      <c r="H33" s="20">
        <v>22.388000000000002</v>
      </c>
      <c r="I33">
        <f t="shared" ref="I33:I42" si="63">H33-E35</f>
        <v>2.304000000000002</v>
      </c>
      <c r="J33">
        <f t="shared" si="1"/>
        <v>0.20250086840801118</v>
      </c>
      <c r="L33">
        <f t="shared" si="3"/>
        <v>630.06654845738956</v>
      </c>
    </row>
    <row r="34" spans="2:12">
      <c r="B34" s="20" t="s">
        <v>23</v>
      </c>
      <c r="C34" s="20" t="s">
        <v>584</v>
      </c>
      <c r="D34" s="20">
        <v>20.018999999999998</v>
      </c>
      <c r="E34" s="20"/>
      <c r="F34" s="20" t="s">
        <v>442</v>
      </c>
      <c r="G34" s="20" t="s">
        <v>584</v>
      </c>
      <c r="H34" s="20">
        <v>22.593</v>
      </c>
      <c r="I34">
        <f t="shared" ref="I34:I43" si="64">H34-E35</f>
        <v>2.5090000000000003</v>
      </c>
      <c r="J34">
        <f t="shared" si="1"/>
        <v>0.17567733752583992</v>
      </c>
      <c r="L34">
        <f t="shared" si="3"/>
        <v>546.60710626715922</v>
      </c>
    </row>
    <row r="35" spans="2:12">
      <c r="B35" s="20" t="s">
        <v>23</v>
      </c>
      <c r="C35" s="20" t="s">
        <v>584</v>
      </c>
      <c r="D35" s="20">
        <v>20.251000000000001</v>
      </c>
      <c r="E35" s="20">
        <f t="shared" ref="E35:E44" si="65">AVERAGE(D33:D35)</f>
        <v>20.084</v>
      </c>
      <c r="F35" s="20" t="s">
        <v>442</v>
      </c>
      <c r="G35" s="20" t="s">
        <v>584</v>
      </c>
      <c r="H35" s="20">
        <v>22.13</v>
      </c>
      <c r="I35">
        <f t="shared" ref="I35:I44" si="66">H35-E35</f>
        <v>2.0459999999999994</v>
      </c>
      <c r="J35">
        <f t="shared" si="1"/>
        <v>0.24215454730665706</v>
      </c>
      <c r="K35">
        <f t="shared" ref="K35:K44" si="67">AVERAGE(J33:J35)</f>
        <v>0.20677758441350272</v>
      </c>
      <c r="L35">
        <f t="shared" si="3"/>
        <v>753.44605193175107</v>
      </c>
    </row>
    <row r="36" spans="2:12">
      <c r="B36" s="20" t="s">
        <v>23</v>
      </c>
      <c r="C36" s="20" t="s">
        <v>585</v>
      </c>
      <c r="D36" s="20">
        <v>20.488</v>
      </c>
      <c r="E36" s="20"/>
      <c r="F36" s="20" t="s">
        <v>442</v>
      </c>
      <c r="G36" s="20" t="s">
        <v>585</v>
      </c>
      <c r="H36" s="20">
        <v>21.574000000000002</v>
      </c>
      <c r="I36">
        <f t="shared" si="63"/>
        <v>0.95133333333333425</v>
      </c>
      <c r="J36">
        <f t="shared" si="1"/>
        <v>0.51715428894216309</v>
      </c>
      <c r="L36">
        <f t="shared" si="3"/>
        <v>1609.0875086876099</v>
      </c>
    </row>
    <row r="37" spans="2:12">
      <c r="B37" s="20" t="s">
        <v>23</v>
      </c>
      <c r="C37" s="20" t="s">
        <v>585</v>
      </c>
      <c r="D37" s="20">
        <v>20.484000000000002</v>
      </c>
      <c r="E37" s="20"/>
      <c r="F37" s="20" t="s">
        <v>442</v>
      </c>
      <c r="G37" s="20" t="s">
        <v>585</v>
      </c>
      <c r="H37" s="20">
        <v>21.71</v>
      </c>
      <c r="I37">
        <f t="shared" si="64"/>
        <v>1.0873333333333335</v>
      </c>
      <c r="J37">
        <f t="shared" si="1"/>
        <v>0.4706304809773198</v>
      </c>
      <c r="L37">
        <f t="shared" si="3"/>
        <v>1464.3321042493367</v>
      </c>
    </row>
    <row r="38" spans="2:12">
      <c r="B38" s="20" t="s">
        <v>23</v>
      </c>
      <c r="C38" s="20" t="s">
        <v>585</v>
      </c>
      <c r="D38" s="20">
        <v>20.896000000000001</v>
      </c>
      <c r="E38" s="20">
        <f t="shared" si="65"/>
        <v>20.622666666666667</v>
      </c>
      <c r="F38" s="20" t="s">
        <v>442</v>
      </c>
      <c r="G38" s="20" t="s">
        <v>585</v>
      </c>
      <c r="H38" s="20">
        <v>22.236000000000001</v>
      </c>
      <c r="I38">
        <f t="shared" si="66"/>
        <v>1.6133333333333333</v>
      </c>
      <c r="J38">
        <f t="shared" si="1"/>
        <v>0.32684231180052625</v>
      </c>
      <c r="K38">
        <f t="shared" si="67"/>
        <v>0.43820902724000305</v>
      </c>
      <c r="L38">
        <f t="shared" si="3"/>
        <v>1016.9457983314237</v>
      </c>
    </row>
    <row r="39" spans="2:12">
      <c r="B39" s="20" t="s">
        <v>23</v>
      </c>
      <c r="C39" s="20" t="s">
        <v>586</v>
      </c>
      <c r="D39" s="20">
        <v>20.885999999999999</v>
      </c>
      <c r="E39" s="20"/>
      <c r="F39" s="20" t="s">
        <v>442</v>
      </c>
      <c r="G39" s="20" t="s">
        <v>586</v>
      </c>
      <c r="H39" s="20">
        <v>23.457999999999998</v>
      </c>
      <c r="I39">
        <f t="shared" si="63"/>
        <v>2.7046666666666646</v>
      </c>
      <c r="J39">
        <f t="shared" si="1"/>
        <v>0.15339606007813625</v>
      </c>
      <c r="L39">
        <f t="shared" si="3"/>
        <v>477.28055133895958</v>
      </c>
    </row>
    <row r="40" spans="2:12">
      <c r="B40" s="20" t="s">
        <v>23</v>
      </c>
      <c r="C40" s="20" t="s">
        <v>586</v>
      </c>
      <c r="D40" s="20">
        <v>20.667999999999999</v>
      </c>
      <c r="E40" s="20"/>
      <c r="F40" s="20" t="s">
        <v>442</v>
      </c>
      <c r="G40" s="20" t="s">
        <v>586</v>
      </c>
      <c r="H40" s="20">
        <v>23.462</v>
      </c>
      <c r="I40">
        <f t="shared" si="64"/>
        <v>2.7086666666666659</v>
      </c>
      <c r="J40">
        <f t="shared" si="1"/>
        <v>0.15297134494419692</v>
      </c>
      <c r="L40">
        <f t="shared" si="3"/>
        <v>475.95908145775593</v>
      </c>
    </row>
    <row r="41" spans="2:12">
      <c r="B41" s="20" t="s">
        <v>23</v>
      </c>
      <c r="C41" s="20" t="s">
        <v>586</v>
      </c>
      <c r="D41" s="20">
        <v>20.706</v>
      </c>
      <c r="E41" s="20">
        <f t="shared" si="65"/>
        <v>20.753333333333334</v>
      </c>
      <c r="F41" s="20" t="s">
        <v>442</v>
      </c>
      <c r="G41" s="20" t="s">
        <v>586</v>
      </c>
      <c r="H41" s="20">
        <v>23.696999999999999</v>
      </c>
      <c r="I41">
        <f t="shared" si="66"/>
        <v>2.9436666666666653</v>
      </c>
      <c r="J41">
        <f t="shared" si="1"/>
        <v>0.12997745709714814</v>
      </c>
      <c r="K41">
        <f t="shared" si="67"/>
        <v>0.14544828737316043</v>
      </c>
      <c r="L41">
        <f t="shared" si="3"/>
        <v>404.41529171846616</v>
      </c>
    </row>
    <row r="42" spans="2:12">
      <c r="B42" s="20" t="s">
        <v>23</v>
      </c>
      <c r="C42" s="20" t="s">
        <v>587</v>
      </c>
      <c r="D42" s="20">
        <v>21.41</v>
      </c>
      <c r="E42" s="20"/>
      <c r="F42" s="20" t="s">
        <v>442</v>
      </c>
      <c r="G42" s="20" t="s">
        <v>587</v>
      </c>
      <c r="H42" s="20">
        <v>23.422999999999998</v>
      </c>
      <c r="I42">
        <f t="shared" si="63"/>
        <v>2.0269999999999975</v>
      </c>
      <c r="J42">
        <f t="shared" si="1"/>
        <v>0.24536476596337026</v>
      </c>
      <c r="L42">
        <f t="shared" si="3"/>
        <v>763.43441101746839</v>
      </c>
    </row>
    <row r="43" spans="2:12">
      <c r="B43" s="20" t="s">
        <v>23</v>
      </c>
      <c r="C43" s="20" t="s">
        <v>587</v>
      </c>
      <c r="D43" s="20">
        <v>21.356000000000002</v>
      </c>
      <c r="E43" s="20"/>
      <c r="F43" s="20" t="s">
        <v>442</v>
      </c>
      <c r="G43" s="20" t="s">
        <v>587</v>
      </c>
      <c r="H43" s="20">
        <v>23.457999999999998</v>
      </c>
      <c r="I43">
        <f t="shared" si="64"/>
        <v>2.0619999999999976</v>
      </c>
      <c r="J43">
        <f t="shared" si="1"/>
        <v>0.2394838045556745</v>
      </c>
      <c r="L43">
        <f t="shared" si="3"/>
        <v>745.13623242253948</v>
      </c>
    </row>
    <row r="44" spans="2:12">
      <c r="B44" s="20" t="s">
        <v>23</v>
      </c>
      <c r="C44" s="20" t="s">
        <v>587</v>
      </c>
      <c r="D44" s="20">
        <v>21.422000000000001</v>
      </c>
      <c r="E44" s="20">
        <f t="shared" si="65"/>
        <v>21.396000000000001</v>
      </c>
      <c r="F44" s="20" t="s">
        <v>442</v>
      </c>
      <c r="G44" s="20" t="s">
        <v>587</v>
      </c>
      <c r="H44" s="20">
        <v>22.988</v>
      </c>
      <c r="I44">
        <f t="shared" si="66"/>
        <v>1.5919999999999987</v>
      </c>
      <c r="J44">
        <f t="shared" si="1"/>
        <v>0.33171128514929071</v>
      </c>
      <c r="K44">
        <f t="shared" si="67"/>
        <v>0.27218661855611181</v>
      </c>
      <c r="L44">
        <f t="shared" si="3"/>
        <v>1032.0952505609614</v>
      </c>
    </row>
    <row r="49" spans="2:27">
      <c r="B49" s="20" t="s">
        <v>23</v>
      </c>
      <c r="C49" s="20" t="s">
        <v>24</v>
      </c>
      <c r="D49" s="20">
        <v>19.402000000000001</v>
      </c>
      <c r="E49" s="20"/>
      <c r="F49" s="20" t="s">
        <v>445</v>
      </c>
      <c r="G49" s="20" t="s">
        <v>24</v>
      </c>
      <c r="H49" s="20">
        <v>27.587</v>
      </c>
      <c r="I49">
        <f t="shared" ref="I49" si="68">H49-E51</f>
        <v>8.3509999999999991</v>
      </c>
      <c r="J49">
        <f t="shared" ref="J49:J85" si="69">POWER(2,-I49)</f>
        <v>3.0626580237333575E-3</v>
      </c>
      <c r="L49">
        <f>J49/0.00259424714766913</f>
        <v>1.1805575372743817</v>
      </c>
      <c r="N49" s="90"/>
      <c r="O49" s="114" t="s">
        <v>341</v>
      </c>
      <c r="P49" s="114"/>
      <c r="Q49" s="114"/>
      <c r="R49" s="114" t="s">
        <v>342</v>
      </c>
      <c r="S49" s="114"/>
      <c r="T49" s="114"/>
      <c r="U49" s="101" t="s">
        <v>663</v>
      </c>
      <c r="V49" s="101" t="s">
        <v>396</v>
      </c>
      <c r="W49" s="101" t="s">
        <v>664</v>
      </c>
      <c r="X49" s="101" t="s">
        <v>663</v>
      </c>
      <c r="Y49" s="101" t="s">
        <v>396</v>
      </c>
      <c r="Z49" s="101" t="s">
        <v>664</v>
      </c>
      <c r="AA49" s="101" t="s">
        <v>665</v>
      </c>
    </row>
    <row r="50" spans="2:27">
      <c r="B50" s="20" t="s">
        <v>23</v>
      </c>
      <c r="C50" s="20" t="s">
        <v>24</v>
      </c>
      <c r="D50" s="20">
        <v>19.181999999999999</v>
      </c>
      <c r="E50" s="20"/>
      <c r="F50" s="20" t="s">
        <v>445</v>
      </c>
      <c r="G50" s="20" t="s">
        <v>24</v>
      </c>
      <c r="H50" s="20">
        <v>27.972000000000001</v>
      </c>
      <c r="I50">
        <f t="shared" ref="I50" si="70">H50-E51</f>
        <v>8.7360000000000007</v>
      </c>
      <c r="J50">
        <f t="shared" si="69"/>
        <v>2.3453191943070464E-3</v>
      </c>
      <c r="L50">
        <f t="shared" ref="L50:L90" si="71">J50/0.00259424714766913</f>
        <v>0.90404616862131293</v>
      </c>
      <c r="N50" s="90" t="s">
        <v>237</v>
      </c>
      <c r="O50" s="90">
        <v>1.1805575372743817</v>
      </c>
      <c r="P50" s="90">
        <v>0.90404616862131293</v>
      </c>
      <c r="Q50" s="90">
        <v>0.91539629410430545</v>
      </c>
      <c r="R50" s="90">
        <v>1.1557278314042168</v>
      </c>
      <c r="S50" s="90">
        <v>1.2894909874030414</v>
      </c>
      <c r="T50" s="90">
        <v>1.4199121666019059</v>
      </c>
      <c r="U50" s="101">
        <f>AVERAGE(O50:Q50)</f>
        <v>1</v>
      </c>
      <c r="V50" s="101">
        <f>STDEV(O50:Q50)</f>
        <v>0.15647036312689536</v>
      </c>
      <c r="W50" s="101">
        <f>V50/SQRT(3)</f>
        <v>9.0338206271511526E-2</v>
      </c>
      <c r="X50" s="101">
        <f>AVERAGE(R50:T50)</f>
        <v>1.2883769951363879</v>
      </c>
      <c r="Y50" s="101">
        <f>STDEV(R50:T50)</f>
        <v>0.13209569059980295</v>
      </c>
      <c r="Z50" s="101">
        <f>Y50/SQRT(3)</f>
        <v>7.6265482526585757E-2</v>
      </c>
      <c r="AA50" s="94" t="s">
        <v>681</v>
      </c>
    </row>
    <row r="51" spans="2:27">
      <c r="B51" s="20" t="s">
        <v>23</v>
      </c>
      <c r="C51" s="20" t="s">
        <v>24</v>
      </c>
      <c r="D51" s="20">
        <v>19.123999999999999</v>
      </c>
      <c r="E51" s="20">
        <f>AVERAGE(D49:D51)</f>
        <v>19.236000000000001</v>
      </c>
      <c r="F51" s="20" t="s">
        <v>445</v>
      </c>
      <c r="G51" s="20" t="s">
        <v>24</v>
      </c>
      <c r="H51" s="20">
        <v>27.954000000000001</v>
      </c>
      <c r="I51">
        <f t="shared" ref="I51" si="72">H51-E51</f>
        <v>8.718</v>
      </c>
      <c r="J51">
        <f t="shared" si="69"/>
        <v>2.3747642249669866E-3</v>
      </c>
      <c r="K51">
        <f>AVERAGE(J49:J51)</f>
        <v>2.59424714766913E-3</v>
      </c>
      <c r="L51">
        <f t="shared" si="71"/>
        <v>0.91539629410430545</v>
      </c>
      <c r="N51" s="90" t="s">
        <v>20</v>
      </c>
      <c r="O51" s="90">
        <v>988.52594616376734</v>
      </c>
      <c r="P51" s="90">
        <v>934.55452196625777</v>
      </c>
      <c r="Q51" s="90">
        <v>952.86962523227942</v>
      </c>
      <c r="R51" s="90">
        <v>1615.9143578539108</v>
      </c>
      <c r="S51" s="90">
        <v>1563.0357090353868</v>
      </c>
      <c r="T51" s="90">
        <v>1796.7014948304015</v>
      </c>
      <c r="U51" s="101">
        <f t="shared" ref="U51:U52" si="73">AVERAGE(O51:Q51)</f>
        <v>958.65003112076818</v>
      </c>
      <c r="V51" s="101">
        <f t="shared" ref="V51:V52" si="74">STDEV(O51:Q51)</f>
        <v>27.446101301526184</v>
      </c>
      <c r="W51" s="101">
        <f t="shared" ref="W51:W52" si="75">V51/SQRT(3)</f>
        <v>15.846013974641881</v>
      </c>
      <c r="X51" s="101">
        <f t="shared" ref="X51:X52" si="76">AVERAGE(R51:T51)</f>
        <v>1658.5505205732331</v>
      </c>
      <c r="Y51" s="101">
        <f t="shared" ref="Y51:Y52" si="77">STDEV(R51:T51)</f>
        <v>122.52879923255519</v>
      </c>
      <c r="Z51" s="101">
        <f t="shared" ref="Z51:Z52" si="78">Y51/SQRT(3)</f>
        <v>70.742035220397355</v>
      </c>
      <c r="AA51" s="94" t="s">
        <v>666</v>
      </c>
    </row>
    <row r="52" spans="2:27">
      <c r="B52" s="20" t="s">
        <v>23</v>
      </c>
      <c r="C52" s="20" t="s">
        <v>26</v>
      </c>
      <c r="D52" s="20">
        <v>20.366</v>
      </c>
      <c r="E52" s="20"/>
      <c r="F52" s="20" t="s">
        <v>445</v>
      </c>
      <c r="G52" s="20" t="s">
        <v>26</v>
      </c>
      <c r="H52" s="20">
        <v>28.695</v>
      </c>
      <c r="I52">
        <f t="shared" ref="I52" si="79">H52-E54</f>
        <v>8.3816666666666677</v>
      </c>
      <c r="J52">
        <f t="shared" si="69"/>
        <v>2.9982436301022185E-3</v>
      </c>
      <c r="L52">
        <f t="shared" si="71"/>
        <v>1.1557278314042168</v>
      </c>
      <c r="N52" s="90" t="s">
        <v>589</v>
      </c>
      <c r="O52" s="90">
        <v>524.74341842201977</v>
      </c>
      <c r="P52" s="90">
        <v>493.69230779746727</v>
      </c>
      <c r="Q52" s="90">
        <v>474.23829524358604</v>
      </c>
      <c r="R52" s="90">
        <v>1240.2956621379078</v>
      </c>
      <c r="S52" s="90">
        <v>1231.7283141922676</v>
      </c>
      <c r="T52" s="90">
        <v>1123.2539006216809</v>
      </c>
      <c r="U52" s="101">
        <f t="shared" si="73"/>
        <v>497.55800715435771</v>
      </c>
      <c r="V52" s="101">
        <f t="shared" si="74"/>
        <v>25.47350761979175</v>
      </c>
      <c r="W52" s="101">
        <f t="shared" si="75"/>
        <v>14.707136481490751</v>
      </c>
      <c r="X52" s="101">
        <f t="shared" si="76"/>
        <v>1198.4259589839521</v>
      </c>
      <c r="Y52" s="101">
        <f t="shared" si="77"/>
        <v>65.241693965752788</v>
      </c>
      <c r="Z52" s="101">
        <f t="shared" si="78"/>
        <v>37.667309573514558</v>
      </c>
      <c r="AA52" s="94" t="s">
        <v>666</v>
      </c>
    </row>
    <row r="53" spans="2:27">
      <c r="B53" s="20" t="s">
        <v>23</v>
      </c>
      <c r="C53" s="20" t="s">
        <v>26</v>
      </c>
      <c r="D53" s="20">
        <v>20.262</v>
      </c>
      <c r="E53" s="20"/>
      <c r="F53" s="20" t="s">
        <v>445</v>
      </c>
      <c r="G53" s="20" t="s">
        <v>26</v>
      </c>
      <c r="H53" s="20">
        <v>28.536999999999999</v>
      </c>
      <c r="I53">
        <f t="shared" ref="I53" si="80">H53-E54</f>
        <v>8.2236666666666665</v>
      </c>
      <c r="J53">
        <f t="shared" si="69"/>
        <v>3.3452583160153903E-3</v>
      </c>
      <c r="L53">
        <f t="shared" si="71"/>
        <v>1.2894909874030414</v>
      </c>
      <c r="N53" s="90"/>
      <c r="O53" s="90"/>
      <c r="P53" s="90"/>
      <c r="Q53" s="90"/>
      <c r="R53" s="90"/>
      <c r="S53" s="90"/>
      <c r="T53" s="90"/>
      <c r="U53" s="101"/>
      <c r="V53" s="101"/>
      <c r="W53" s="101"/>
      <c r="X53" s="101"/>
      <c r="Y53" s="101"/>
      <c r="Z53" s="101"/>
      <c r="AA53" s="94"/>
    </row>
    <row r="54" spans="2:27">
      <c r="B54" s="20" t="s">
        <v>23</v>
      </c>
      <c r="C54" s="20" t="s">
        <v>26</v>
      </c>
      <c r="D54" s="20">
        <v>20.312000000000001</v>
      </c>
      <c r="E54" s="20">
        <f t="shared" ref="E54" si="81">AVERAGE(D52:D54)</f>
        <v>20.313333333333333</v>
      </c>
      <c r="F54" s="20" t="s">
        <v>445</v>
      </c>
      <c r="G54" s="20" t="s">
        <v>26</v>
      </c>
      <c r="H54" s="20">
        <v>28.398</v>
      </c>
      <c r="I54">
        <f t="shared" ref="I54" si="82">H54-E54</f>
        <v>8.0846666666666671</v>
      </c>
      <c r="J54">
        <f t="shared" si="69"/>
        <v>3.6836030881476889E-3</v>
      </c>
      <c r="K54">
        <f t="shared" ref="K54" si="83">AVERAGE(J52:J54)</f>
        <v>3.3423683447550995E-3</v>
      </c>
      <c r="L54">
        <f t="shared" si="71"/>
        <v>1.4199121666019059</v>
      </c>
      <c r="N54" s="90"/>
      <c r="O54" s="90"/>
      <c r="P54" s="90"/>
      <c r="Q54" s="90"/>
      <c r="R54" s="90"/>
      <c r="S54" s="90"/>
      <c r="T54" s="90"/>
      <c r="U54" s="101"/>
      <c r="V54" s="101"/>
      <c r="W54" s="101"/>
      <c r="X54" s="101"/>
      <c r="Y54" s="101"/>
      <c r="Z54" s="101"/>
      <c r="AA54" s="94"/>
    </row>
    <row r="55" spans="2:27">
      <c r="B55" s="20" t="s">
        <v>23</v>
      </c>
      <c r="C55" s="20" t="s">
        <v>576</v>
      </c>
      <c r="D55" s="20">
        <v>18.684000000000001</v>
      </c>
      <c r="E55" s="20"/>
      <c r="F55" s="20" t="s">
        <v>445</v>
      </c>
      <c r="G55" s="20" t="s">
        <v>576</v>
      </c>
      <c r="H55" s="20">
        <v>17.289000000000001</v>
      </c>
      <c r="I55">
        <f t="shared" ref="I55" si="84">H55-E57</f>
        <v>-1.3586666666666645</v>
      </c>
      <c r="J55">
        <f t="shared" si="69"/>
        <v>2.5644806162322813</v>
      </c>
      <c r="L55">
        <f t="shared" si="71"/>
        <v>988.52594616376734</v>
      </c>
    </row>
    <row r="56" spans="2:27">
      <c r="B56" s="20" t="s">
        <v>23</v>
      </c>
      <c r="C56" s="20" t="s">
        <v>576</v>
      </c>
      <c r="D56" s="20">
        <v>18.678999999999998</v>
      </c>
      <c r="E56" s="20"/>
      <c r="F56" s="20" t="s">
        <v>445</v>
      </c>
      <c r="G56" s="20" t="s">
        <v>576</v>
      </c>
      <c r="H56" s="20">
        <v>17.37</v>
      </c>
      <c r="I56">
        <f t="shared" ref="I56" si="85">H56-E57</f>
        <v>-1.277666666666665</v>
      </c>
      <c r="J56">
        <f t="shared" si="69"/>
        <v>2.4244654029522517</v>
      </c>
      <c r="L56">
        <f t="shared" si="71"/>
        <v>934.55452196625777</v>
      </c>
    </row>
    <row r="57" spans="2:27">
      <c r="B57" s="20" t="s">
        <v>23</v>
      </c>
      <c r="C57" s="20" t="s">
        <v>576</v>
      </c>
      <c r="D57" s="20">
        <v>18.579999999999998</v>
      </c>
      <c r="E57" s="20">
        <f t="shared" ref="E57" si="86">AVERAGE(D55:D57)</f>
        <v>18.647666666666666</v>
      </c>
      <c r="F57" s="20" t="s">
        <v>445</v>
      </c>
      <c r="G57" s="20" t="s">
        <v>576</v>
      </c>
      <c r="H57" s="20">
        <v>17.341999999999999</v>
      </c>
      <c r="I57">
        <f t="shared" ref="I57" si="87">H57-E57</f>
        <v>-1.3056666666666672</v>
      </c>
      <c r="J57">
        <f t="shared" si="69"/>
        <v>2.4719793073593936</v>
      </c>
      <c r="K57">
        <f t="shared" ref="K57" si="88">AVERAGE(J55:J57)</f>
        <v>2.4869751088479757</v>
      </c>
      <c r="L57">
        <f t="shared" si="71"/>
        <v>952.86962523227942</v>
      </c>
    </row>
    <row r="58" spans="2:27">
      <c r="B58" s="20" t="s">
        <v>23</v>
      </c>
      <c r="C58" s="20" t="s">
        <v>577</v>
      </c>
      <c r="D58" s="20">
        <v>20.209</v>
      </c>
      <c r="E58" s="20"/>
      <c r="F58" s="20" t="s">
        <v>445</v>
      </c>
      <c r="G58" s="20" t="s">
        <v>577</v>
      </c>
      <c r="H58" s="20">
        <v>17.968</v>
      </c>
      <c r="I58">
        <f t="shared" ref="I58" si="89">H58-E60</f>
        <v>-2.0676666666666677</v>
      </c>
      <c r="J58">
        <f t="shared" si="69"/>
        <v>4.192081213740102</v>
      </c>
      <c r="L58">
        <f t="shared" si="71"/>
        <v>1615.9143578539108</v>
      </c>
    </row>
    <row r="59" spans="2:27">
      <c r="B59" s="20" t="s">
        <v>23</v>
      </c>
      <c r="C59" s="20" t="s">
        <v>577</v>
      </c>
      <c r="D59" s="20">
        <v>19.908999999999999</v>
      </c>
      <c r="E59" s="20"/>
      <c r="F59" s="20" t="s">
        <v>445</v>
      </c>
      <c r="G59" s="20" t="s">
        <v>577</v>
      </c>
      <c r="H59" s="20">
        <v>18.015999999999998</v>
      </c>
      <c r="I59">
        <f t="shared" ref="I59" si="90">H59-E60</f>
        <v>-2.0196666666666694</v>
      </c>
      <c r="J59">
        <f t="shared" si="69"/>
        <v>4.0549009298700485</v>
      </c>
      <c r="L59">
        <f t="shared" si="71"/>
        <v>1563.0357090353868</v>
      </c>
    </row>
    <row r="60" spans="2:27">
      <c r="B60" s="20" t="s">
        <v>23</v>
      </c>
      <c r="C60" s="20" t="s">
        <v>577</v>
      </c>
      <c r="D60" s="20">
        <v>19.989000000000001</v>
      </c>
      <c r="E60" s="20">
        <f t="shared" ref="E60" si="91">AVERAGE(D58:D60)</f>
        <v>20.035666666666668</v>
      </c>
      <c r="F60" s="20" t="s">
        <v>445</v>
      </c>
      <c r="G60" s="20" t="s">
        <v>577</v>
      </c>
      <c r="H60" s="20">
        <v>17.815000000000001</v>
      </c>
      <c r="I60">
        <f t="shared" ref="I60" si="92">H60-E60</f>
        <v>-2.2206666666666663</v>
      </c>
      <c r="J60">
        <f t="shared" si="69"/>
        <v>4.6610877281766312</v>
      </c>
      <c r="K60">
        <f t="shared" ref="K60" si="93">AVERAGE(J58:J60)</f>
        <v>4.3026899572622606</v>
      </c>
      <c r="L60">
        <f t="shared" si="71"/>
        <v>1796.7014948304015</v>
      </c>
    </row>
    <row r="61" spans="2:27">
      <c r="B61" s="20" t="s">
        <v>23</v>
      </c>
      <c r="C61" s="20" t="s">
        <v>578</v>
      </c>
      <c r="D61" s="20">
        <v>19.785</v>
      </c>
      <c r="E61" s="20"/>
      <c r="F61" s="20" t="s">
        <v>445</v>
      </c>
      <c r="G61" s="20" t="s">
        <v>578</v>
      </c>
      <c r="H61" s="20">
        <v>19.248999999999999</v>
      </c>
      <c r="I61">
        <f t="shared" ref="I61" si="94">H61-E63</f>
        <v>-0.44500000000000028</v>
      </c>
      <c r="J61">
        <f t="shared" si="69"/>
        <v>1.3613141164994735</v>
      </c>
      <c r="L61">
        <f t="shared" si="71"/>
        <v>524.74341842201977</v>
      </c>
    </row>
    <row r="62" spans="2:27">
      <c r="B62" s="20" t="s">
        <v>23</v>
      </c>
      <c r="C62" s="20" t="s">
        <v>578</v>
      </c>
      <c r="D62" s="20">
        <v>19.645</v>
      </c>
      <c r="E62" s="20"/>
      <c r="F62" s="20" t="s">
        <v>445</v>
      </c>
      <c r="G62" s="20" t="s">
        <v>578</v>
      </c>
      <c r="H62" s="20">
        <v>19.337</v>
      </c>
      <c r="I62">
        <f t="shared" ref="I62" si="95">H62-E63</f>
        <v>-0.35699999999999932</v>
      </c>
      <c r="J62">
        <f t="shared" si="69"/>
        <v>1.2807598613297697</v>
      </c>
      <c r="L62">
        <f t="shared" si="71"/>
        <v>493.69230779746727</v>
      </c>
    </row>
    <row r="63" spans="2:27">
      <c r="B63" s="20" t="s">
        <v>23</v>
      </c>
      <c r="C63" s="20" t="s">
        <v>578</v>
      </c>
      <c r="D63" s="20">
        <v>19.652000000000001</v>
      </c>
      <c r="E63" s="20">
        <f t="shared" ref="E63" si="96">AVERAGE(D61:D63)</f>
        <v>19.693999999999999</v>
      </c>
      <c r="F63" s="20" t="s">
        <v>445</v>
      </c>
      <c r="G63" s="20" t="s">
        <v>578</v>
      </c>
      <c r="H63" s="20">
        <v>19.395</v>
      </c>
      <c r="I63">
        <f t="shared" ref="I63" si="97">H63-E63</f>
        <v>-0.29899999999999949</v>
      </c>
      <c r="J63">
        <f t="shared" si="69"/>
        <v>1.2302913447511439</v>
      </c>
      <c r="K63">
        <f t="shared" ref="K63" si="98">AVERAGE(J61:J63)</f>
        <v>1.2907884408601291</v>
      </c>
      <c r="L63">
        <f t="shared" si="71"/>
        <v>474.23829524358604</v>
      </c>
    </row>
    <row r="64" spans="2:27">
      <c r="B64" s="20" t="s">
        <v>23</v>
      </c>
      <c r="C64" s="20" t="s">
        <v>579</v>
      </c>
      <c r="D64" s="20">
        <v>21.338999999999999</v>
      </c>
      <c r="E64" s="20"/>
      <c r="F64" s="20" t="s">
        <v>445</v>
      </c>
      <c r="G64" s="20" t="s">
        <v>579</v>
      </c>
      <c r="H64" s="20">
        <v>19.591000000000001</v>
      </c>
      <c r="I64">
        <f t="shared" ref="I64" si="99">H64-E66</f>
        <v>-1.6859999999999999</v>
      </c>
      <c r="J64">
        <f t="shared" si="69"/>
        <v>3.2176334837676626</v>
      </c>
      <c r="L64">
        <f t="shared" si="71"/>
        <v>1240.2956621379078</v>
      </c>
    </row>
    <row r="65" spans="2:27">
      <c r="B65" s="20" t="s">
        <v>23</v>
      </c>
      <c r="C65" s="20" t="s">
        <v>579</v>
      </c>
      <c r="D65" s="20">
        <v>21.228999999999999</v>
      </c>
      <c r="E65" s="20"/>
      <c r="F65" s="20" t="s">
        <v>445</v>
      </c>
      <c r="G65" s="20" t="s">
        <v>579</v>
      </c>
      <c r="H65" s="20">
        <v>19.600999999999999</v>
      </c>
      <c r="I65">
        <f t="shared" ref="I65" si="100">H65-E66</f>
        <v>-1.6760000000000019</v>
      </c>
      <c r="J65">
        <f t="shared" si="69"/>
        <v>3.195407665796596</v>
      </c>
      <c r="L65">
        <f t="shared" si="71"/>
        <v>1231.7283141922676</v>
      </c>
      <c r="N65" s="90"/>
      <c r="O65" s="114" t="s">
        <v>341</v>
      </c>
      <c r="P65" s="114"/>
      <c r="Q65" s="114"/>
      <c r="R65" s="114" t="s">
        <v>342</v>
      </c>
      <c r="S65" s="114"/>
      <c r="T65" s="114"/>
      <c r="U65" s="90"/>
      <c r="V65" s="90"/>
      <c r="W65" s="90"/>
      <c r="X65" s="90"/>
      <c r="Y65" s="90"/>
      <c r="Z65" s="90"/>
      <c r="AA65" s="90"/>
    </row>
    <row r="66" spans="2:27">
      <c r="B66" s="20" t="s">
        <v>23</v>
      </c>
      <c r="C66" s="20" t="s">
        <v>579</v>
      </c>
      <c r="D66" s="20">
        <v>21.263000000000002</v>
      </c>
      <c r="E66" s="20">
        <f t="shared" ref="E66" si="101">AVERAGE(D64:D66)</f>
        <v>21.277000000000001</v>
      </c>
      <c r="F66" s="20" t="s">
        <v>445</v>
      </c>
      <c r="G66" s="20" t="s">
        <v>579</v>
      </c>
      <c r="H66" s="20">
        <v>19.734000000000002</v>
      </c>
      <c r="I66">
        <f t="shared" ref="I66" si="102">H66-E66</f>
        <v>-1.5429999999999993</v>
      </c>
      <c r="J66">
        <f t="shared" si="69"/>
        <v>2.9139982277960201</v>
      </c>
      <c r="K66">
        <f t="shared" ref="K66" si="103">AVERAGE(J64:J66)</f>
        <v>3.1090131257867597</v>
      </c>
      <c r="L66">
        <f t="shared" si="71"/>
        <v>1123.2539006216809</v>
      </c>
      <c r="N66" s="90"/>
      <c r="O66" s="90"/>
      <c r="P66" s="90"/>
      <c r="Q66" s="90"/>
      <c r="R66" s="90"/>
      <c r="S66" s="90"/>
      <c r="T66" s="90"/>
      <c r="U66" s="101" t="s">
        <v>663</v>
      </c>
      <c r="V66" s="101" t="s">
        <v>396</v>
      </c>
      <c r="W66" s="101" t="s">
        <v>664</v>
      </c>
      <c r="X66" s="101" t="s">
        <v>663</v>
      </c>
      <c r="Y66" s="101" t="s">
        <v>396</v>
      </c>
      <c r="Z66" s="101" t="s">
        <v>664</v>
      </c>
      <c r="AA66" s="101" t="s">
        <v>665</v>
      </c>
    </row>
    <row r="67" spans="2:27">
      <c r="B67" s="20" t="s">
        <v>23</v>
      </c>
      <c r="C67" s="20" t="s">
        <v>580</v>
      </c>
      <c r="D67" s="20">
        <v>20.292000000000002</v>
      </c>
      <c r="E67" s="20"/>
      <c r="F67" s="20" t="s">
        <v>445</v>
      </c>
      <c r="G67" s="20" t="s">
        <v>580</v>
      </c>
      <c r="H67" s="20">
        <v>19.844000000000001</v>
      </c>
      <c r="I67">
        <f t="shared" ref="I67" si="104">H67-E69</f>
        <v>-0.5036666666666676</v>
      </c>
      <c r="J67">
        <f t="shared" si="69"/>
        <v>1.4178124136068462</v>
      </c>
      <c r="L67">
        <f t="shared" si="71"/>
        <v>546.52172013785093</v>
      </c>
      <c r="N67" s="90" t="s">
        <v>237</v>
      </c>
      <c r="O67" s="90">
        <v>1.1805575372743817</v>
      </c>
      <c r="P67" s="90">
        <v>0.90404616862131293</v>
      </c>
      <c r="Q67" s="90">
        <v>0.91539629410430545</v>
      </c>
      <c r="R67" s="90">
        <v>1.1557278314042168</v>
      </c>
      <c r="S67" s="90">
        <v>1.2894909874030414</v>
      </c>
      <c r="T67" s="90">
        <v>1.4199121666019059</v>
      </c>
      <c r="U67" s="101">
        <f>AVERAGE(O67:Q67)</f>
        <v>1</v>
      </c>
      <c r="V67" s="101">
        <f>STDEV(O67:Q67)</f>
        <v>0.15647036312689536</v>
      </c>
      <c r="W67" s="101">
        <f>V67/SQRT(3)</f>
        <v>9.0338206271511526E-2</v>
      </c>
      <c r="X67" s="101">
        <f>AVERAGE(R67:T67)</f>
        <v>1.2883769951363879</v>
      </c>
      <c r="Y67" s="101">
        <f>STDEV(R67:T67)</f>
        <v>0.13209569059980295</v>
      </c>
      <c r="Z67" s="101">
        <f>Y67/SQRT(3)</f>
        <v>7.6265482526585757E-2</v>
      </c>
      <c r="AA67" s="94" t="s">
        <v>681</v>
      </c>
    </row>
    <row r="68" spans="2:27">
      <c r="B68" s="20" t="s">
        <v>23</v>
      </c>
      <c r="C68" s="20" t="s">
        <v>580</v>
      </c>
      <c r="D68" s="20">
        <v>20.372</v>
      </c>
      <c r="E68" s="20"/>
      <c r="F68" s="20" t="s">
        <v>445</v>
      </c>
      <c r="G68" s="20" t="s">
        <v>580</v>
      </c>
      <c r="H68" s="20">
        <v>19.863</v>
      </c>
      <c r="I68">
        <f t="shared" ref="I68" si="105">H68-E69</f>
        <v>-0.48466666666666924</v>
      </c>
      <c r="J68">
        <f t="shared" si="69"/>
        <v>1.3992625299509389</v>
      </c>
      <c r="L68">
        <f t="shared" si="71"/>
        <v>539.37132829003724</v>
      </c>
      <c r="N68" s="90" t="s">
        <v>588</v>
      </c>
      <c r="O68" s="90">
        <v>546.52172013785093</v>
      </c>
      <c r="P68" s="90">
        <v>539.37132829003724</v>
      </c>
      <c r="Q68" s="90">
        <v>610.19858453892346</v>
      </c>
      <c r="R68" s="90">
        <v>1360.7016169527135</v>
      </c>
      <c r="S68" s="90">
        <v>1066.1058891598727</v>
      </c>
      <c r="T68" s="90">
        <v>1672.8994546178228</v>
      </c>
      <c r="U68" s="101">
        <f t="shared" ref="U68:U71" si="106">AVERAGE(O68:Q68)</f>
        <v>565.36387765560391</v>
      </c>
      <c r="V68" s="101">
        <f t="shared" ref="V68:V71" si="107">STDEV(O68:Q68)</f>
        <v>38.992245791685406</v>
      </c>
      <c r="W68" s="101">
        <f t="shared" ref="W68:W71" si="108">V68/SQRT(3)</f>
        <v>22.512183604137622</v>
      </c>
      <c r="X68" s="101">
        <f t="shared" ref="X68:X71" si="109">AVERAGE(R68:T68)</f>
        <v>1366.5689869101363</v>
      </c>
      <c r="Y68" s="101">
        <f t="shared" ref="Y68:Y71" si="110">STDEV(R68:T68)</f>
        <v>303.43933049780486</v>
      </c>
      <c r="Z68" s="101">
        <f t="shared" ref="Z68:Z71" si="111">Y68/SQRT(3)</f>
        <v>175.19077914562746</v>
      </c>
      <c r="AA68" s="94">
        <v>4.0000000000000002E-4</v>
      </c>
    </row>
    <row r="69" spans="2:27">
      <c r="B69" s="20" t="s">
        <v>23</v>
      </c>
      <c r="C69" s="20" t="s">
        <v>580</v>
      </c>
      <c r="D69" s="20">
        <v>20.379000000000001</v>
      </c>
      <c r="E69" s="20">
        <f t="shared" ref="E69" si="112">AVERAGE(D67:D69)</f>
        <v>20.347666666666669</v>
      </c>
      <c r="F69" s="20" t="s">
        <v>445</v>
      </c>
      <c r="G69" s="20" t="s">
        <v>580</v>
      </c>
      <c r="H69" s="20">
        <v>19.684999999999999</v>
      </c>
      <c r="I69">
        <f t="shared" ref="I69" si="113">H69-E69</f>
        <v>-0.66266666666667007</v>
      </c>
      <c r="J69">
        <f t="shared" si="69"/>
        <v>1.5830059374518428</v>
      </c>
      <c r="K69">
        <f t="shared" ref="K69" si="114">AVERAGE(J67:J69)</f>
        <v>1.4666936270032094</v>
      </c>
      <c r="L69">
        <f t="shared" si="71"/>
        <v>610.19858453892346</v>
      </c>
      <c r="N69" s="90" t="s">
        <v>590</v>
      </c>
      <c r="O69" s="90">
        <v>2062.4379828927108</v>
      </c>
      <c r="P69" s="90">
        <v>1869.1090439325201</v>
      </c>
      <c r="Q69" s="90">
        <v>1520.2944153753397</v>
      </c>
      <c r="R69" s="90">
        <v>2682.0771527201446</v>
      </c>
      <c r="S69" s="90">
        <v>2674.6511552299094</v>
      </c>
      <c r="T69" s="90">
        <v>2505.9380302370091</v>
      </c>
      <c r="U69" s="101">
        <f t="shared" si="106"/>
        <v>1817.2804807335235</v>
      </c>
      <c r="V69" s="101">
        <f t="shared" si="107"/>
        <v>274.76273750741706</v>
      </c>
      <c r="W69" s="101">
        <f t="shared" si="108"/>
        <v>158.63434046318574</v>
      </c>
      <c r="X69" s="101">
        <f t="shared" si="109"/>
        <v>2620.8887793956878</v>
      </c>
      <c r="Y69" s="101">
        <f t="shared" si="110"/>
        <v>99.619488097396513</v>
      </c>
      <c r="Z69" s="101">
        <f t="shared" si="111"/>
        <v>57.515338269564602</v>
      </c>
      <c r="AA69" s="94">
        <v>2.9999999999999997E-4</v>
      </c>
    </row>
    <row r="70" spans="2:27">
      <c r="B70" s="20" t="s">
        <v>23</v>
      </c>
      <c r="C70" s="20" t="s">
        <v>581</v>
      </c>
      <c r="D70" s="20">
        <v>21.829000000000001</v>
      </c>
      <c r="E70" s="20"/>
      <c r="F70" s="20" t="s">
        <v>445</v>
      </c>
      <c r="G70" s="20" t="s">
        <v>581</v>
      </c>
      <c r="H70" s="20">
        <v>20.324000000000002</v>
      </c>
      <c r="I70">
        <f t="shared" ref="I70" si="115">H70-E72</f>
        <v>-1.8196666666666701</v>
      </c>
      <c r="J70">
        <f t="shared" si="69"/>
        <v>3.5299962886083502</v>
      </c>
      <c r="L70">
        <f t="shared" si="71"/>
        <v>1360.7016169527135</v>
      </c>
      <c r="N70" s="90" t="s">
        <v>591</v>
      </c>
      <c r="O70" s="90">
        <v>1434.6353369439037</v>
      </c>
      <c r="P70" s="90">
        <v>1387.6888030535442</v>
      </c>
      <c r="Q70" s="90">
        <v>1537.6040825532868</v>
      </c>
      <c r="R70" s="90">
        <v>3352.763541240532</v>
      </c>
      <c r="S70" s="90">
        <v>3666.3658129082546</v>
      </c>
      <c r="T70" s="90">
        <v>3772.0550692279548</v>
      </c>
      <c r="U70" s="101">
        <f t="shared" si="106"/>
        <v>1453.3094075169113</v>
      </c>
      <c r="V70" s="101">
        <f t="shared" si="107"/>
        <v>76.682386769686218</v>
      </c>
      <c r="W70" s="101">
        <f t="shared" si="108"/>
        <v>44.272596643581338</v>
      </c>
      <c r="X70" s="101">
        <f t="shared" si="109"/>
        <v>3597.0614744589134</v>
      </c>
      <c r="Y70" s="101">
        <f t="shared" si="110"/>
        <v>218.06802804728738</v>
      </c>
      <c r="Z70" s="101">
        <f t="shared" si="111"/>
        <v>125.90163469475225</v>
      </c>
      <c r="AA70" s="94" t="s">
        <v>666</v>
      </c>
    </row>
    <row r="71" spans="2:27">
      <c r="B71" s="20" t="s">
        <v>23</v>
      </c>
      <c r="C71" s="20" t="s">
        <v>581</v>
      </c>
      <c r="D71" s="20">
        <v>22.376999999999999</v>
      </c>
      <c r="E71" s="20"/>
      <c r="F71" s="20" t="s">
        <v>445</v>
      </c>
      <c r="G71" s="20" t="s">
        <v>581</v>
      </c>
      <c r="H71" s="20">
        <v>20.675999999999998</v>
      </c>
      <c r="I71">
        <f t="shared" ref="I71" si="116">H71-E72</f>
        <v>-1.4676666666666733</v>
      </c>
      <c r="J71">
        <f t="shared" si="69"/>
        <v>2.7657421620662612</v>
      </c>
      <c r="L71">
        <f t="shared" si="71"/>
        <v>1066.1058891598727</v>
      </c>
      <c r="N71" s="90" t="s">
        <v>592</v>
      </c>
      <c r="O71" s="90">
        <v>1672.5129774203576</v>
      </c>
      <c r="P71" s="90">
        <v>1293.2645341367768</v>
      </c>
      <c r="Q71" s="90">
        <v>1269.2861989887895</v>
      </c>
      <c r="R71" s="90">
        <v>3298.2118572510208</v>
      </c>
      <c r="S71" s="90">
        <v>3412.1571002560322</v>
      </c>
      <c r="T71" s="90">
        <v>2804.3843166378801</v>
      </c>
      <c r="U71" s="101">
        <f t="shared" si="106"/>
        <v>1411.6879035153079</v>
      </c>
      <c r="V71" s="101">
        <f t="shared" si="107"/>
        <v>226.19909266462227</v>
      </c>
      <c r="W71" s="101">
        <f t="shared" si="108"/>
        <v>130.59610704036876</v>
      </c>
      <c r="X71" s="101">
        <f t="shared" si="109"/>
        <v>3171.5844247149776</v>
      </c>
      <c r="Y71" s="101">
        <f t="shared" si="110"/>
        <v>323.06782434922525</v>
      </c>
      <c r="Z71" s="101">
        <f t="shared" si="111"/>
        <v>186.52329535453194</v>
      </c>
      <c r="AA71" s="94" t="s">
        <v>666</v>
      </c>
    </row>
    <row r="72" spans="2:27">
      <c r="B72" s="20" t="s">
        <v>23</v>
      </c>
      <c r="C72" s="20" t="s">
        <v>581</v>
      </c>
      <c r="D72" s="20">
        <v>22.225000000000001</v>
      </c>
      <c r="E72" s="20">
        <f t="shared" ref="E72" si="117">AVERAGE(D70:D72)</f>
        <v>22.143666666666672</v>
      </c>
      <c r="F72" s="20" t="s">
        <v>445</v>
      </c>
      <c r="G72" s="20" t="s">
        <v>581</v>
      </c>
      <c r="H72" s="20">
        <v>20.026</v>
      </c>
      <c r="I72">
        <f t="shared" ref="I72" si="118">H72-E72</f>
        <v>-2.1176666666666719</v>
      </c>
      <c r="J72">
        <f t="shared" si="69"/>
        <v>4.33991463847953</v>
      </c>
      <c r="K72">
        <f t="shared" ref="K72" si="119">AVERAGE(J70:J72)</f>
        <v>3.545217696384714</v>
      </c>
      <c r="L72">
        <f t="shared" si="71"/>
        <v>1672.8994546178228</v>
      </c>
    </row>
    <row r="73" spans="2:27">
      <c r="B73" s="20" t="s">
        <v>23</v>
      </c>
      <c r="C73" s="20" t="s">
        <v>582</v>
      </c>
      <c r="D73" s="20">
        <v>20.207000000000001</v>
      </c>
      <c r="E73" s="20"/>
      <c r="F73" s="20" t="s">
        <v>445</v>
      </c>
      <c r="G73" s="20" t="s">
        <v>582</v>
      </c>
      <c r="H73" s="20">
        <v>18.091000000000001</v>
      </c>
      <c r="I73">
        <f t="shared" ref="I73" si="120">H73-E75</f>
        <v>-2.419666666666668</v>
      </c>
      <c r="J73">
        <f t="shared" si="69"/>
        <v>5.350473854363889</v>
      </c>
      <c r="L73">
        <f t="shared" si="71"/>
        <v>2062.4379828927108</v>
      </c>
    </row>
    <row r="74" spans="2:27">
      <c r="B74" s="20" t="s">
        <v>23</v>
      </c>
      <c r="C74" s="20" t="s">
        <v>582</v>
      </c>
      <c r="D74" s="20">
        <v>20.559000000000001</v>
      </c>
      <c r="E74" s="20"/>
      <c r="F74" s="20" t="s">
        <v>445</v>
      </c>
      <c r="G74" s="20" t="s">
        <v>582</v>
      </c>
      <c r="H74" s="20">
        <v>18.233000000000001</v>
      </c>
      <c r="I74">
        <f t="shared" ref="I74" si="121">H74-E75</f>
        <v>-2.2776666666666685</v>
      </c>
      <c r="J74">
        <f t="shared" si="69"/>
        <v>4.8489308059045149</v>
      </c>
      <c r="L74">
        <f t="shared" si="71"/>
        <v>1869.1090439325201</v>
      </c>
    </row>
    <row r="75" spans="2:27">
      <c r="B75" s="20" t="s">
        <v>23</v>
      </c>
      <c r="C75" s="20" t="s">
        <v>582</v>
      </c>
      <c r="D75" s="20">
        <v>20.765999999999998</v>
      </c>
      <c r="E75" s="20">
        <f t="shared" ref="E75" si="122">AVERAGE(D73:D75)</f>
        <v>20.510666666666669</v>
      </c>
      <c r="F75" s="20" t="s">
        <v>445</v>
      </c>
      <c r="G75" s="20" t="s">
        <v>582</v>
      </c>
      <c r="H75" s="20">
        <v>18.530999999999999</v>
      </c>
      <c r="I75">
        <f t="shared" ref="I75" si="123">H75-E75</f>
        <v>-1.9796666666666702</v>
      </c>
      <c r="J75">
        <f t="shared" si="69"/>
        <v>3.9440194507047823</v>
      </c>
      <c r="K75">
        <f t="shared" ref="K75" si="124">AVERAGE(J73:J75)</f>
        <v>4.7144747036577286</v>
      </c>
      <c r="L75">
        <f t="shared" si="71"/>
        <v>1520.2944153753397</v>
      </c>
    </row>
    <row r="76" spans="2:27">
      <c r="B76" s="20" t="s">
        <v>23</v>
      </c>
      <c r="C76" s="20" t="s">
        <v>583</v>
      </c>
      <c r="D76" s="20">
        <v>20.826000000000001</v>
      </c>
      <c r="E76" s="20"/>
      <c r="F76" s="20" t="s">
        <v>445</v>
      </c>
      <c r="G76" s="20" t="s">
        <v>583</v>
      </c>
      <c r="H76" s="20">
        <v>18.021000000000001</v>
      </c>
      <c r="I76">
        <f t="shared" ref="I76" si="125">H76-E78</f>
        <v>-2.7986666666666657</v>
      </c>
      <c r="J76">
        <f t="shared" si="69"/>
        <v>6.9579710032727764</v>
      </c>
      <c r="L76">
        <f t="shared" si="71"/>
        <v>2682.0771527201446</v>
      </c>
    </row>
    <row r="77" spans="2:27">
      <c r="B77" s="20" t="s">
        <v>23</v>
      </c>
      <c r="C77" s="20" t="s">
        <v>583</v>
      </c>
      <c r="D77" s="20">
        <v>20.928000000000001</v>
      </c>
      <c r="E77" s="20"/>
      <c r="F77" s="20" t="s">
        <v>445</v>
      </c>
      <c r="G77" s="20" t="s">
        <v>583</v>
      </c>
      <c r="H77" s="20">
        <v>18.024999999999999</v>
      </c>
      <c r="I77">
        <f t="shared" ref="I77" si="126">H77-E78</f>
        <v>-2.794666666666668</v>
      </c>
      <c r="J77">
        <f t="shared" si="69"/>
        <v>6.9387061304651354</v>
      </c>
      <c r="L77">
        <f t="shared" si="71"/>
        <v>2674.6511552299094</v>
      </c>
    </row>
    <row r="78" spans="2:27">
      <c r="B78" s="20" t="s">
        <v>23</v>
      </c>
      <c r="C78" s="20" t="s">
        <v>583</v>
      </c>
      <c r="D78" s="20">
        <v>20.704999999999998</v>
      </c>
      <c r="E78" s="20">
        <f t="shared" ref="E78" si="127">AVERAGE(D76:D78)</f>
        <v>20.819666666666667</v>
      </c>
      <c r="F78" s="20" t="s">
        <v>445</v>
      </c>
      <c r="G78" s="20" t="s">
        <v>583</v>
      </c>
      <c r="H78" s="20">
        <v>18.119</v>
      </c>
      <c r="I78">
        <f t="shared" ref="I78" si="128">H78-E78</f>
        <v>-2.7006666666666668</v>
      </c>
      <c r="J78">
        <f t="shared" si="69"/>
        <v>6.5010225871779594</v>
      </c>
      <c r="K78">
        <f t="shared" ref="K78" si="129">AVERAGE(J76:J78)</f>
        <v>6.7992332403052904</v>
      </c>
      <c r="L78">
        <f t="shared" si="71"/>
        <v>2505.9380302370091</v>
      </c>
    </row>
    <row r="79" spans="2:27">
      <c r="B79" s="20" t="s">
        <v>23</v>
      </c>
      <c r="C79" s="20" t="s">
        <v>584</v>
      </c>
      <c r="D79" s="20">
        <v>19.981999999999999</v>
      </c>
      <c r="E79" s="20"/>
      <c r="F79" s="20" t="s">
        <v>445</v>
      </c>
      <c r="G79" s="20" t="s">
        <v>584</v>
      </c>
      <c r="H79" s="20">
        <v>18.187999999999999</v>
      </c>
      <c r="I79">
        <f t="shared" ref="I79:I88" si="130">H79-E81</f>
        <v>-1.8960000000000008</v>
      </c>
      <c r="J79">
        <f t="shared" si="69"/>
        <v>3.7217986308120632</v>
      </c>
      <c r="L79">
        <f t="shared" si="71"/>
        <v>1434.6353369439037</v>
      </c>
    </row>
    <row r="80" spans="2:27">
      <c r="B80" s="20" t="s">
        <v>23</v>
      </c>
      <c r="C80" s="20" t="s">
        <v>584</v>
      </c>
      <c r="D80" s="20">
        <v>20.018999999999998</v>
      </c>
      <c r="E80" s="20"/>
      <c r="F80" s="20" t="s">
        <v>445</v>
      </c>
      <c r="G80" s="20" t="s">
        <v>584</v>
      </c>
      <c r="H80" s="20">
        <v>18.236000000000001</v>
      </c>
      <c r="I80">
        <f t="shared" ref="I80:I89" si="131">H80-E81</f>
        <v>-1.847999999999999</v>
      </c>
      <c r="J80">
        <f t="shared" si="69"/>
        <v>3.6000077191740463</v>
      </c>
      <c r="L80">
        <f t="shared" si="71"/>
        <v>1387.6888030535442</v>
      </c>
    </row>
    <row r="81" spans="2:12">
      <c r="B81" s="20" t="s">
        <v>23</v>
      </c>
      <c r="C81" s="20" t="s">
        <v>584</v>
      </c>
      <c r="D81" s="20">
        <v>20.251000000000001</v>
      </c>
      <c r="E81" s="20">
        <f t="shared" ref="E81:E90" si="132">AVERAGE(D79:D81)</f>
        <v>20.084</v>
      </c>
      <c r="F81" s="20" t="s">
        <v>445</v>
      </c>
      <c r="G81" s="20" t="s">
        <v>584</v>
      </c>
      <c r="H81" s="20">
        <v>18.088000000000001</v>
      </c>
      <c r="I81">
        <f t="shared" ref="I81:I90" si="133">H81-E81</f>
        <v>-1.9959999999999987</v>
      </c>
      <c r="J81">
        <f t="shared" si="69"/>
        <v>3.9889250054082739</v>
      </c>
      <c r="K81">
        <f t="shared" ref="K81:K90" si="134">AVERAGE(J79:J81)</f>
        <v>3.7702437851314614</v>
      </c>
      <c r="L81">
        <f t="shared" si="71"/>
        <v>1537.6040825532868</v>
      </c>
    </row>
    <row r="82" spans="2:12">
      <c r="B82" s="20" t="s">
        <v>23</v>
      </c>
      <c r="C82" s="20" t="s">
        <v>585</v>
      </c>
      <c r="D82" s="20">
        <v>20.488</v>
      </c>
      <c r="E82" s="20"/>
      <c r="F82" s="20" t="s">
        <v>445</v>
      </c>
      <c r="G82" s="20" t="s">
        <v>585</v>
      </c>
      <c r="H82" s="20">
        <v>17.501999999999999</v>
      </c>
      <c r="I82">
        <f t="shared" si="130"/>
        <v>-3.1206666666666685</v>
      </c>
      <c r="J82">
        <f t="shared" si="69"/>
        <v>8.697897253672302</v>
      </c>
      <c r="L82">
        <f t="shared" si="71"/>
        <v>3352.763541240532</v>
      </c>
    </row>
    <row r="83" spans="2:12">
      <c r="B83" s="20" t="s">
        <v>23</v>
      </c>
      <c r="C83" s="20" t="s">
        <v>585</v>
      </c>
      <c r="D83" s="20">
        <v>20.484000000000002</v>
      </c>
      <c r="E83" s="20"/>
      <c r="F83" s="20" t="s">
        <v>445</v>
      </c>
      <c r="G83" s="20" t="s">
        <v>585</v>
      </c>
      <c r="H83" s="20">
        <v>17.373000000000001</v>
      </c>
      <c r="I83">
        <f t="shared" si="131"/>
        <v>-3.2496666666666663</v>
      </c>
      <c r="J83">
        <f t="shared" si="69"/>
        <v>9.5114590524488509</v>
      </c>
      <c r="L83">
        <f t="shared" si="71"/>
        <v>3666.3658129082546</v>
      </c>
    </row>
    <row r="84" spans="2:12">
      <c r="B84" s="20" t="s">
        <v>23</v>
      </c>
      <c r="C84" s="20" t="s">
        <v>585</v>
      </c>
      <c r="D84" s="20">
        <v>20.896000000000001</v>
      </c>
      <c r="E84" s="20">
        <f t="shared" si="132"/>
        <v>20.622666666666667</v>
      </c>
      <c r="F84" s="20" t="s">
        <v>445</v>
      </c>
      <c r="G84" s="20" t="s">
        <v>585</v>
      </c>
      <c r="H84" s="20">
        <v>17.332000000000001</v>
      </c>
      <c r="I84">
        <f t="shared" si="133"/>
        <v>-3.2906666666666666</v>
      </c>
      <c r="J84">
        <f t="shared" si="69"/>
        <v>9.7856431041955041</v>
      </c>
      <c r="K84">
        <f t="shared" si="134"/>
        <v>9.3316664701055512</v>
      </c>
      <c r="L84">
        <f t="shared" si="71"/>
        <v>3772.0550692279548</v>
      </c>
    </row>
    <row r="85" spans="2:12">
      <c r="B85" s="20" t="s">
        <v>23</v>
      </c>
      <c r="C85" s="20" t="s">
        <v>586</v>
      </c>
      <c r="D85" s="20">
        <v>20.885999999999999</v>
      </c>
      <c r="E85" s="20"/>
      <c r="F85" s="20" t="s">
        <v>445</v>
      </c>
      <c r="G85" s="20" t="s">
        <v>586</v>
      </c>
      <c r="H85" s="20">
        <v>18.635999999999999</v>
      </c>
      <c r="I85">
        <f t="shared" si="130"/>
        <v>-2.1173333333333346</v>
      </c>
      <c r="J85">
        <f t="shared" si="69"/>
        <v>4.3389120211123666</v>
      </c>
      <c r="L85">
        <f t="shared" si="71"/>
        <v>1672.5129774203576</v>
      </c>
    </row>
    <row r="86" spans="2:12">
      <c r="B86" s="20" t="s">
        <v>23</v>
      </c>
      <c r="C86" s="20" t="s">
        <v>586</v>
      </c>
      <c r="D86" s="20">
        <v>20.667999999999999</v>
      </c>
      <c r="E86" s="20"/>
      <c r="F86" s="20" t="s">
        <v>445</v>
      </c>
      <c r="G86" s="20" t="s">
        <v>586</v>
      </c>
      <c r="H86" s="20">
        <v>19.007000000000001</v>
      </c>
      <c r="I86">
        <f t="shared" si="131"/>
        <v>-1.7463333333333324</v>
      </c>
      <c r="J86">
        <f>POWER(2,-I86)</f>
        <v>3.3550478288659793</v>
      </c>
      <c r="L86">
        <f t="shared" si="71"/>
        <v>1293.2645341367768</v>
      </c>
    </row>
    <row r="87" spans="2:12">
      <c r="B87" s="20" t="s">
        <v>23</v>
      </c>
      <c r="C87" s="20" t="s">
        <v>586</v>
      </c>
      <c r="D87" s="20">
        <v>20.706</v>
      </c>
      <c r="E87" s="20">
        <f t="shared" si="132"/>
        <v>20.753333333333334</v>
      </c>
      <c r="F87" s="20" t="s">
        <v>445</v>
      </c>
      <c r="G87" s="20" t="s">
        <v>586</v>
      </c>
      <c r="H87" s="20">
        <v>19.033999999999999</v>
      </c>
      <c r="I87">
        <f t="shared" si="133"/>
        <v>-1.7193333333333349</v>
      </c>
      <c r="J87">
        <f>POWER(2,-I87)</f>
        <v>3.2928421013024587</v>
      </c>
      <c r="K87">
        <f t="shared" si="134"/>
        <v>3.6622673170936015</v>
      </c>
      <c r="L87">
        <f t="shared" si="71"/>
        <v>1269.2861989887895</v>
      </c>
    </row>
    <row r="88" spans="2:12">
      <c r="B88" s="20" t="s">
        <v>23</v>
      </c>
      <c r="C88" s="20" t="s">
        <v>587</v>
      </c>
      <c r="D88" s="20">
        <v>21.41</v>
      </c>
      <c r="E88" s="20"/>
      <c r="F88" s="20" t="s">
        <v>445</v>
      </c>
      <c r="G88" s="20" t="s">
        <v>587</v>
      </c>
      <c r="H88" s="20">
        <v>18.298999999999999</v>
      </c>
      <c r="I88">
        <f t="shared" si="130"/>
        <v>-3.0970000000000013</v>
      </c>
      <c r="J88">
        <f>POWER(2,-I88)</f>
        <v>8.5563767030819644</v>
      </c>
      <c r="L88">
        <f t="shared" si="71"/>
        <v>3298.2118572510208</v>
      </c>
    </row>
    <row r="89" spans="2:12">
      <c r="B89" s="20" t="s">
        <v>23</v>
      </c>
      <c r="C89" s="20" t="s">
        <v>587</v>
      </c>
      <c r="D89" s="20">
        <v>21.356000000000002</v>
      </c>
      <c r="E89" s="20"/>
      <c r="F89" s="20" t="s">
        <v>445</v>
      </c>
      <c r="G89" s="20" t="s">
        <v>587</v>
      </c>
      <c r="H89" s="20">
        <v>18.25</v>
      </c>
      <c r="I89">
        <f t="shared" si="131"/>
        <v>-3.1460000000000008</v>
      </c>
      <c r="J89">
        <f>POWER(2,-I89)</f>
        <v>8.8519788247381808</v>
      </c>
      <c r="L89">
        <f t="shared" si="71"/>
        <v>3412.1571002560322</v>
      </c>
    </row>
    <row r="90" spans="2:12">
      <c r="B90" s="20" t="s">
        <v>23</v>
      </c>
      <c r="C90" s="20" t="s">
        <v>587</v>
      </c>
      <c r="D90" s="20">
        <v>21.422000000000001</v>
      </c>
      <c r="E90" s="20">
        <f t="shared" si="132"/>
        <v>21.396000000000001</v>
      </c>
      <c r="F90" s="20" t="s">
        <v>445</v>
      </c>
      <c r="G90" s="20" t="s">
        <v>587</v>
      </c>
      <c r="H90" s="20">
        <v>18.533000000000001</v>
      </c>
      <c r="I90">
        <f t="shared" si="133"/>
        <v>-2.8629999999999995</v>
      </c>
      <c r="J90">
        <f>POWER(2,-I90)</f>
        <v>7.2752660144058625</v>
      </c>
      <c r="K90">
        <f t="shared" si="134"/>
        <v>8.2278738474086683</v>
      </c>
      <c r="L90">
        <f t="shared" si="71"/>
        <v>2804.3843166378801</v>
      </c>
    </row>
  </sheetData>
  <mergeCells count="8">
    <mergeCell ref="O65:Q65"/>
    <mergeCell ref="R65:T65"/>
    <mergeCell ref="O5:Q5"/>
    <mergeCell ref="R5:T5"/>
    <mergeCell ref="O49:Q49"/>
    <mergeCell ref="R49:T49"/>
    <mergeCell ref="O21:Q21"/>
    <mergeCell ref="R21:T21"/>
  </mergeCells>
  <phoneticPr fontId="2" type="noConversion"/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C71493-7A4F-C84F-9BEE-BDBC63032786}">
  <dimension ref="A1"/>
  <sheetViews>
    <sheetView workbookViewId="0">
      <selection activeCell="L30" sqref="L30"/>
    </sheetView>
  </sheetViews>
  <sheetFormatPr baseColWidth="10" defaultRowHeight="16"/>
  <sheetData>
    <row r="1" spans="1:1">
      <c r="A1" t="s">
        <v>346</v>
      </c>
    </row>
  </sheetData>
  <phoneticPr fontId="2" type="noConversion"/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CEBFB-42CE-7442-8442-4C6897C0299D}">
  <dimension ref="A1"/>
  <sheetViews>
    <sheetView workbookViewId="0">
      <selection activeCell="A2" sqref="A2"/>
    </sheetView>
  </sheetViews>
  <sheetFormatPr baseColWidth="10" defaultRowHeight="16"/>
  <sheetData>
    <row r="1" spans="1:1">
      <c r="A1" t="s">
        <v>347</v>
      </c>
    </row>
  </sheetData>
  <phoneticPr fontId="2" type="noConversion"/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65F8-8575-884B-A47D-897CBE5BA367}">
  <dimension ref="A1:AE70"/>
  <sheetViews>
    <sheetView topLeftCell="N1" zoomScale="75" workbookViewId="0">
      <selection activeCell="Y5" sqref="Y5:AE10"/>
    </sheetView>
  </sheetViews>
  <sheetFormatPr baseColWidth="10" defaultRowHeight="16"/>
  <sheetData>
    <row r="1" spans="1:31">
      <c r="A1" t="s">
        <v>348</v>
      </c>
    </row>
    <row r="3" spans="1:31">
      <c r="K3" t="s">
        <v>108</v>
      </c>
      <c r="L3" s="45" t="s">
        <v>523</v>
      </c>
      <c r="M3" s="46" t="s">
        <v>524</v>
      </c>
      <c r="O3" t="s">
        <v>108</v>
      </c>
    </row>
    <row r="4" spans="1:31">
      <c r="B4" s="83" t="s">
        <v>236</v>
      </c>
      <c r="C4" s="19">
        <v>0</v>
      </c>
      <c r="D4" s="19" t="s">
        <v>28</v>
      </c>
      <c r="E4" s="19">
        <v>18.138000000000002</v>
      </c>
      <c r="F4" s="19">
        <f>AVERAGE(E4:E6)</f>
        <v>18.113333333333333</v>
      </c>
      <c r="G4" s="19" t="s">
        <v>445</v>
      </c>
      <c r="H4" s="19">
        <v>28.94</v>
      </c>
      <c r="I4" s="19">
        <f>H4-18.11333</f>
        <v>10.82667</v>
      </c>
      <c r="J4" s="19">
        <f>-I4</f>
        <v>-10.82667</v>
      </c>
      <c r="K4" s="19">
        <f>POWER(2,J4)</f>
        <v>5.5061441484318384E-4</v>
      </c>
      <c r="L4" s="19">
        <f>AVERAGE(K4:K6)</f>
        <v>5.9869229661929375E-4</v>
      </c>
      <c r="M4" s="19">
        <f>STDEVA(K4:K6)</f>
        <v>4.803070780047097E-5</v>
      </c>
      <c r="N4" s="19">
        <f>M4/SQRT(3)</f>
        <v>2.7730542077970175E-5</v>
      </c>
      <c r="O4" s="19">
        <f>K4/0.000598692296619294</f>
        <v>0.91969517221518104</v>
      </c>
      <c r="R4" s="90" t="s">
        <v>152</v>
      </c>
      <c r="S4" s="90"/>
      <c r="T4" s="90"/>
      <c r="U4" s="90"/>
      <c r="V4" s="90"/>
      <c r="W4" s="90"/>
      <c r="X4" s="90"/>
      <c r="Y4" s="90"/>
      <c r="Z4" s="90"/>
      <c r="AA4" s="90"/>
      <c r="AB4" s="90"/>
      <c r="AC4" s="90"/>
      <c r="AD4" s="90"/>
      <c r="AE4" s="90"/>
    </row>
    <row r="5" spans="1:31">
      <c r="C5" s="19">
        <v>0</v>
      </c>
      <c r="D5" s="19" t="s">
        <v>28</v>
      </c>
      <c r="E5" s="19">
        <v>18.059000000000001</v>
      </c>
      <c r="F5" s="19"/>
      <c r="G5" s="19" t="s">
        <v>445</v>
      </c>
      <c r="H5" s="19">
        <v>28.707999999999998</v>
      </c>
      <c r="I5" s="19">
        <f t="shared" ref="I5:I6" si="0">H5-18.11333</f>
        <v>10.594669999999997</v>
      </c>
      <c r="J5" s="19">
        <f t="shared" ref="J5:J18" si="1">-I5</f>
        <v>-10.594669999999997</v>
      </c>
      <c r="K5" s="19">
        <f t="shared" ref="K5:K18" si="2">POWER(2,J5)</f>
        <v>6.466756910353794E-4</v>
      </c>
      <c r="L5" s="19">
        <v>5.9869229661929397E-4</v>
      </c>
      <c r="M5" s="19"/>
      <c r="N5" s="19"/>
      <c r="O5" s="19">
        <f t="shared" ref="O5:O18" si="3">K5/0.000598692296619294</f>
        <v>1.0801470048755244</v>
      </c>
      <c r="R5" s="90"/>
      <c r="S5" s="90" t="s">
        <v>97</v>
      </c>
      <c r="T5" s="90"/>
      <c r="U5" s="90"/>
      <c r="V5" s="90" t="s">
        <v>99</v>
      </c>
      <c r="W5" s="90"/>
      <c r="X5" s="90"/>
      <c r="Y5" s="101" t="s">
        <v>663</v>
      </c>
      <c r="Z5" s="101" t="s">
        <v>396</v>
      </c>
      <c r="AA5" s="101" t="s">
        <v>664</v>
      </c>
      <c r="AB5" s="101" t="s">
        <v>663</v>
      </c>
      <c r="AC5" s="101" t="s">
        <v>396</v>
      </c>
      <c r="AD5" s="101" t="s">
        <v>664</v>
      </c>
      <c r="AE5" s="101" t="s">
        <v>665</v>
      </c>
    </row>
    <row r="6" spans="1:31">
      <c r="C6" s="19">
        <v>0</v>
      </c>
      <c r="D6" s="19" t="s">
        <v>28</v>
      </c>
      <c r="E6" s="19">
        <v>18.143000000000001</v>
      </c>
      <c r="F6" s="19"/>
      <c r="G6" s="19" t="s">
        <v>445</v>
      </c>
      <c r="H6" s="19">
        <v>28.818999999999999</v>
      </c>
      <c r="I6" s="19">
        <f t="shared" si="0"/>
        <v>10.705669999999998</v>
      </c>
      <c r="J6" s="19">
        <f t="shared" si="1"/>
        <v>-10.705669999999998</v>
      </c>
      <c r="K6" s="19">
        <f t="shared" si="2"/>
        <v>5.9878678397931801E-4</v>
      </c>
      <c r="L6" s="19"/>
      <c r="M6" s="19"/>
      <c r="N6" s="19"/>
      <c r="O6" s="19">
        <f t="shared" si="3"/>
        <v>1.0001578229092936</v>
      </c>
      <c r="R6" s="90">
        <v>0</v>
      </c>
      <c r="S6" s="90">
        <v>5.7077417241940182E-2</v>
      </c>
      <c r="T6" s="90">
        <v>4.4689009048804275E-2</v>
      </c>
      <c r="U6" s="90">
        <v>3.8262205995576899E-2</v>
      </c>
      <c r="V6" s="90">
        <v>0.98787051923985347</v>
      </c>
      <c r="W6" s="90"/>
      <c r="X6" s="90">
        <v>1.0121294807601486</v>
      </c>
      <c r="Y6" s="101">
        <f>AVERAGE(S6:U6)</f>
        <v>4.6676210762107116E-2</v>
      </c>
      <c r="Z6" s="101">
        <f>STDEV(S6:U6)</f>
        <v>9.5637216369117845E-3</v>
      </c>
      <c r="AA6" s="101">
        <f>Z6/SQRT(3)</f>
        <v>5.5216172615256678E-3</v>
      </c>
      <c r="AB6" s="101">
        <f>AVERAGE(V6:X6)</f>
        <v>1.0000000000000011</v>
      </c>
      <c r="AC6" s="101">
        <f>STDEV(V6:X6)</f>
        <v>1.715367619554423E-2</v>
      </c>
      <c r="AD6" s="101">
        <f>AC6/SQRT(3)</f>
        <v>9.9036795690891372E-3</v>
      </c>
      <c r="AE6" s="94" t="s">
        <v>681</v>
      </c>
    </row>
    <row r="7" spans="1:31">
      <c r="C7" s="19">
        <v>6</v>
      </c>
      <c r="D7" s="19" t="s">
        <v>28</v>
      </c>
      <c r="E7" s="19">
        <v>13.523</v>
      </c>
      <c r="F7" s="19">
        <f t="shared" ref="F7" si="4">AVERAGE(E7:E9)</f>
        <v>13.441333333333333</v>
      </c>
      <c r="G7" s="19" t="s">
        <v>445</v>
      </c>
      <c r="H7" s="19">
        <v>20.667999999999999</v>
      </c>
      <c r="I7" s="19">
        <f>H7-13.44133</f>
        <v>7.2266699999999986</v>
      </c>
      <c r="J7" s="19">
        <f t="shared" si="1"/>
        <v>-7.2266699999999986</v>
      </c>
      <c r="K7" s="19">
        <f t="shared" si="2"/>
        <v>6.6766031226979487E-3</v>
      </c>
      <c r="L7" s="19">
        <f t="shared" ref="L7" si="5">AVERAGE(K7:K9)</f>
        <v>6.7922435069346409E-3</v>
      </c>
      <c r="M7" s="19">
        <f t="shared" ref="M7" si="6">STDEVA(K7:K9)</f>
        <v>1.0115544249992196E-4</v>
      </c>
      <c r="N7" s="19">
        <f t="shared" ref="N7" si="7">M7/SQRT(3)</f>
        <v>5.8402121957325661E-5</v>
      </c>
      <c r="O7" s="19">
        <f t="shared" si="3"/>
        <v>11.151977669329481</v>
      </c>
      <c r="R7" s="90">
        <v>6</v>
      </c>
      <c r="S7" s="90">
        <v>29.501857030816009</v>
      </c>
      <c r="T7" s="90">
        <v>28.53644798556271</v>
      </c>
      <c r="U7" s="90">
        <v>29.52231324860406</v>
      </c>
      <c r="V7" s="90">
        <v>7.3126477262455172</v>
      </c>
      <c r="W7" s="90">
        <v>7.2974573020571523</v>
      </c>
      <c r="X7" s="90">
        <v>7.4404705569556944</v>
      </c>
      <c r="Y7" s="101">
        <f t="shared" ref="Y7:Y10" si="8">AVERAGE(S7:U7)</f>
        <v>29.186872754994258</v>
      </c>
      <c r="Z7" s="101">
        <f t="shared" ref="Z7:Z10" si="9">STDEV(S7:U7)</f>
        <v>0.56337722684637492</v>
      </c>
      <c r="AA7" s="101">
        <f t="shared" ref="AA7:AA10" si="10">Z7/SQRT(3)</f>
        <v>0.32526599357505942</v>
      </c>
      <c r="AB7" s="101">
        <f t="shared" ref="AB7:AB10" si="11">AVERAGE(V7:X7)</f>
        <v>7.3501918617527879</v>
      </c>
      <c r="AC7" s="101">
        <f t="shared" ref="AC7:AC10" si="12">STDEV(V7:X7)</f>
        <v>7.8551698596593542E-2</v>
      </c>
      <c r="AD7" s="101">
        <f t="shared" ref="AD7:AD10" si="13">AC7/SQRT(3)</f>
        <v>4.5351844330045632E-2</v>
      </c>
      <c r="AE7" s="94">
        <v>0.99970000000000003</v>
      </c>
    </row>
    <row r="8" spans="1:31">
      <c r="C8" s="19">
        <v>6</v>
      </c>
      <c r="D8" s="19" t="s">
        <v>28</v>
      </c>
      <c r="E8" s="19">
        <v>13.353</v>
      </c>
      <c r="F8" s="19"/>
      <c r="G8" s="19" t="s">
        <v>445</v>
      </c>
      <c r="H8" s="19">
        <v>20.628</v>
      </c>
      <c r="I8" s="19">
        <f t="shared" ref="I8:I9" si="14">H8-13.44133</f>
        <v>7.1866699999999994</v>
      </c>
      <c r="J8" s="19">
        <f t="shared" si="1"/>
        <v>-7.1866699999999994</v>
      </c>
      <c r="K8" s="19">
        <f t="shared" si="2"/>
        <v>6.8643079855408261E-3</v>
      </c>
      <c r="L8" s="19"/>
      <c r="M8" s="19"/>
      <c r="N8" s="19"/>
      <c r="O8" s="19">
        <f t="shared" si="3"/>
        <v>11.465502436397326</v>
      </c>
      <c r="R8" s="90">
        <v>9</v>
      </c>
      <c r="S8" s="90">
        <v>156.6492296114439</v>
      </c>
      <c r="T8" s="90">
        <v>150.47644540702194</v>
      </c>
      <c r="U8" s="90">
        <v>147.4818761661451</v>
      </c>
      <c r="V8" s="90">
        <v>175.75158189268268</v>
      </c>
      <c r="W8" s="90">
        <v>186.93512481371928</v>
      </c>
      <c r="X8" s="90">
        <v>175.99539427843925</v>
      </c>
      <c r="Y8" s="101">
        <f t="shared" si="8"/>
        <v>151.53585039487029</v>
      </c>
      <c r="Z8" s="101">
        <f t="shared" si="9"/>
        <v>4.6745958642396515</v>
      </c>
      <c r="AA8" s="101">
        <f t="shared" si="10"/>
        <v>2.698879180571474</v>
      </c>
      <c r="AB8" s="101">
        <f t="shared" si="11"/>
        <v>179.5607003282804</v>
      </c>
      <c r="AC8" s="101">
        <f t="shared" si="12"/>
        <v>6.3876023270427877</v>
      </c>
      <c r="AD8" s="101">
        <f t="shared" si="13"/>
        <v>3.6878839229944336</v>
      </c>
      <c r="AE8" s="94">
        <v>0.99890000000000001</v>
      </c>
    </row>
    <row r="9" spans="1:31">
      <c r="C9" s="19">
        <v>6</v>
      </c>
      <c r="D9" s="19" t="s">
        <v>28</v>
      </c>
      <c r="E9" s="19">
        <v>13.448</v>
      </c>
      <c r="F9" s="19"/>
      <c r="G9" s="19" t="s">
        <v>445</v>
      </c>
      <c r="H9" s="19">
        <v>20.634</v>
      </c>
      <c r="I9" s="19">
        <f t="shared" si="14"/>
        <v>7.1926699999999997</v>
      </c>
      <c r="J9" s="19">
        <f t="shared" si="1"/>
        <v>-7.1926699999999997</v>
      </c>
      <c r="K9" s="19">
        <f t="shared" si="2"/>
        <v>6.8358194125651486E-3</v>
      </c>
      <c r="L9" s="19"/>
      <c r="M9" s="19"/>
      <c r="N9" s="19"/>
      <c r="O9" s="19">
        <f t="shared" si="3"/>
        <v>11.417917770390186</v>
      </c>
      <c r="R9" s="90">
        <v>12</v>
      </c>
      <c r="S9" s="90">
        <v>347.94943738764078</v>
      </c>
      <c r="T9" s="90">
        <v>342.44627675256635</v>
      </c>
      <c r="U9" s="90">
        <v>366.00863226104593</v>
      </c>
      <c r="V9" s="90">
        <v>4608.443552846963</v>
      </c>
      <c r="W9" s="90">
        <v>4208.4225877388917</v>
      </c>
      <c r="X9" s="90">
        <v>4519.864677698698</v>
      </c>
      <c r="Y9" s="101">
        <f t="shared" si="8"/>
        <v>352.134782133751</v>
      </c>
      <c r="Z9" s="101">
        <f t="shared" si="9"/>
        <v>12.326150342253618</v>
      </c>
      <c r="AA9" s="101">
        <f t="shared" si="10"/>
        <v>7.1165062181719243</v>
      </c>
      <c r="AB9" s="101">
        <f t="shared" si="11"/>
        <v>4445.5769394281842</v>
      </c>
      <c r="AC9" s="101">
        <f t="shared" si="12"/>
        <v>210.10281810225553</v>
      </c>
      <c r="AD9" s="101">
        <f t="shared" si="13"/>
        <v>121.30291858883621</v>
      </c>
      <c r="AE9" s="94" t="s">
        <v>666</v>
      </c>
    </row>
    <row r="10" spans="1:31">
      <c r="C10" s="19">
        <v>9</v>
      </c>
      <c r="D10" s="19" t="s">
        <v>28</v>
      </c>
      <c r="E10" s="19">
        <v>15.693</v>
      </c>
      <c r="F10" s="19">
        <f t="shared" ref="F10" si="15">AVERAGE(E10:E12)</f>
        <v>15.650333333333334</v>
      </c>
      <c r="G10" s="19" t="s">
        <v>445</v>
      </c>
      <c r="H10" s="19">
        <v>18.768999999999998</v>
      </c>
      <c r="I10" s="19">
        <f>H10-15.65033</f>
        <v>3.1186699999999981</v>
      </c>
      <c r="J10" s="19">
        <f t="shared" si="1"/>
        <v>-3.1186699999999981</v>
      </c>
      <c r="K10" s="19">
        <f t="shared" si="2"/>
        <v>0.11512954370613847</v>
      </c>
      <c r="L10" s="19">
        <f t="shared" ref="L10" si="16">AVERAGE(K10:K12)</f>
        <v>0.12452008875465505</v>
      </c>
      <c r="M10" s="19">
        <f t="shared" ref="M10" si="17">STDEVA(K10:K12)</f>
        <v>8.1601457109483997E-3</v>
      </c>
      <c r="N10" s="19">
        <f t="shared" ref="N10" si="18">M10/SQRT(3)</f>
        <v>4.7112623228426293E-3</v>
      </c>
      <c r="O10" s="19">
        <f t="shared" si="3"/>
        <v>192.30169547237199</v>
      </c>
      <c r="R10" s="90">
        <v>24</v>
      </c>
      <c r="S10" s="90">
        <v>81.255516923277966</v>
      </c>
      <c r="T10" s="90">
        <v>81.255516923277966</v>
      </c>
      <c r="U10" s="90">
        <v>91.671022762637463</v>
      </c>
      <c r="V10" s="90">
        <v>2504.0781354311175</v>
      </c>
      <c r="W10" s="90">
        <v>2850.6275977117393</v>
      </c>
      <c r="X10" s="90">
        <v>2387.1340437943713</v>
      </c>
      <c r="Y10" s="101">
        <f t="shared" si="8"/>
        <v>84.72735220306447</v>
      </c>
      <c r="Z10" s="101">
        <f t="shared" si="9"/>
        <v>6.0133951001003245</v>
      </c>
      <c r="AA10" s="101">
        <f t="shared" si="10"/>
        <v>3.4718352797864993</v>
      </c>
      <c r="AB10" s="101">
        <f t="shared" si="11"/>
        <v>2580.6132589790759</v>
      </c>
      <c r="AC10" s="101">
        <f t="shared" si="12"/>
        <v>241.03897502917238</v>
      </c>
      <c r="AD10" s="101">
        <f t="shared" si="13"/>
        <v>139.16391711828416</v>
      </c>
      <c r="AE10" s="94" t="s">
        <v>666</v>
      </c>
    </row>
    <row r="11" spans="1:31">
      <c r="C11" s="19">
        <v>9</v>
      </c>
      <c r="D11" s="19" t="s">
        <v>28</v>
      </c>
      <c r="E11" s="19">
        <v>15.669</v>
      </c>
      <c r="F11" s="19"/>
      <c r="G11" s="19" t="s">
        <v>445</v>
      </c>
      <c r="H11" s="19">
        <v>18.61</v>
      </c>
      <c r="I11" s="19">
        <f t="shared" ref="I11:I12" si="19">H11-15.65033</f>
        <v>2.9596699999999991</v>
      </c>
      <c r="J11" s="19">
        <f t="shared" si="1"/>
        <v>-2.9596699999999991</v>
      </c>
      <c r="K11" s="19">
        <f t="shared" si="2"/>
        <v>0.12854362785504259</v>
      </c>
      <c r="L11" s="19"/>
      <c r="M11" s="19"/>
      <c r="N11" s="19"/>
      <c r="O11" s="19">
        <f t="shared" si="3"/>
        <v>214.70733560612851</v>
      </c>
      <c r="R11" s="90"/>
      <c r="S11" s="90"/>
      <c r="T11" s="90"/>
      <c r="U11" s="90"/>
      <c r="V11" s="90"/>
      <c r="W11" s="90"/>
      <c r="X11" s="90"/>
      <c r="Y11" s="90"/>
      <c r="Z11" s="90"/>
      <c r="AA11" s="90"/>
      <c r="AB11" s="90"/>
      <c r="AC11" s="90"/>
      <c r="AD11" s="90"/>
      <c r="AE11" s="90"/>
    </row>
    <row r="12" spans="1:31">
      <c r="C12" s="19">
        <v>9</v>
      </c>
      <c r="D12" s="19" t="s">
        <v>28</v>
      </c>
      <c r="E12" s="19">
        <v>15.589</v>
      </c>
      <c r="F12" s="19"/>
      <c r="G12" s="19" t="s">
        <v>445</v>
      </c>
      <c r="H12" s="19">
        <v>18.594999999999999</v>
      </c>
      <c r="I12" s="19">
        <f t="shared" si="19"/>
        <v>2.9446699999999986</v>
      </c>
      <c r="J12" s="19">
        <f t="shared" si="1"/>
        <v>-2.9446699999999986</v>
      </c>
      <c r="K12" s="19">
        <f t="shared" si="2"/>
        <v>0.12988709470278409</v>
      </c>
      <c r="L12" s="19"/>
      <c r="M12" s="19"/>
      <c r="N12" s="19"/>
      <c r="O12" s="19">
        <f t="shared" si="3"/>
        <v>216.95133783453167</v>
      </c>
    </row>
    <row r="13" spans="1:31">
      <c r="C13" s="19">
        <v>12</v>
      </c>
      <c r="D13" s="19" t="s">
        <v>28</v>
      </c>
      <c r="E13" s="19">
        <v>17.149999999999999</v>
      </c>
      <c r="F13" s="19">
        <f t="shared" ref="F13" si="20">AVERAGE(E13:E15)</f>
        <v>17.096</v>
      </c>
      <c r="G13" s="19" t="s">
        <v>445</v>
      </c>
      <c r="H13" s="19">
        <v>14.4</v>
      </c>
      <c r="I13" s="19">
        <f>H13-17.096</f>
        <v>-2.6959999999999997</v>
      </c>
      <c r="J13" s="19">
        <f t="shared" si="1"/>
        <v>2.6959999999999997</v>
      </c>
      <c r="K13" s="19">
        <f t="shared" si="2"/>
        <v>6.4800277890563649</v>
      </c>
      <c r="L13" s="19">
        <f t="shared" ref="L13" si="21">AVERAGE(K13:K15)</f>
        <v>6.7591470975472987</v>
      </c>
      <c r="M13" s="19">
        <f t="shared" ref="M13" si="22">STDEVA(K13:K15)</f>
        <v>0.52664979114100263</v>
      </c>
      <c r="N13" s="19">
        <f t="shared" ref="N13" si="23">M13/SQRT(3)</f>
        <v>0.30406139868391807</v>
      </c>
      <c r="O13" s="19">
        <f t="shared" si="3"/>
        <v>10823.636491813739</v>
      </c>
    </row>
    <row r="14" spans="1:31">
      <c r="C14" s="19">
        <v>12</v>
      </c>
      <c r="D14" s="19" t="s">
        <v>28</v>
      </c>
      <c r="E14" s="19">
        <v>17.042000000000002</v>
      </c>
      <c r="F14" s="19"/>
      <c r="G14" s="19" t="s">
        <v>445</v>
      </c>
      <c r="H14" s="19">
        <v>14.215</v>
      </c>
      <c r="I14" s="19">
        <f t="shared" ref="I14:I15" si="24">H14-17.096</f>
        <v>-2.8810000000000002</v>
      </c>
      <c r="J14" s="19">
        <f t="shared" si="1"/>
        <v>2.8810000000000002</v>
      </c>
      <c r="K14" s="19">
        <f t="shared" si="2"/>
        <v>7.3666055776403194</v>
      </c>
      <c r="L14" s="19"/>
      <c r="M14" s="19"/>
      <c r="N14" s="19"/>
      <c r="O14" s="19">
        <f t="shared" si="3"/>
        <v>12304.493676030568</v>
      </c>
    </row>
    <row r="15" spans="1:31">
      <c r="C15" s="19">
        <v>12</v>
      </c>
      <c r="D15" s="19" t="s">
        <v>28</v>
      </c>
      <c r="E15" s="19">
        <v>17.096</v>
      </c>
      <c r="F15" s="19"/>
      <c r="G15" s="19" t="s">
        <v>445</v>
      </c>
      <c r="H15" s="19">
        <v>14.411</v>
      </c>
      <c r="I15" s="19">
        <f t="shared" si="24"/>
        <v>-2.6850000000000005</v>
      </c>
      <c r="J15" s="19">
        <f t="shared" si="1"/>
        <v>2.6850000000000005</v>
      </c>
      <c r="K15" s="19">
        <f t="shared" si="2"/>
        <v>6.4308079259452136</v>
      </c>
      <c r="L15" s="19"/>
      <c r="M15" s="19"/>
      <c r="N15" s="19"/>
      <c r="O15" s="19">
        <f t="shared" si="3"/>
        <v>10741.424204485027</v>
      </c>
    </row>
    <row r="16" spans="1:31">
      <c r="C16" s="19">
        <v>24</v>
      </c>
      <c r="D16" s="19" t="s">
        <v>28</v>
      </c>
      <c r="E16" s="19">
        <v>18.297999999999998</v>
      </c>
      <c r="F16" s="19">
        <f t="shared" ref="F16" si="25">AVERAGE(E16:E18)</f>
        <v>18.276</v>
      </c>
      <c r="G16" s="19" t="s">
        <v>445</v>
      </c>
      <c r="H16" s="19">
        <v>13.784000000000001</v>
      </c>
      <c r="I16" s="19">
        <f>H16-18.276</f>
        <v>-4.4919999999999991</v>
      </c>
      <c r="J16" s="19">
        <f t="shared" si="1"/>
        <v>4.4919999999999991</v>
      </c>
      <c r="K16" s="19">
        <f t="shared" si="2"/>
        <v>22.502291198609893</v>
      </c>
      <c r="L16" s="19">
        <f t="shared" ref="L16" si="26">AVERAGE(K16:K18)</f>
        <v>27.242219184222524</v>
      </c>
      <c r="M16" s="19">
        <f t="shared" ref="M16" si="27">STDEVA(K16:K18)</f>
        <v>7.5736473112261047</v>
      </c>
      <c r="N16" s="19">
        <f t="shared" ref="N16" si="28">M16/SQRT(3)</f>
        <v>4.372647313883677</v>
      </c>
      <c r="O16" s="19">
        <f t="shared" si="3"/>
        <v>37585.736989896512</v>
      </c>
    </row>
    <row r="17" spans="3:31">
      <c r="C17" s="19">
        <v>24</v>
      </c>
      <c r="D17" s="19" t="s">
        <v>28</v>
      </c>
      <c r="E17" s="19">
        <v>18.204000000000001</v>
      </c>
      <c r="F17" s="19"/>
      <c r="G17" s="19" t="s">
        <v>445</v>
      </c>
      <c r="H17" s="19">
        <v>13.737</v>
      </c>
      <c r="I17" s="19">
        <f t="shared" ref="I17:I18" si="29">H17-18.276</f>
        <v>-4.5389999999999997</v>
      </c>
      <c r="J17" s="19">
        <f t="shared" si="1"/>
        <v>4.5389999999999997</v>
      </c>
      <c r="K17" s="19">
        <f t="shared" si="2"/>
        <v>23.247440793141916</v>
      </c>
      <c r="L17" s="19"/>
      <c r="M17" s="19"/>
      <c r="N17" s="19"/>
      <c r="O17" s="19">
        <f t="shared" si="3"/>
        <v>38830.365655973808</v>
      </c>
    </row>
    <row r="18" spans="3:31">
      <c r="C18" s="19">
        <v>24</v>
      </c>
      <c r="D18" s="19" t="s">
        <v>28</v>
      </c>
      <c r="E18" s="19">
        <v>18.326000000000001</v>
      </c>
      <c r="F18" s="19"/>
      <c r="G18" s="19" t="s">
        <v>445</v>
      </c>
      <c r="H18" s="19">
        <v>13.106999999999999</v>
      </c>
      <c r="I18" s="19">
        <f t="shared" si="29"/>
        <v>-5.1690000000000005</v>
      </c>
      <c r="J18" s="19">
        <f t="shared" si="1"/>
        <v>5.1690000000000005</v>
      </c>
      <c r="K18" s="19">
        <f t="shared" si="2"/>
        <v>35.976925560915774</v>
      </c>
      <c r="L18" s="19"/>
      <c r="M18" s="19"/>
      <c r="N18" s="19"/>
      <c r="O18" s="19">
        <f t="shared" si="3"/>
        <v>60092.514575635767</v>
      </c>
    </row>
    <row r="19" spans="3:31">
      <c r="N19" s="47"/>
      <c r="R19" s="90" t="s">
        <v>572</v>
      </c>
      <c r="S19" s="90"/>
      <c r="T19" s="90"/>
      <c r="U19" s="90"/>
      <c r="V19" s="90"/>
      <c r="W19" s="90"/>
      <c r="X19" s="90"/>
      <c r="Y19" s="90"/>
      <c r="Z19" s="90"/>
      <c r="AA19" s="90"/>
      <c r="AB19" s="90"/>
      <c r="AC19" s="90"/>
      <c r="AD19" s="90"/>
      <c r="AE19" s="90"/>
    </row>
    <row r="20" spans="3:31">
      <c r="N20" s="47"/>
      <c r="R20" s="90"/>
      <c r="S20" s="90" t="s">
        <v>97</v>
      </c>
      <c r="T20" s="90"/>
      <c r="U20" s="90"/>
      <c r="V20" s="90" t="s">
        <v>99</v>
      </c>
      <c r="W20" s="90"/>
      <c r="X20" s="90"/>
      <c r="Y20" s="101" t="s">
        <v>663</v>
      </c>
      <c r="Z20" s="101" t="s">
        <v>396</v>
      </c>
      <c r="AA20" s="101" t="s">
        <v>664</v>
      </c>
      <c r="AB20" s="101" t="s">
        <v>663</v>
      </c>
      <c r="AC20" s="101" t="s">
        <v>396</v>
      </c>
      <c r="AD20" s="101" t="s">
        <v>664</v>
      </c>
      <c r="AE20" s="101" t="s">
        <v>665</v>
      </c>
    </row>
    <row r="21" spans="3:31">
      <c r="G21" s="19" t="s">
        <v>525</v>
      </c>
      <c r="H21" s="19">
        <v>29.457000000000001</v>
      </c>
      <c r="I21" s="19">
        <f>H21-18.11333</f>
        <v>11.343669999999999</v>
      </c>
      <c r="J21" s="19">
        <f t="shared" ref="J21:J35" si="30">-I21</f>
        <v>-11.343669999999999</v>
      </c>
      <c r="K21" s="19">
        <f t="shared" ref="K21:K35" si="31">POWER(2,J21)</f>
        <v>3.8478228478156141E-4</v>
      </c>
      <c r="L21" s="19">
        <f>AVERAGE(K21,K23)</f>
        <v>3.8950680001833041E-4</v>
      </c>
      <c r="M21" s="19">
        <f>STDEVA(K21,K23)</f>
        <v>6.6814735234770516E-6</v>
      </c>
      <c r="N21" s="19">
        <f>M21/SQRT(2)</f>
        <v>4.7245152367689975E-6</v>
      </c>
      <c r="O21" s="19">
        <f>K21/0.00038950680001833</f>
        <v>0.98787051923985347</v>
      </c>
      <c r="R21" s="90">
        <v>0</v>
      </c>
      <c r="S21" s="90">
        <v>0.71444639373882579</v>
      </c>
      <c r="T21" s="90">
        <v>0.54710804391296985</v>
      </c>
      <c r="U21" s="90">
        <v>0.75413654696405585</v>
      </c>
      <c r="V21" s="90">
        <v>0.91969517221518104</v>
      </c>
      <c r="W21" s="90">
        <v>1.0801470048755244</v>
      </c>
      <c r="X21" s="90">
        <v>1.0001578229092936</v>
      </c>
      <c r="Y21" s="101">
        <f>AVERAGE(S21:U21)</f>
        <v>0.67189699487195043</v>
      </c>
      <c r="Z21" s="101">
        <f>STDEV(S21:U21)</f>
        <v>0.10987738064243686</v>
      </c>
      <c r="AA21" s="101">
        <f>Z21/SQRT(3)</f>
        <v>6.3437735291761901E-2</v>
      </c>
      <c r="AB21" s="101">
        <f>AVERAGE(V21:X21)</f>
        <v>0.99999999999999967</v>
      </c>
      <c r="AC21" s="101">
        <f>STDEV(V21:X21)</f>
        <v>8.0226032757881843E-2</v>
      </c>
      <c r="AD21" s="101">
        <f>AC21/SQRT(3)</f>
        <v>4.631852160877882E-2</v>
      </c>
      <c r="AE21" s="94" t="s">
        <v>681</v>
      </c>
    </row>
    <row r="22" spans="3:31">
      <c r="G22" s="19" t="s">
        <v>525</v>
      </c>
      <c r="H22" s="19" t="s">
        <v>115</v>
      </c>
      <c r="I22" s="19"/>
      <c r="J22" s="19">
        <f t="shared" si="30"/>
        <v>0</v>
      </c>
      <c r="K22" s="19">
        <f t="shared" si="31"/>
        <v>1</v>
      </c>
      <c r="L22" s="19">
        <v>3.8950680001832998E-4</v>
      </c>
      <c r="M22" s="19"/>
      <c r="N22" s="19"/>
      <c r="O22" s="19"/>
      <c r="R22" s="90">
        <v>6</v>
      </c>
      <c r="S22" s="90">
        <v>89.670881339000502</v>
      </c>
      <c r="T22" s="90">
        <v>94.259601197575904</v>
      </c>
      <c r="U22" s="90">
        <v>95.376879199288851</v>
      </c>
      <c r="V22" s="90">
        <v>11.151977669329481</v>
      </c>
      <c r="W22" s="90">
        <v>11.465502436397326</v>
      </c>
      <c r="X22" s="90">
        <v>11.417917770390186</v>
      </c>
      <c r="Y22" s="101">
        <f t="shared" ref="Y22:Y25" si="32">AVERAGE(S22:U22)</f>
        <v>93.102453911955081</v>
      </c>
      <c r="Z22" s="101">
        <f t="shared" ref="Z22:Z25" si="33">STDEV(S22:U22)</f>
        <v>3.0238791767973345</v>
      </c>
      <c r="AA22" s="101">
        <f t="shared" ref="AA22:AA25" si="34">Z22/SQRT(3)</f>
        <v>1.7458374567208452</v>
      </c>
      <c r="AB22" s="101">
        <f t="shared" ref="AB22:AB25" si="35">AVERAGE(V22:X22)</f>
        <v>11.345132625372329</v>
      </c>
      <c r="AC22" s="101">
        <f t="shared" ref="AC22:AC25" si="36">STDEV(V22:X22)</f>
        <v>0.16896065486582745</v>
      </c>
      <c r="AD22" s="101">
        <f t="shared" ref="AD22:AD25" si="37">AC22/SQRT(3)</f>
        <v>9.7549479569240941E-2</v>
      </c>
      <c r="AE22" s="94" t="s">
        <v>681</v>
      </c>
    </row>
    <row r="23" spans="3:31">
      <c r="G23" s="19" t="s">
        <v>525</v>
      </c>
      <c r="H23" s="19">
        <v>29.422000000000001</v>
      </c>
      <c r="I23" s="19">
        <f>H23-18.11333</f>
        <v>11.308669999999999</v>
      </c>
      <c r="J23" s="19">
        <f t="shared" si="30"/>
        <v>-11.308669999999999</v>
      </c>
      <c r="K23" s="19">
        <f t="shared" si="31"/>
        <v>3.9423131525509941E-4</v>
      </c>
      <c r="L23" s="19"/>
      <c r="M23" s="19"/>
      <c r="N23" s="19"/>
      <c r="O23" s="19">
        <f t="shared" ref="O23:O35" si="38">K23/0.00038950680001833</f>
        <v>1.0121294807601486</v>
      </c>
      <c r="R23" s="90">
        <v>9</v>
      </c>
      <c r="S23" s="90">
        <v>602.67134979276796</v>
      </c>
      <c r="T23" s="90">
        <v>552.65206448358481</v>
      </c>
      <c r="U23" s="90">
        <v>551.88645684431981</v>
      </c>
      <c r="V23" s="90">
        <v>192.30169547237199</v>
      </c>
      <c r="W23" s="90">
        <v>214.70733560612851</v>
      </c>
      <c r="X23" s="90">
        <v>216.95133783453167</v>
      </c>
      <c r="Y23" s="101">
        <f t="shared" si="32"/>
        <v>569.06995704022415</v>
      </c>
      <c r="Z23" s="101">
        <f t="shared" si="33"/>
        <v>29.102177494946158</v>
      </c>
      <c r="AA23" s="101">
        <f t="shared" si="34"/>
        <v>16.802150010711433</v>
      </c>
      <c r="AB23" s="101">
        <f t="shared" si="35"/>
        <v>207.98678963767739</v>
      </c>
      <c r="AC23" s="101">
        <f t="shared" si="36"/>
        <v>13.629949403102813</v>
      </c>
      <c r="AD23" s="101">
        <f t="shared" si="37"/>
        <v>7.8692549569223891</v>
      </c>
      <c r="AE23" s="94" t="s">
        <v>681</v>
      </c>
    </row>
    <row r="24" spans="3:31">
      <c r="G24" s="19" t="s">
        <v>525</v>
      </c>
      <c r="H24" s="19">
        <v>21.896999999999998</v>
      </c>
      <c r="I24" s="19">
        <f>H24-13.44133</f>
        <v>8.4556699999999978</v>
      </c>
      <c r="J24" s="19">
        <f t="shared" si="30"/>
        <v>-8.4556699999999978</v>
      </c>
      <c r="K24" s="19">
        <f t="shared" si="31"/>
        <v>2.8483260155112082E-3</v>
      </c>
      <c r="L24" s="19">
        <f>AVERAGE(K24:K26)</f>
        <v>2.8629497115920995E-3</v>
      </c>
      <c r="M24" s="19">
        <f>STDEVA(K24:K26)</f>
        <v>3.0596420756363368E-5</v>
      </c>
      <c r="N24" s="19">
        <f t="shared" ref="N24" si="39">M24/SQRT(3)</f>
        <v>1.7664851759925445E-5</v>
      </c>
      <c r="O24" s="19">
        <f t="shared" si="38"/>
        <v>7.3126477262455172</v>
      </c>
      <c r="R24" s="90">
        <v>12</v>
      </c>
      <c r="S24" s="90">
        <v>1015.9175974027477</v>
      </c>
      <c r="T24" s="90">
        <v>1161.334351212804</v>
      </c>
      <c r="U24" s="90">
        <v>1040.8653060580762</v>
      </c>
      <c r="V24" s="90">
        <v>10823.636491813739</v>
      </c>
      <c r="W24" s="90">
        <v>12304.493676030568</v>
      </c>
      <c r="X24" s="90">
        <v>10741.424204485027</v>
      </c>
      <c r="Y24" s="101">
        <f t="shared" si="32"/>
        <v>1072.7057515578761</v>
      </c>
      <c r="Z24" s="101">
        <f t="shared" si="33"/>
        <v>77.761613598117435</v>
      </c>
      <c r="AA24" s="101">
        <f t="shared" si="34"/>
        <v>44.895688543492767</v>
      </c>
      <c r="AB24" s="101">
        <f t="shared" si="35"/>
        <v>11289.85145744311</v>
      </c>
      <c r="AC24" s="101">
        <f t="shared" si="36"/>
        <v>879.66689084676364</v>
      </c>
      <c r="AD24" s="101">
        <f t="shared" si="37"/>
        <v>507.87591622758015</v>
      </c>
      <c r="AE24" s="94">
        <v>2.6700000000000002E-2</v>
      </c>
    </row>
    <row r="25" spans="3:31">
      <c r="G25" s="19" t="s">
        <v>525</v>
      </c>
      <c r="H25" s="19">
        <v>21.9</v>
      </c>
      <c r="I25" s="19">
        <f t="shared" ref="I25:I26" si="40">H25-13.44133</f>
        <v>8.4586699999999979</v>
      </c>
      <c r="J25" s="19">
        <f t="shared" si="30"/>
        <v>-8.4586699999999979</v>
      </c>
      <c r="K25" s="19">
        <f t="shared" si="31"/>
        <v>2.8424092419946771E-3</v>
      </c>
      <c r="L25" s="19"/>
      <c r="M25" s="19"/>
      <c r="N25" s="19"/>
      <c r="O25" s="19">
        <f t="shared" si="38"/>
        <v>7.2974573020571523</v>
      </c>
      <c r="R25" s="90">
        <v>24</v>
      </c>
      <c r="S25" s="90">
        <v>3851.5613021675799</v>
      </c>
      <c r="T25" s="90">
        <v>3935.217532229864</v>
      </c>
      <c r="U25" s="90">
        <v>4145.2048164572798</v>
      </c>
      <c r="V25" s="90">
        <v>37585.736989896512</v>
      </c>
      <c r="W25" s="90">
        <v>38830.365655973808</v>
      </c>
      <c r="X25" s="90">
        <v>60092.514575635767</v>
      </c>
      <c r="Y25" s="101">
        <f t="shared" si="32"/>
        <v>3977.3278836182412</v>
      </c>
      <c r="Z25" s="101">
        <f t="shared" si="33"/>
        <v>151.28314394419738</v>
      </c>
      <c r="AA25" s="101">
        <f t="shared" si="34"/>
        <v>87.34336388003527</v>
      </c>
      <c r="AB25" s="101">
        <f t="shared" si="35"/>
        <v>45502.872407168696</v>
      </c>
      <c r="AC25" s="101">
        <f t="shared" si="36"/>
        <v>12650.316955793649</v>
      </c>
      <c r="AD25" s="101">
        <f t="shared" si="37"/>
        <v>7303.663899761551</v>
      </c>
      <c r="AE25" s="94" t="s">
        <v>666</v>
      </c>
    </row>
    <row r="26" spans="3:31">
      <c r="G26" s="19" t="s">
        <v>525</v>
      </c>
      <c r="H26" s="19">
        <v>21.872</v>
      </c>
      <c r="I26" s="19">
        <f t="shared" si="40"/>
        <v>8.4306699999999992</v>
      </c>
      <c r="J26" s="19">
        <f t="shared" si="30"/>
        <v>-8.4306699999999992</v>
      </c>
      <c r="K26" s="19">
        <f t="shared" si="31"/>
        <v>2.8981138772704138E-3</v>
      </c>
      <c r="L26" s="19"/>
      <c r="M26" s="19"/>
      <c r="N26" s="19"/>
      <c r="O26" s="19">
        <f t="shared" si="38"/>
        <v>7.4404705569556944</v>
      </c>
      <c r="R26" s="90"/>
      <c r="S26" s="90"/>
      <c r="T26" s="90"/>
      <c r="U26" s="90"/>
      <c r="V26" s="90"/>
      <c r="W26" s="90"/>
      <c r="X26" s="90"/>
      <c r="Y26" s="90"/>
      <c r="Z26" s="90"/>
      <c r="AA26" s="90"/>
      <c r="AB26" s="90"/>
      <c r="AC26" s="90"/>
      <c r="AD26" s="90"/>
      <c r="AE26" s="90"/>
    </row>
    <row r="27" spans="3:31">
      <c r="G27" s="19" t="s">
        <v>525</v>
      </c>
      <c r="H27" s="19">
        <v>19.518999999999998</v>
      </c>
      <c r="I27" s="19">
        <f>H27-15.65033</f>
        <v>3.8686699999999981</v>
      </c>
      <c r="J27" s="19">
        <f t="shared" si="30"/>
        <v>-3.8686699999999981</v>
      </c>
      <c r="K27" s="19">
        <f t="shared" si="31"/>
        <v>6.8456436261178297E-2</v>
      </c>
      <c r="L27" s="19">
        <f t="shared" ref="L27" si="41">AVERAGE(K27:K29)</f>
        <v>6.9940113793918804E-2</v>
      </c>
      <c r="M27" s="19">
        <f t="shared" ref="M27" si="42">STDEVA(K27:K29)</f>
        <v>2.4880145421960773E-3</v>
      </c>
      <c r="N27" s="19">
        <f t="shared" ref="N27" si="43">M27/SQRT(3)</f>
        <v>1.4364558656846087E-3</v>
      </c>
      <c r="O27" s="19">
        <f t="shared" si="38"/>
        <v>175.75158189268268</v>
      </c>
    </row>
    <row r="28" spans="3:31">
      <c r="G28" s="19" t="s">
        <v>525</v>
      </c>
      <c r="H28" s="19">
        <v>19.43</v>
      </c>
      <c r="I28" s="19">
        <f t="shared" ref="I28:I29" si="44">H28-15.65033</f>
        <v>3.7796699999999994</v>
      </c>
      <c r="J28" s="19">
        <f t="shared" si="30"/>
        <v>-3.7796699999999994</v>
      </c>
      <c r="K28" s="19">
        <f t="shared" si="31"/>
        <v>7.2812502277218916E-2</v>
      </c>
      <c r="L28" s="19"/>
      <c r="M28" s="19"/>
      <c r="N28" s="19"/>
      <c r="O28" s="19">
        <f t="shared" si="38"/>
        <v>186.93512481371928</v>
      </c>
    </row>
    <row r="29" spans="3:31">
      <c r="G29" s="19" t="s">
        <v>525</v>
      </c>
      <c r="H29" s="19">
        <v>19.516999999999999</v>
      </c>
      <c r="I29" s="19">
        <f t="shared" si="44"/>
        <v>3.8666699999999992</v>
      </c>
      <c r="J29" s="19">
        <f t="shared" si="30"/>
        <v>-3.8666699999999992</v>
      </c>
      <c r="K29" s="19">
        <f t="shared" si="31"/>
        <v>6.8551402843359172E-2</v>
      </c>
      <c r="L29" s="19"/>
      <c r="M29" s="19"/>
      <c r="N29" s="19"/>
      <c r="O29" s="19">
        <f t="shared" si="38"/>
        <v>175.99539427843925</v>
      </c>
    </row>
    <row r="30" spans="3:31">
      <c r="G30" s="19" t="s">
        <v>525</v>
      </c>
      <c r="H30" s="19">
        <v>16.251999999999999</v>
      </c>
      <c r="I30" s="19">
        <f>H30-17.096</f>
        <v>-0.84400000000000119</v>
      </c>
      <c r="J30" s="19">
        <f t="shared" si="30"/>
        <v>0.84400000000000119</v>
      </c>
      <c r="K30" s="19">
        <f t="shared" si="31"/>
        <v>1.7950201013345242</v>
      </c>
      <c r="L30" s="19">
        <f t="shared" ref="L30" si="45">AVERAGE(K30:K32)</f>
        <v>1.7315824479119533</v>
      </c>
      <c r="M30" s="19">
        <f t="shared" ref="M30" si="46">STDEVA(K30:K32)</f>
        <v>8.1836476353842821E-2</v>
      </c>
      <c r="N30" s="19">
        <f t="shared" ref="N30" si="47">M30/SQRT(3)</f>
        <v>4.7248311652421597E-2</v>
      </c>
      <c r="O30" s="19">
        <f t="shared" si="38"/>
        <v>4608.443552846963</v>
      </c>
    </row>
    <row r="31" spans="3:31">
      <c r="G31" s="19" t="s">
        <v>525</v>
      </c>
      <c r="H31" s="19">
        <v>16.382999999999999</v>
      </c>
      <c r="I31" s="19">
        <f t="shared" ref="I31:I32" si="48">H31-17.096</f>
        <v>-0.71300000000000097</v>
      </c>
      <c r="J31" s="19">
        <f t="shared" si="30"/>
        <v>0.71300000000000097</v>
      </c>
      <c r="K31" s="19">
        <f t="shared" si="31"/>
        <v>1.6392092152750353</v>
      </c>
      <c r="L31" s="19"/>
      <c r="M31" s="19"/>
      <c r="N31" s="19"/>
      <c r="O31" s="19">
        <f t="shared" si="38"/>
        <v>4208.4225877388917</v>
      </c>
    </row>
    <row r="32" spans="3:31">
      <c r="G32" s="19" t="s">
        <v>525</v>
      </c>
      <c r="H32" s="19">
        <v>16.28</v>
      </c>
      <c r="I32" s="19">
        <f t="shared" si="48"/>
        <v>-0.81599999999999895</v>
      </c>
      <c r="J32" s="19">
        <f t="shared" si="30"/>
        <v>0.81599999999999895</v>
      </c>
      <c r="K32" s="19">
        <f t="shared" si="31"/>
        <v>1.7605180271263003</v>
      </c>
      <c r="L32" s="19"/>
      <c r="M32" s="19"/>
      <c r="N32" s="19"/>
      <c r="O32" s="19">
        <f t="shared" si="38"/>
        <v>4519.864677698698</v>
      </c>
    </row>
    <row r="33" spans="2:15">
      <c r="G33" s="19" t="s">
        <v>525</v>
      </c>
      <c r="H33" s="19">
        <v>18.312000000000001</v>
      </c>
      <c r="I33" s="19">
        <f>H33-18.276</f>
        <v>3.6000000000001364E-2</v>
      </c>
      <c r="J33" s="19">
        <f t="shared" si="30"/>
        <v>-3.6000000000001364E-2</v>
      </c>
      <c r="K33" s="19">
        <f t="shared" si="31"/>
        <v>0.97535546152764097</v>
      </c>
      <c r="L33" s="19">
        <f t="shared" ref="L33" si="49">AVERAGE(K33:K35)</f>
        <v>1.0051664125898139</v>
      </c>
      <c r="M33" s="19">
        <f t="shared" ref="M33" si="50">STDEVA(K33:K35)</f>
        <v>9.3886319843311083E-2</v>
      </c>
      <c r="N33" s="19">
        <f t="shared" ref="N33" si="51">M33/SQRT(3)</f>
        <v>5.4205292034758962E-2</v>
      </c>
      <c r="O33" s="19">
        <f t="shared" si="38"/>
        <v>2504.0781354311175</v>
      </c>
    </row>
    <row r="34" spans="2:15">
      <c r="G34" s="19" t="s">
        <v>525</v>
      </c>
      <c r="H34" s="19">
        <v>18.125</v>
      </c>
      <c r="I34" s="19">
        <f t="shared" ref="I34:I35" si="52">H34-18.276</f>
        <v>-0.1509999999999998</v>
      </c>
      <c r="J34" s="19">
        <f t="shared" si="30"/>
        <v>0.1509999999999998</v>
      </c>
      <c r="K34" s="19">
        <f t="shared" si="31"/>
        <v>1.1103388336286388</v>
      </c>
      <c r="L34" s="19"/>
      <c r="M34" s="19"/>
      <c r="N34" s="19"/>
      <c r="O34" s="19">
        <f t="shared" si="38"/>
        <v>2850.6275977117393</v>
      </c>
    </row>
    <row r="35" spans="2:15">
      <c r="G35" s="19" t="s">
        <v>525</v>
      </c>
      <c r="H35" s="19">
        <v>18.381</v>
      </c>
      <c r="I35" s="19">
        <f t="shared" si="52"/>
        <v>0.10500000000000043</v>
      </c>
      <c r="J35" s="19">
        <f t="shared" si="30"/>
        <v>-0.10500000000000043</v>
      </c>
      <c r="K35" s="19">
        <f t="shared" si="31"/>
        <v>0.92980494261316149</v>
      </c>
      <c r="L35" s="19"/>
      <c r="M35" s="19"/>
      <c r="N35" s="19"/>
      <c r="O35" s="19">
        <f t="shared" si="38"/>
        <v>2387.1340437943713</v>
      </c>
    </row>
    <row r="38" spans="2:15">
      <c r="B38" s="83" t="s">
        <v>235</v>
      </c>
      <c r="N38" t="s">
        <v>107</v>
      </c>
      <c r="O38" t="s">
        <v>107</v>
      </c>
    </row>
    <row r="39" spans="2:15">
      <c r="C39" s="19">
        <v>0</v>
      </c>
      <c r="D39" s="47" t="s">
        <v>34</v>
      </c>
      <c r="E39">
        <v>14.144</v>
      </c>
      <c r="F39">
        <f>AVERAGE(E39:E41)</f>
        <v>14.094000000000001</v>
      </c>
      <c r="G39" s="19">
        <v>0</v>
      </c>
      <c r="H39" s="47" t="s">
        <v>458</v>
      </c>
      <c r="I39">
        <v>25.285</v>
      </c>
      <c r="J39">
        <f>I39-14.094</f>
        <v>11.191000000000001</v>
      </c>
      <c r="K39" s="52">
        <f>-J39</f>
        <v>-11.191000000000001</v>
      </c>
      <c r="L39">
        <f>POWER(2,K39)</f>
        <v>4.2773355227887001E-4</v>
      </c>
      <c r="N39">
        <v>4.2773355227887001E-4</v>
      </c>
      <c r="O39">
        <f>N39/0.000598692296619294</f>
        <v>0.71444639373882579</v>
      </c>
    </row>
    <row r="40" spans="2:15">
      <c r="C40" s="19">
        <v>0</v>
      </c>
      <c r="D40" s="47" t="s">
        <v>34</v>
      </c>
      <c r="E40">
        <v>14.013999999999999</v>
      </c>
      <c r="G40" s="19">
        <v>0</v>
      </c>
      <c r="H40" s="47" t="s">
        <v>458</v>
      </c>
      <c r="I40">
        <v>25.67</v>
      </c>
      <c r="J40">
        <f t="shared" ref="J40:J41" si="53">I40-14.094</f>
        <v>11.576000000000002</v>
      </c>
      <c r="K40" s="52">
        <f t="shared" ref="K40:K53" si="54">-J40</f>
        <v>-11.576000000000002</v>
      </c>
      <c r="L40">
        <f t="shared" ref="L40:L53" si="55">POWER(2,K40)</f>
        <v>3.2754937130914544E-4</v>
      </c>
      <c r="N40">
        <v>3.2754937130914544E-4</v>
      </c>
      <c r="O40">
        <f t="shared" ref="O40:O52" si="56">N40/0.000598692296619294</f>
        <v>0.54710804391296985</v>
      </c>
    </row>
    <row r="41" spans="2:15">
      <c r="C41" s="19">
        <v>0</v>
      </c>
      <c r="D41" s="47" t="s">
        <v>34</v>
      </c>
      <c r="E41">
        <v>14.124000000000001</v>
      </c>
      <c r="G41" s="19">
        <v>0</v>
      </c>
      <c r="H41" s="47" t="s">
        <v>458</v>
      </c>
      <c r="I41">
        <v>25.207000000000001</v>
      </c>
      <c r="J41">
        <f t="shared" si="53"/>
        <v>11.113000000000001</v>
      </c>
      <c r="K41" s="52">
        <f t="shared" si="54"/>
        <v>-11.113000000000001</v>
      </c>
      <c r="L41">
        <f t="shared" si="55"/>
        <v>4.5149574126645463E-4</v>
      </c>
      <c r="N41">
        <v>4.5149574126645463E-4</v>
      </c>
      <c r="O41">
        <f t="shared" si="56"/>
        <v>0.75413654696405585</v>
      </c>
    </row>
    <row r="42" spans="2:15">
      <c r="C42" s="19">
        <v>6</v>
      </c>
      <c r="D42" s="47" t="s">
        <v>34</v>
      </c>
      <c r="E42">
        <v>14.288</v>
      </c>
      <c r="F42">
        <f t="shared" ref="F42" si="57">AVERAGE(E42:E44)</f>
        <v>14.284666666666666</v>
      </c>
      <c r="G42" s="19">
        <v>6</v>
      </c>
      <c r="H42" s="47" t="s">
        <v>458</v>
      </c>
      <c r="I42">
        <v>18.504000000000001</v>
      </c>
      <c r="J42">
        <f>I42-14.28467</f>
        <v>4.2193300000000011</v>
      </c>
      <c r="K42" s="52">
        <f t="shared" si="54"/>
        <v>-4.2193300000000011</v>
      </c>
      <c r="L42">
        <f t="shared" si="55"/>
        <v>5.3685265888722404E-2</v>
      </c>
      <c r="N42">
        <v>5.3685265888722404E-2</v>
      </c>
      <c r="O42">
        <f t="shared" si="56"/>
        <v>89.670881339000502</v>
      </c>
    </row>
    <row r="43" spans="2:15">
      <c r="C43" s="19">
        <v>6</v>
      </c>
      <c r="D43" s="47" t="s">
        <v>34</v>
      </c>
      <c r="E43">
        <v>14.285</v>
      </c>
      <c r="G43" s="19">
        <v>6</v>
      </c>
      <c r="H43" s="47" t="s">
        <v>458</v>
      </c>
      <c r="I43">
        <v>18.431999999999999</v>
      </c>
      <c r="J43">
        <f t="shared" ref="J43:J44" si="58">I43-14.28467</f>
        <v>4.1473299999999984</v>
      </c>
      <c r="K43" s="52">
        <f t="shared" si="54"/>
        <v>-4.1473299999999984</v>
      </c>
      <c r="L43">
        <f t="shared" si="55"/>
        <v>5.6432497119395471E-2</v>
      </c>
      <c r="N43">
        <v>5.6432497119395471E-2</v>
      </c>
      <c r="O43">
        <f t="shared" si="56"/>
        <v>94.259601197575904</v>
      </c>
    </row>
    <row r="44" spans="2:15">
      <c r="C44" s="19">
        <v>6</v>
      </c>
      <c r="D44" s="47" t="s">
        <v>34</v>
      </c>
      <c r="E44">
        <v>14.281000000000001</v>
      </c>
      <c r="G44" s="19">
        <v>6</v>
      </c>
      <c r="H44" s="47" t="s">
        <v>458</v>
      </c>
      <c r="I44">
        <v>18.414999999999999</v>
      </c>
      <c r="J44">
        <f t="shared" si="58"/>
        <v>4.1303299999999989</v>
      </c>
      <c r="K44" s="52">
        <f t="shared" si="54"/>
        <v>-4.1303299999999989</v>
      </c>
      <c r="L44">
        <f t="shared" si="55"/>
        <v>5.7101402852203213E-2</v>
      </c>
      <c r="N44">
        <v>5.7101402852203213E-2</v>
      </c>
      <c r="O44">
        <f t="shared" si="56"/>
        <v>95.376879199288851</v>
      </c>
    </row>
    <row r="45" spans="2:15">
      <c r="C45" s="19">
        <v>9</v>
      </c>
      <c r="D45" s="47" t="s">
        <v>34</v>
      </c>
      <c r="E45">
        <v>14.382</v>
      </c>
      <c r="F45">
        <f t="shared" ref="F45" si="59">AVERAGE(E45:E47)</f>
        <v>14.364333333333335</v>
      </c>
      <c r="G45" s="19">
        <v>9</v>
      </c>
      <c r="H45" s="47" t="s">
        <v>458</v>
      </c>
      <c r="I45">
        <v>15.835000000000001</v>
      </c>
      <c r="J45">
        <f>I45-14.36433</f>
        <v>1.4706700000000001</v>
      </c>
      <c r="K45" s="52">
        <f t="shared" si="54"/>
        <v>-1.4706700000000001</v>
      </c>
      <c r="L45">
        <f t="shared" si="55"/>
        <v>0.3608146945140821</v>
      </c>
      <c r="N45">
        <v>0.3608146945140821</v>
      </c>
      <c r="O45">
        <f t="shared" si="56"/>
        <v>602.67134979276796</v>
      </c>
    </row>
    <row r="46" spans="2:15">
      <c r="C46" s="19">
        <v>9</v>
      </c>
      <c r="D46" s="47" t="s">
        <v>34</v>
      </c>
      <c r="E46">
        <v>14.35</v>
      </c>
      <c r="G46" s="19">
        <v>9</v>
      </c>
      <c r="H46" s="47" t="s">
        <v>458</v>
      </c>
      <c r="I46">
        <v>15.96</v>
      </c>
      <c r="J46">
        <f t="shared" ref="J46:J47" si="60">I46-14.36433</f>
        <v>1.5956700000000001</v>
      </c>
      <c r="K46" s="52">
        <f t="shared" si="54"/>
        <v>-1.5956700000000001</v>
      </c>
      <c r="L46">
        <f t="shared" si="55"/>
        <v>0.33086853371707153</v>
      </c>
      <c r="N46">
        <v>0.33086853371707153</v>
      </c>
      <c r="O46">
        <f t="shared" si="56"/>
        <v>552.65206448358481</v>
      </c>
    </row>
    <row r="47" spans="2:15">
      <c r="C47" s="19">
        <v>9</v>
      </c>
      <c r="D47" s="47" t="s">
        <v>34</v>
      </c>
      <c r="E47">
        <v>14.361000000000001</v>
      </c>
      <c r="G47" s="19">
        <v>9</v>
      </c>
      <c r="H47" s="47" t="s">
        <v>458</v>
      </c>
      <c r="I47">
        <v>15.962</v>
      </c>
      <c r="J47">
        <f t="shared" si="60"/>
        <v>1.597669999999999</v>
      </c>
      <c r="K47" s="52">
        <f t="shared" si="54"/>
        <v>-1.597669999999999</v>
      </c>
      <c r="L47">
        <f t="shared" si="55"/>
        <v>0.33041017032121073</v>
      </c>
      <c r="N47">
        <v>0.33041017032121073</v>
      </c>
      <c r="O47">
        <f t="shared" si="56"/>
        <v>551.88645684431981</v>
      </c>
    </row>
    <row r="48" spans="2:15">
      <c r="C48" s="19">
        <v>12</v>
      </c>
      <c r="D48" s="47" t="s">
        <v>34</v>
      </c>
      <c r="E48">
        <v>13.752000000000001</v>
      </c>
      <c r="F48">
        <f t="shared" ref="F48" si="61">AVERAGE(E48:E50)</f>
        <v>13.477666666666666</v>
      </c>
      <c r="G48" s="19">
        <v>12</v>
      </c>
      <c r="H48" s="47" t="s">
        <v>458</v>
      </c>
      <c r="I48">
        <v>14.195</v>
      </c>
      <c r="J48">
        <f>I48-13.47767</f>
        <v>0.71733000000000047</v>
      </c>
      <c r="K48" s="52">
        <f t="shared" si="54"/>
        <v>-0.71733000000000047</v>
      </c>
      <c r="L48">
        <f t="shared" si="55"/>
        <v>0.60822203956500631</v>
      </c>
      <c r="N48">
        <v>0.60822203956500631</v>
      </c>
      <c r="O48">
        <f t="shared" si="56"/>
        <v>1015.9175974027477</v>
      </c>
    </row>
    <row r="49" spans="3:15">
      <c r="C49" s="19">
        <v>12</v>
      </c>
      <c r="D49" s="47" t="s">
        <v>34</v>
      </c>
      <c r="E49">
        <v>12.946</v>
      </c>
      <c r="G49" s="19">
        <v>12</v>
      </c>
      <c r="H49" s="47" t="s">
        <v>458</v>
      </c>
      <c r="I49">
        <v>14.002000000000001</v>
      </c>
      <c r="J49">
        <f>I49-13.47767</f>
        <v>0.52433000000000085</v>
      </c>
      <c r="K49" s="52">
        <f t="shared" si="54"/>
        <v>-0.52433000000000085</v>
      </c>
      <c r="L49">
        <f t="shared" si="55"/>
        <v>0.69528192987047133</v>
      </c>
      <c r="N49">
        <v>0.69528192987047133</v>
      </c>
      <c r="O49">
        <f t="shared" si="56"/>
        <v>1161.334351212804</v>
      </c>
    </row>
    <row r="50" spans="3:15">
      <c r="C50" s="19">
        <v>12</v>
      </c>
      <c r="D50" s="47" t="s">
        <v>34</v>
      </c>
      <c r="E50">
        <v>13.734999999999999</v>
      </c>
      <c r="G50" s="19">
        <v>12</v>
      </c>
      <c r="H50" s="47" t="s">
        <v>458</v>
      </c>
      <c r="I50">
        <v>14.16</v>
      </c>
      <c r="J50">
        <f>I50-13.47767</f>
        <v>0.68233000000000033</v>
      </c>
      <c r="K50" s="52">
        <f t="shared" si="54"/>
        <v>-0.68233000000000033</v>
      </c>
      <c r="L50">
        <f t="shared" si="55"/>
        <v>0.62315804055525392</v>
      </c>
      <c r="N50">
        <v>0.62315804055525392</v>
      </c>
      <c r="O50">
        <f t="shared" si="56"/>
        <v>1040.8653060580762</v>
      </c>
    </row>
    <row r="51" spans="3:15">
      <c r="C51" s="19">
        <v>24</v>
      </c>
      <c r="D51" s="47" t="s">
        <v>34</v>
      </c>
      <c r="E51">
        <v>14.98</v>
      </c>
      <c r="F51">
        <f t="shared" ref="F51" si="62">AVERAGE(E51:E53)</f>
        <v>14.894333333333334</v>
      </c>
      <c r="G51" s="19">
        <v>24</v>
      </c>
      <c r="H51" s="47" t="s">
        <v>458</v>
      </c>
      <c r="I51">
        <v>13.689</v>
      </c>
      <c r="J51">
        <f>I51-14.89433</f>
        <v>-1.20533</v>
      </c>
      <c r="K51" s="52">
        <f t="shared" si="54"/>
        <v>1.20533</v>
      </c>
      <c r="L51">
        <f t="shared" si="55"/>
        <v>2.3059000815647068</v>
      </c>
      <c r="N51">
        <v>2.3059000815647068</v>
      </c>
      <c r="O51">
        <f t="shared" si="56"/>
        <v>3851.5613021675799</v>
      </c>
    </row>
    <row r="52" spans="3:15">
      <c r="C52" s="19">
        <v>24</v>
      </c>
      <c r="D52" s="47" t="s">
        <v>34</v>
      </c>
      <c r="E52">
        <v>14.949</v>
      </c>
      <c r="G52" s="19">
        <v>24</v>
      </c>
      <c r="H52" s="47" t="s">
        <v>458</v>
      </c>
      <c r="I52">
        <v>13.657999999999999</v>
      </c>
      <c r="J52">
        <f t="shared" ref="J52:J53" si="63">I52-14.89433</f>
        <v>-1.2363300000000006</v>
      </c>
      <c r="K52" s="52">
        <f t="shared" si="54"/>
        <v>1.2363300000000006</v>
      </c>
      <c r="L52">
        <f t="shared" si="55"/>
        <v>2.3559844220672077</v>
      </c>
      <c r="N52">
        <v>2.3559844220672077</v>
      </c>
      <c r="O52">
        <f t="shared" si="56"/>
        <v>3935.217532229864</v>
      </c>
    </row>
    <row r="53" spans="3:15">
      <c r="C53" s="19">
        <v>24</v>
      </c>
      <c r="D53" s="47" t="s">
        <v>34</v>
      </c>
      <c r="E53">
        <v>14.754</v>
      </c>
      <c r="G53" s="19">
        <v>24</v>
      </c>
      <c r="H53" s="47" t="s">
        <v>458</v>
      </c>
      <c r="I53">
        <v>13.583</v>
      </c>
      <c r="J53">
        <f t="shared" si="63"/>
        <v>-1.3113299999999999</v>
      </c>
      <c r="K53" s="52">
        <f t="shared" si="54"/>
        <v>1.3113299999999999</v>
      </c>
      <c r="L53">
        <f t="shared" si="55"/>
        <v>2.4817021915221678</v>
      </c>
      <c r="N53">
        <v>2.4817021915221678</v>
      </c>
      <c r="O53">
        <f>N53/0.000598692296619294</f>
        <v>4145.2048164572798</v>
      </c>
    </row>
    <row r="56" spans="3:15">
      <c r="G56" s="19">
        <v>0</v>
      </c>
      <c r="H56" s="47" t="s">
        <v>593</v>
      </c>
      <c r="I56">
        <v>29.550999999999998</v>
      </c>
      <c r="J56">
        <f>I56-14.094</f>
        <v>15.456999999999999</v>
      </c>
      <c r="K56" s="52">
        <f t="shared" ref="K56:K70" si="64">-J56</f>
        <v>-15.456999999999999</v>
      </c>
      <c r="L56">
        <f t="shared" ref="L56:L70" si="65">POWER(2,K56)</f>
        <v>2.2232042143219175E-5</v>
      </c>
      <c r="N56">
        <v>2.2232042143219175E-5</v>
      </c>
      <c r="O56">
        <f>N56/0.00038950680001833</f>
        <v>5.7077417241940182E-2</v>
      </c>
    </row>
    <row r="57" spans="3:15">
      <c r="G57" s="19">
        <v>0</v>
      </c>
      <c r="H57" s="47" t="s">
        <v>593</v>
      </c>
      <c r="I57">
        <v>29.904</v>
      </c>
      <c r="J57">
        <f t="shared" ref="J57:J58" si="66">I57-14.094</f>
        <v>15.81</v>
      </c>
      <c r="K57" s="52">
        <f t="shared" si="64"/>
        <v>-15.81</v>
      </c>
      <c r="L57">
        <f t="shared" si="65"/>
        <v>1.7406672910589947E-5</v>
      </c>
      <c r="N57">
        <v>1.7406672910589947E-5</v>
      </c>
      <c r="O57">
        <f t="shared" ref="O57:O70" si="67">N57/0.00038950680001833</f>
        <v>4.4689009048804275E-2</v>
      </c>
    </row>
    <row r="58" spans="3:15">
      <c r="G58" s="19">
        <v>0</v>
      </c>
      <c r="H58" s="47" t="s">
        <v>593</v>
      </c>
      <c r="I58">
        <v>30.128</v>
      </c>
      <c r="J58">
        <f t="shared" si="66"/>
        <v>16.033999999999999</v>
      </c>
      <c r="K58" s="52">
        <f t="shared" si="64"/>
        <v>-16.033999999999999</v>
      </c>
      <c r="L58">
        <f t="shared" si="65"/>
        <v>1.4903389418979316E-5</v>
      </c>
      <c r="N58">
        <v>1.4903389418979316E-5</v>
      </c>
      <c r="O58">
        <f t="shared" si="67"/>
        <v>3.8262205995576899E-2</v>
      </c>
    </row>
    <row r="59" spans="3:15">
      <c r="G59" s="19">
        <v>6</v>
      </c>
      <c r="H59" s="47" t="s">
        <v>593</v>
      </c>
      <c r="I59">
        <v>20.728000000000002</v>
      </c>
      <c r="J59">
        <f>I59-14.28467</f>
        <v>6.4433300000000013</v>
      </c>
      <c r="K59" s="52">
        <f t="shared" si="64"/>
        <v>-6.4433300000000013</v>
      </c>
      <c r="L59">
        <f t="shared" si="65"/>
        <v>1.1491173926671414E-2</v>
      </c>
      <c r="N59">
        <v>1.1491173926671414E-2</v>
      </c>
      <c r="O59">
        <f t="shared" si="67"/>
        <v>29.501857030816009</v>
      </c>
    </row>
    <row r="60" spans="3:15">
      <c r="G60" s="19">
        <v>6</v>
      </c>
      <c r="H60" s="47" t="s">
        <v>593</v>
      </c>
      <c r="I60">
        <v>20.776</v>
      </c>
      <c r="J60">
        <f t="shared" ref="J60:J61" si="68">I60-14.28467</f>
        <v>6.4913299999999996</v>
      </c>
      <c r="K60" s="52">
        <f t="shared" si="64"/>
        <v>-6.4913299999999996</v>
      </c>
      <c r="L60">
        <f t="shared" si="65"/>
        <v>1.111514053874605E-2</v>
      </c>
      <c r="N60">
        <v>1.111514053874605E-2</v>
      </c>
      <c r="O60">
        <f t="shared" si="67"/>
        <v>28.53644798556271</v>
      </c>
    </row>
    <row r="61" spans="3:15">
      <c r="G61" s="19">
        <v>6</v>
      </c>
      <c r="H61" s="47" t="s">
        <v>593</v>
      </c>
      <c r="I61">
        <v>20.727</v>
      </c>
      <c r="J61">
        <f t="shared" si="68"/>
        <v>6.4423300000000001</v>
      </c>
      <c r="K61" s="52">
        <f t="shared" si="64"/>
        <v>-6.4423300000000001</v>
      </c>
      <c r="L61">
        <f t="shared" si="65"/>
        <v>1.1499141762602515E-2</v>
      </c>
      <c r="N61">
        <v>1.1499141762602515E-2</v>
      </c>
      <c r="O61">
        <f t="shared" si="67"/>
        <v>29.52231324860406</v>
      </c>
    </row>
    <row r="62" spans="3:15">
      <c r="G62" s="19">
        <v>9</v>
      </c>
      <c r="H62" s="47" t="s">
        <v>593</v>
      </c>
      <c r="I62">
        <v>18.399000000000001</v>
      </c>
      <c r="J62">
        <f>I62-14.36433</f>
        <v>4.0346700000000002</v>
      </c>
      <c r="K62" s="52">
        <f t="shared" si="64"/>
        <v>-4.0346700000000002</v>
      </c>
      <c r="L62">
        <f t="shared" si="65"/>
        <v>6.1015940151290131E-2</v>
      </c>
      <c r="N62">
        <v>6.1015940151290131E-2</v>
      </c>
      <c r="O62">
        <f t="shared" si="67"/>
        <v>156.6492296114439</v>
      </c>
    </row>
    <row r="63" spans="3:15">
      <c r="G63" s="19">
        <v>9</v>
      </c>
      <c r="H63" s="47" t="s">
        <v>593</v>
      </c>
      <c r="I63">
        <v>18.457000000000001</v>
      </c>
      <c r="J63">
        <f t="shared" ref="J63:J64" si="69">I63-14.36433</f>
        <v>4.09267</v>
      </c>
      <c r="K63" s="52">
        <f t="shared" si="64"/>
        <v>-4.09267</v>
      </c>
      <c r="L63">
        <f t="shared" si="65"/>
        <v>5.8611598728622046E-2</v>
      </c>
      <c r="N63">
        <v>5.8611598728622046E-2</v>
      </c>
      <c r="O63">
        <f t="shared" si="67"/>
        <v>150.47644540702194</v>
      </c>
    </row>
    <row r="64" spans="3:15">
      <c r="G64" s="19">
        <v>9</v>
      </c>
      <c r="H64" s="47" t="s">
        <v>593</v>
      </c>
      <c r="I64">
        <v>18.486000000000001</v>
      </c>
      <c r="J64">
        <f t="shared" si="69"/>
        <v>4.1216699999999999</v>
      </c>
      <c r="K64" s="52">
        <f t="shared" si="64"/>
        <v>-4.1216699999999999</v>
      </c>
      <c r="L64">
        <f t="shared" si="65"/>
        <v>5.7445193646174786E-2</v>
      </c>
      <c r="N64">
        <v>5.7445193646174786E-2</v>
      </c>
      <c r="O64">
        <f t="shared" si="67"/>
        <v>147.4818761661451</v>
      </c>
    </row>
    <row r="65" spans="7:15">
      <c r="G65" s="19">
        <v>12</v>
      </c>
      <c r="H65" s="47" t="s">
        <v>593</v>
      </c>
      <c r="I65">
        <v>16.361000000000001</v>
      </c>
      <c r="J65">
        <f>I65-13.47767</f>
        <v>2.8833300000000008</v>
      </c>
      <c r="K65" s="52">
        <f t="shared" si="64"/>
        <v>-2.8833300000000008</v>
      </c>
      <c r="L65">
        <f t="shared" si="65"/>
        <v>0.13552867192503823</v>
      </c>
      <c r="N65">
        <v>0.13552867192503823</v>
      </c>
      <c r="O65">
        <f t="shared" si="67"/>
        <v>347.94943738764078</v>
      </c>
    </row>
    <row r="66" spans="7:15">
      <c r="G66" s="19">
        <v>12</v>
      </c>
      <c r="H66" s="47" t="s">
        <v>593</v>
      </c>
      <c r="I66">
        <v>16.384</v>
      </c>
      <c r="J66">
        <f t="shared" ref="J66:J67" si="70">I66-13.47767</f>
        <v>2.9063300000000005</v>
      </c>
      <c r="K66" s="52">
        <f t="shared" si="64"/>
        <v>-2.9063300000000005</v>
      </c>
      <c r="L66">
        <f t="shared" si="65"/>
        <v>0.13338515343608354</v>
      </c>
      <c r="N66">
        <v>0.13338515343608354</v>
      </c>
      <c r="O66">
        <f t="shared" si="67"/>
        <v>342.44627675256635</v>
      </c>
    </row>
    <row r="67" spans="7:15">
      <c r="G67" s="19">
        <v>12</v>
      </c>
      <c r="H67" s="47" t="s">
        <v>593</v>
      </c>
      <c r="I67">
        <v>16.288</v>
      </c>
      <c r="J67">
        <f t="shared" si="70"/>
        <v>2.8103300000000004</v>
      </c>
      <c r="K67" s="52">
        <f t="shared" si="64"/>
        <v>-2.8103300000000004</v>
      </c>
      <c r="L67">
        <f t="shared" si="65"/>
        <v>0.14256285113108569</v>
      </c>
      <c r="N67">
        <v>0.14256285113108569</v>
      </c>
      <c r="O67">
        <f t="shared" si="67"/>
        <v>366.00863226104593</v>
      </c>
    </row>
    <row r="68" spans="7:15">
      <c r="G68" s="19">
        <v>24</v>
      </c>
      <c r="H68" s="47" t="s">
        <v>593</v>
      </c>
      <c r="I68">
        <v>19.876000000000001</v>
      </c>
      <c r="J68">
        <f>I68-14.89433</f>
        <v>4.9816700000000012</v>
      </c>
      <c r="K68" s="52">
        <f t="shared" si="64"/>
        <v>-4.9816700000000012</v>
      </c>
      <c r="L68">
        <f t="shared" si="65"/>
        <v>3.1649576380621255E-2</v>
      </c>
      <c r="N68">
        <v>3.1649576380621255E-2</v>
      </c>
      <c r="O68">
        <f t="shared" si="67"/>
        <v>81.255516923277966</v>
      </c>
    </row>
    <row r="69" spans="7:15">
      <c r="G69" s="19">
        <v>24</v>
      </c>
      <c r="H69" s="47" t="s">
        <v>593</v>
      </c>
      <c r="I69">
        <v>19.876000000000001</v>
      </c>
      <c r="J69">
        <f t="shared" ref="J69:J70" si="71">I69-14.89433</f>
        <v>4.9816700000000012</v>
      </c>
      <c r="K69" s="52">
        <f t="shared" si="64"/>
        <v>-4.9816700000000012</v>
      </c>
      <c r="L69">
        <f t="shared" si="65"/>
        <v>3.1649576380621255E-2</v>
      </c>
      <c r="N69">
        <v>3.1649576380621255E-2</v>
      </c>
      <c r="O69">
        <f t="shared" si="67"/>
        <v>81.255516923277966</v>
      </c>
    </row>
    <row r="70" spans="7:15">
      <c r="G70" s="19">
        <v>24</v>
      </c>
      <c r="H70" s="47" t="s">
        <v>593</v>
      </c>
      <c r="I70">
        <v>19.702000000000002</v>
      </c>
      <c r="J70">
        <f t="shared" si="71"/>
        <v>4.8076700000000017</v>
      </c>
      <c r="K70" s="52">
        <f t="shared" si="64"/>
        <v>-4.8076700000000017</v>
      </c>
      <c r="L70">
        <f t="shared" si="65"/>
        <v>3.5706486730682406E-2</v>
      </c>
      <c r="N70">
        <v>3.5706486730682406E-2</v>
      </c>
      <c r="O70">
        <f t="shared" si="67"/>
        <v>91.671022762637463</v>
      </c>
    </row>
  </sheetData>
  <phoneticPr fontId="2" type="noConversion"/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D996CC-C502-244A-BDE0-65AD4E222E11}">
  <dimension ref="A1:Q31"/>
  <sheetViews>
    <sheetView topLeftCell="A4" zoomScale="70" workbookViewId="0">
      <selection activeCell="H40" sqref="H40"/>
    </sheetView>
  </sheetViews>
  <sheetFormatPr baseColWidth="10" defaultRowHeight="16"/>
  <sheetData>
    <row r="1" spans="1:17">
      <c r="A1" t="s">
        <v>349</v>
      </c>
    </row>
    <row r="5" spans="1:17">
      <c r="E5" t="s">
        <v>459</v>
      </c>
      <c r="H5" t="s">
        <v>460</v>
      </c>
    </row>
    <row r="6" spans="1:17">
      <c r="C6" t="s">
        <v>113</v>
      </c>
      <c r="D6" t="s">
        <v>107</v>
      </c>
      <c r="E6" s="41">
        <v>0.28599999999999998</v>
      </c>
      <c r="F6" s="41">
        <v>0.26200000000000001</v>
      </c>
      <c r="G6" s="41">
        <v>0.27900000000000003</v>
      </c>
      <c r="H6" s="41">
        <v>1.496</v>
      </c>
      <c r="I6" s="41">
        <v>1.4490000000000001</v>
      </c>
      <c r="J6" s="41">
        <v>1.46</v>
      </c>
      <c r="K6" t="s">
        <v>458</v>
      </c>
      <c r="L6" s="41">
        <v>0.371</v>
      </c>
      <c r="M6" s="41">
        <v>0.35099999999999998</v>
      </c>
      <c r="N6" s="41">
        <v>0.40799999999999997</v>
      </c>
      <c r="O6" s="41">
        <v>1.5109999999999999</v>
      </c>
      <c r="P6" s="41">
        <v>1.5</v>
      </c>
      <c r="Q6" s="41">
        <v>1.544</v>
      </c>
    </row>
    <row r="7" spans="1:17">
      <c r="D7" t="s">
        <v>108</v>
      </c>
      <c r="E7" s="41">
        <v>0.27300000000000002</v>
      </c>
      <c r="F7" s="41">
        <v>0.30499999999999999</v>
      </c>
      <c r="G7" s="41">
        <v>0.311</v>
      </c>
      <c r="H7" s="41">
        <v>2.9820000000000002</v>
      </c>
      <c r="I7" s="41">
        <v>3.0110000000000001</v>
      </c>
      <c r="J7" s="41">
        <v>3.0030000000000001</v>
      </c>
      <c r="L7" s="41">
        <v>0.42799999999999999</v>
      </c>
      <c r="M7" s="41">
        <v>0.36699999999999999</v>
      </c>
      <c r="N7" s="41">
        <v>0.42199999999999999</v>
      </c>
      <c r="O7" s="41">
        <v>3.0779999999999998</v>
      </c>
      <c r="P7" s="41">
        <v>3.0209999999999999</v>
      </c>
      <c r="Q7" s="41">
        <v>3.0270000000000001</v>
      </c>
    </row>
    <row r="9" spans="1:17">
      <c r="C9">
        <v>-0.20300000000000001</v>
      </c>
      <c r="E9">
        <f>E6-0.203</f>
        <v>8.2999999999999963E-2</v>
      </c>
      <c r="F9">
        <f t="shared" ref="F9:J10" si="0">F6-0.203</f>
        <v>5.8999999999999997E-2</v>
      </c>
      <c r="G9">
        <f t="shared" si="0"/>
        <v>7.6000000000000012E-2</v>
      </c>
      <c r="H9">
        <f t="shared" si="0"/>
        <v>1.2929999999999999</v>
      </c>
      <c r="I9">
        <f t="shared" si="0"/>
        <v>1.246</v>
      </c>
      <c r="J9">
        <f t="shared" si="0"/>
        <v>1.2569999999999999</v>
      </c>
      <c r="K9">
        <v>0.308</v>
      </c>
      <c r="L9">
        <f>L6-0.308</f>
        <v>6.3E-2</v>
      </c>
      <c r="M9">
        <f t="shared" ref="M9:P10" si="1">M6-0.308</f>
        <v>4.2999999999999983E-2</v>
      </c>
      <c r="N9">
        <f t="shared" si="1"/>
        <v>9.9999999999999978E-2</v>
      </c>
      <c r="O9">
        <f t="shared" si="1"/>
        <v>1.2029999999999998</v>
      </c>
      <c r="P9">
        <f t="shared" si="1"/>
        <v>1.1919999999999999</v>
      </c>
      <c r="Q9">
        <f>Q6-0.308</f>
        <v>1.236</v>
      </c>
    </row>
    <row r="10" spans="1:17">
      <c r="E10">
        <f>E7-0.203</f>
        <v>7.0000000000000007E-2</v>
      </c>
      <c r="F10">
        <f t="shared" si="0"/>
        <v>0.10199999999999998</v>
      </c>
      <c r="G10">
        <f t="shared" si="0"/>
        <v>0.10799999999999998</v>
      </c>
      <c r="H10">
        <f t="shared" si="0"/>
        <v>2.7790000000000004</v>
      </c>
      <c r="I10">
        <f t="shared" si="0"/>
        <v>2.8080000000000003</v>
      </c>
      <c r="J10">
        <f t="shared" si="0"/>
        <v>2.8000000000000003</v>
      </c>
      <c r="L10">
        <f>L7-0.308</f>
        <v>0.12</v>
      </c>
      <c r="M10">
        <f t="shared" si="1"/>
        <v>5.8999999999999997E-2</v>
      </c>
      <c r="N10">
        <f t="shared" si="1"/>
        <v>0.11399999999999999</v>
      </c>
      <c r="O10">
        <f t="shared" si="1"/>
        <v>2.77</v>
      </c>
      <c r="P10">
        <f t="shared" si="1"/>
        <v>2.7130000000000001</v>
      </c>
      <c r="Q10">
        <f>Q7-0.308</f>
        <v>2.7190000000000003</v>
      </c>
    </row>
    <row r="12" spans="1:17">
      <c r="E12">
        <f>E9*E9*37.912+25.653*E9</f>
        <v>2.3903747679999987</v>
      </c>
      <c r="F12">
        <f t="shared" ref="F12:J13" si="2">F9*F9*37.912+25.653*F9</f>
        <v>1.6454986719999998</v>
      </c>
      <c r="G12">
        <f t="shared" si="2"/>
        <v>2.168607712</v>
      </c>
      <c r="H12">
        <f t="shared" si="2"/>
        <v>96.552468288</v>
      </c>
      <c r="I12">
        <f t="shared" si="2"/>
        <v>90.822624591999997</v>
      </c>
      <c r="J12">
        <f t="shared" si="2"/>
        <v>92.148638687999977</v>
      </c>
      <c r="L12">
        <f>L9*L9*101.64+L9*142.05</f>
        <v>9.352559160000002</v>
      </c>
      <c r="M12">
        <f t="shared" ref="M12:Q13" si="3">M9*M9*101.64+M9*142.05</f>
        <v>6.296082359999998</v>
      </c>
      <c r="N12">
        <f t="shared" si="3"/>
        <v>15.221399999999997</v>
      </c>
      <c r="O12">
        <f t="shared" si="3"/>
        <v>317.98047275999994</v>
      </c>
      <c r="P12">
        <f t="shared" si="3"/>
        <v>313.74021696</v>
      </c>
      <c r="Q12">
        <f t="shared" si="3"/>
        <v>330.84882143999999</v>
      </c>
    </row>
    <row r="13" spans="1:17">
      <c r="E13">
        <f>E10*E10*37.912+25.653*E10</f>
        <v>1.9814788000000001</v>
      </c>
      <c r="F13">
        <f t="shared" si="2"/>
        <v>3.0110424479999995</v>
      </c>
      <c r="G13">
        <f t="shared" si="2"/>
        <v>3.2127295679999994</v>
      </c>
      <c r="H13">
        <f t="shared" si="2"/>
        <v>364.07803499200008</v>
      </c>
      <c r="I13">
        <f t="shared" si="2"/>
        <v>370.96458796800005</v>
      </c>
      <c r="J13">
        <f t="shared" si="2"/>
        <v>369.05848000000003</v>
      </c>
      <c r="L13">
        <f>L10*L10*101.64+L10*142.05</f>
        <v>18.509616000000001</v>
      </c>
      <c r="M13">
        <f t="shared" si="3"/>
        <v>8.7347588399999996</v>
      </c>
      <c r="N13">
        <f t="shared" si="3"/>
        <v>17.514613439999998</v>
      </c>
      <c r="O13">
        <f t="shared" si="3"/>
        <v>1173.3520560000002</v>
      </c>
      <c r="P13">
        <f t="shared" si="3"/>
        <v>1133.4895551600002</v>
      </c>
      <c r="Q13">
        <f t="shared" si="3"/>
        <v>1137.6545060400003</v>
      </c>
    </row>
    <row r="15" spans="1:17">
      <c r="E15">
        <f>E12*10</f>
        <v>23.903747679999988</v>
      </c>
      <c r="F15">
        <f t="shared" ref="F15:Q16" si="4">F12*10</f>
        <v>16.454986719999997</v>
      </c>
      <c r="G15">
        <f t="shared" si="4"/>
        <v>21.68607712</v>
      </c>
      <c r="H15">
        <f t="shared" si="4"/>
        <v>965.52468288</v>
      </c>
      <c r="I15">
        <f t="shared" si="4"/>
        <v>908.22624592</v>
      </c>
      <c r="J15">
        <f t="shared" si="4"/>
        <v>921.48638687999983</v>
      </c>
      <c r="L15">
        <f t="shared" si="4"/>
        <v>93.525591600000013</v>
      </c>
      <c r="M15">
        <f t="shared" si="4"/>
        <v>62.960823599999983</v>
      </c>
      <c r="N15">
        <f t="shared" si="4"/>
        <v>152.21399999999997</v>
      </c>
      <c r="O15">
        <f t="shared" si="4"/>
        <v>3179.8047275999993</v>
      </c>
      <c r="P15">
        <f t="shared" si="4"/>
        <v>3137.4021696</v>
      </c>
      <c r="Q15">
        <f t="shared" si="4"/>
        <v>3308.4882143999998</v>
      </c>
    </row>
    <row r="16" spans="1:17">
      <c r="E16">
        <f>E13*10</f>
        <v>19.814788</v>
      </c>
      <c r="F16">
        <f t="shared" si="4"/>
        <v>30.110424479999995</v>
      </c>
      <c r="G16">
        <f t="shared" si="4"/>
        <v>32.127295679999996</v>
      </c>
      <c r="H16">
        <f t="shared" si="4"/>
        <v>3640.7803499200008</v>
      </c>
      <c r="I16">
        <f t="shared" si="4"/>
        <v>3709.6458796800007</v>
      </c>
      <c r="J16">
        <f t="shared" si="4"/>
        <v>3690.5848000000005</v>
      </c>
      <c r="L16">
        <f t="shared" si="4"/>
        <v>185.09616</v>
      </c>
      <c r="M16">
        <f t="shared" si="4"/>
        <v>87.347588399999992</v>
      </c>
      <c r="N16">
        <f t="shared" si="4"/>
        <v>175.14613439999999</v>
      </c>
      <c r="O16">
        <f t="shared" si="4"/>
        <v>11733.520560000001</v>
      </c>
      <c r="P16">
        <f t="shared" si="4"/>
        <v>11334.895551600002</v>
      </c>
      <c r="Q16">
        <f t="shared" si="4"/>
        <v>11376.545060400003</v>
      </c>
    </row>
    <row r="20" spans="3:17">
      <c r="C20" s="90" t="s">
        <v>113</v>
      </c>
      <c r="D20" s="90"/>
      <c r="E20" s="90" t="s">
        <v>235</v>
      </c>
      <c r="F20" s="90"/>
      <c r="G20" s="90"/>
      <c r="H20" s="90" t="s">
        <v>236</v>
      </c>
      <c r="I20" s="90"/>
      <c r="J20" s="90"/>
      <c r="K20" s="101" t="s">
        <v>663</v>
      </c>
      <c r="L20" s="101" t="s">
        <v>396</v>
      </c>
      <c r="M20" s="101" t="s">
        <v>664</v>
      </c>
      <c r="N20" s="101" t="s">
        <v>663</v>
      </c>
      <c r="O20" s="101" t="s">
        <v>396</v>
      </c>
      <c r="P20" s="101" t="s">
        <v>664</v>
      </c>
      <c r="Q20" s="101" t="s">
        <v>665</v>
      </c>
    </row>
    <row r="21" spans="3:17">
      <c r="C21" s="90"/>
      <c r="D21" s="90" t="s">
        <v>2</v>
      </c>
      <c r="E21" s="90">
        <v>2.3903747679999986E-2</v>
      </c>
      <c r="F21" s="90">
        <v>1.6454986719999998E-2</v>
      </c>
      <c r="G21" s="90">
        <v>2.1686077120000001E-2</v>
      </c>
      <c r="H21" s="90">
        <v>1.9814788E-2</v>
      </c>
      <c r="I21" s="90">
        <v>3.0110424479999995E-2</v>
      </c>
      <c r="J21" s="90">
        <v>3.2127295679999994E-2</v>
      </c>
      <c r="K21" s="101">
        <f>AVERAGE(E21:G21)</f>
        <v>2.0681603839999996E-2</v>
      </c>
      <c r="L21" s="101">
        <f>STDEV(E21:G21)</f>
        <v>3.8246221888547974E-3</v>
      </c>
      <c r="M21" s="101">
        <f>L21/SQRT(3)</f>
        <v>2.2081466502839333E-3</v>
      </c>
      <c r="N21" s="101">
        <f>AVERAGE(H21:J21)</f>
        <v>2.7350836053333327E-2</v>
      </c>
      <c r="O21" s="101">
        <f>STDEV(H21:J21)</f>
        <v>6.6038592925621422E-3</v>
      </c>
      <c r="P21" s="101">
        <f>O21/SQRT(3)</f>
        <v>3.8127399402511646E-3</v>
      </c>
      <c r="Q21" s="94">
        <v>0.93130000000000002</v>
      </c>
    </row>
    <row r="22" spans="3:17">
      <c r="C22" s="90"/>
      <c r="D22" s="90" t="s">
        <v>20</v>
      </c>
      <c r="E22" s="90">
        <v>0.96552468288000004</v>
      </c>
      <c r="F22" s="90">
        <v>0.90822624592000001</v>
      </c>
      <c r="G22" s="90">
        <v>0.92148638687999984</v>
      </c>
      <c r="H22" s="90">
        <v>3.6407803499200009</v>
      </c>
      <c r="I22" s="90">
        <v>3.7096458796800005</v>
      </c>
      <c r="J22" s="90">
        <v>3.6905848000000003</v>
      </c>
      <c r="K22" s="101">
        <f>AVERAGE(E22:G22)</f>
        <v>0.93174577189333319</v>
      </c>
      <c r="L22" s="101">
        <f>STDEV(E22:G22)</f>
        <v>2.9995315553493229E-2</v>
      </c>
      <c r="M22" s="101">
        <f>L22/SQRT(3)</f>
        <v>1.7317803509237086E-2</v>
      </c>
      <c r="N22" s="101">
        <f>AVERAGE(H22:J22)</f>
        <v>3.6803370098666672</v>
      </c>
      <c r="O22" s="101">
        <f>STDEV(H22:J22)</f>
        <v>3.5558096113880687E-2</v>
      </c>
      <c r="P22" s="101">
        <f>O22/SQRT(3)</f>
        <v>2.0529476363219602E-2</v>
      </c>
      <c r="Q22" s="94" t="s">
        <v>666</v>
      </c>
    </row>
    <row r="23" spans="3:17">
      <c r="C23" s="90"/>
      <c r="D23" s="90"/>
      <c r="E23" s="90"/>
      <c r="F23" s="90"/>
      <c r="G23" s="90"/>
      <c r="H23" s="90"/>
      <c r="I23" s="90"/>
      <c r="J23" s="90"/>
      <c r="K23" s="101"/>
      <c r="L23" s="101"/>
      <c r="M23" s="101"/>
      <c r="N23" s="101"/>
      <c r="O23" s="101"/>
      <c r="P23" s="101"/>
      <c r="Q23" s="94"/>
    </row>
    <row r="24" spans="3:17">
      <c r="K24" s="101"/>
      <c r="L24" s="101"/>
      <c r="M24" s="101"/>
      <c r="N24" s="101"/>
      <c r="O24" s="101"/>
      <c r="P24" s="101"/>
      <c r="Q24" s="94"/>
    </row>
    <row r="25" spans="3:17">
      <c r="K25" s="101"/>
      <c r="L25" s="101"/>
      <c r="M25" s="101"/>
      <c r="N25" s="101"/>
      <c r="O25" s="101"/>
      <c r="P25" s="101"/>
      <c r="Q25" s="94"/>
    </row>
    <row r="28" spans="3:17">
      <c r="C28" s="90" t="s">
        <v>572</v>
      </c>
      <c r="D28" s="90"/>
      <c r="E28" s="90"/>
      <c r="F28" s="90"/>
      <c r="G28" s="90"/>
      <c r="H28" s="90"/>
      <c r="I28" s="90"/>
      <c r="J28" s="90"/>
      <c r="K28" s="90"/>
      <c r="L28" s="90"/>
      <c r="M28" s="90"/>
      <c r="N28" s="90"/>
      <c r="O28" s="90"/>
      <c r="P28" s="90"/>
      <c r="Q28" s="90"/>
    </row>
    <row r="29" spans="3:17">
      <c r="C29" s="90"/>
      <c r="D29" s="90"/>
      <c r="E29" s="90" t="s">
        <v>235</v>
      </c>
      <c r="F29" s="90"/>
      <c r="G29" s="90"/>
      <c r="H29" s="90" t="s">
        <v>236</v>
      </c>
      <c r="I29" s="90"/>
      <c r="J29" s="90"/>
      <c r="K29" s="101" t="s">
        <v>663</v>
      </c>
      <c r="L29" s="101" t="s">
        <v>396</v>
      </c>
      <c r="M29" s="101" t="s">
        <v>664</v>
      </c>
      <c r="N29" s="101" t="s">
        <v>663</v>
      </c>
      <c r="O29" s="101" t="s">
        <v>396</v>
      </c>
      <c r="P29" s="101" t="s">
        <v>664</v>
      </c>
      <c r="Q29" s="101" t="s">
        <v>665</v>
      </c>
    </row>
    <row r="30" spans="3:17">
      <c r="C30" s="90"/>
      <c r="D30" s="90" t="s">
        <v>2</v>
      </c>
      <c r="E30" s="90">
        <v>9.3525591600000013E-2</v>
      </c>
      <c r="F30" s="90">
        <v>6.2960823599999979E-2</v>
      </c>
      <c r="G30" s="90">
        <v>0.15221399999999996</v>
      </c>
      <c r="H30" s="90">
        <v>0.18509616000000001</v>
      </c>
      <c r="I30" s="90">
        <v>8.7347588399999995E-2</v>
      </c>
      <c r="J30" s="90">
        <v>0.17514613439999999</v>
      </c>
      <c r="K30" s="101">
        <f>AVERAGE(E30:G30)</f>
        <v>0.10290013839999999</v>
      </c>
      <c r="L30" s="101">
        <f>STDEV(E30:G30)</f>
        <v>4.5359056098550156E-2</v>
      </c>
      <c r="M30" s="101">
        <f>L30/SQRT(3)</f>
        <v>2.6188063248685271E-2</v>
      </c>
      <c r="N30" s="101">
        <f>AVERAGE(H30:J30)</f>
        <v>0.14919662759999999</v>
      </c>
      <c r="O30" s="101">
        <f>STDEV(H30:J30)</f>
        <v>5.3793387045551547E-2</v>
      </c>
      <c r="P30" s="101">
        <f>O30/SQRT(3)</f>
        <v>3.1057626491370914E-2</v>
      </c>
      <c r="Q30" s="94">
        <v>0.8831</v>
      </c>
    </row>
    <row r="31" spans="3:17">
      <c r="C31" s="90"/>
      <c r="D31" s="90" t="s">
        <v>20</v>
      </c>
      <c r="E31" s="90">
        <v>3.1798047275999992</v>
      </c>
      <c r="F31" s="90">
        <v>3.1374021696000001</v>
      </c>
      <c r="G31" s="90">
        <v>3.3084882143999996</v>
      </c>
      <c r="H31" s="90">
        <v>11.733520560000001</v>
      </c>
      <c r="I31" s="90">
        <v>11.334895551600003</v>
      </c>
      <c r="J31" s="90">
        <v>11.376545060400003</v>
      </c>
      <c r="K31" s="101">
        <f>AVERAGE(E31:G31)</f>
        <v>3.2085650371999996</v>
      </c>
      <c r="L31" s="101">
        <f>STDEV(E31:G31)</f>
        <v>8.9095315463512292E-2</v>
      </c>
      <c r="M31" s="101">
        <f>L31/SQRT(3)</f>
        <v>5.1439204366393453E-2</v>
      </c>
      <c r="N31" s="101">
        <f>AVERAGE(H31:J31)</f>
        <v>11.481653724000003</v>
      </c>
      <c r="O31" s="101">
        <f>STDEV(H31:J31)</f>
        <v>0.21911491894279564</v>
      </c>
      <c r="P31" s="101">
        <f>O31/SQRT(3)</f>
        <v>0.12650605743508611</v>
      </c>
      <c r="Q31" s="94" t="s">
        <v>666</v>
      </c>
    </row>
  </sheetData>
  <phoneticPr fontId="2" type="noConversion"/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1ACD75-6A9D-A84B-9147-1BBE7CD82EA8}">
  <dimension ref="A1:O15"/>
  <sheetViews>
    <sheetView topLeftCell="F2" zoomScale="119" workbookViewId="0">
      <selection activeCell="O9" sqref="O9"/>
    </sheetView>
  </sheetViews>
  <sheetFormatPr baseColWidth="10" defaultRowHeight="16"/>
  <sheetData>
    <row r="1" spans="1:15">
      <c r="A1" t="s">
        <v>350</v>
      </c>
    </row>
    <row r="3" spans="1:15">
      <c r="J3">
        <v>8.0170333392987807</v>
      </c>
      <c r="K3">
        <v>8.204119982655925</v>
      </c>
      <c r="L3">
        <v>7.0413926851582254</v>
      </c>
      <c r="M3">
        <v>7.1461280356782382</v>
      </c>
    </row>
    <row r="7" spans="1:15">
      <c r="C7" s="48"/>
      <c r="D7" s="48" t="s">
        <v>526</v>
      </c>
      <c r="E7" s="48" t="s">
        <v>527</v>
      </c>
      <c r="F7" s="48" t="s">
        <v>528</v>
      </c>
      <c r="G7" s="48"/>
      <c r="H7" s="113"/>
      <c r="I7" s="113"/>
      <c r="J7" s="113"/>
      <c r="K7" s="113"/>
      <c r="L7" s="101" t="s">
        <v>663</v>
      </c>
      <c r="M7" s="101" t="s">
        <v>396</v>
      </c>
      <c r="N7" s="101" t="s">
        <v>664</v>
      </c>
      <c r="O7" s="101" t="s">
        <v>665</v>
      </c>
    </row>
    <row r="8" spans="1:15">
      <c r="C8" t="s">
        <v>483</v>
      </c>
      <c r="E8">
        <v>52</v>
      </c>
      <c r="F8">
        <v>8</v>
      </c>
      <c r="H8" s="90"/>
      <c r="I8" s="90" t="s">
        <v>483</v>
      </c>
      <c r="J8" s="90">
        <v>8.0170333392987807</v>
      </c>
      <c r="K8" s="90">
        <v>8.204119982655925</v>
      </c>
      <c r="L8" s="101">
        <f>AVERAGE(J8:K8)</f>
        <v>8.1105766609773529</v>
      </c>
      <c r="M8" s="101">
        <f>STDEV(J8:K8)</f>
        <v>0.1322902341872659</v>
      </c>
      <c r="N8" s="101">
        <f>M8/SQRT(2)</f>
        <v>9.3543321678572156E-2</v>
      </c>
      <c r="O8" s="94"/>
    </row>
    <row r="9" spans="1:15">
      <c r="C9" t="s">
        <v>26</v>
      </c>
      <c r="D9">
        <v>55</v>
      </c>
      <c r="E9">
        <v>7</v>
      </c>
      <c r="F9">
        <v>0</v>
      </c>
      <c r="H9" s="90" t="s">
        <v>529</v>
      </c>
      <c r="I9" s="90" t="s">
        <v>26</v>
      </c>
      <c r="J9" s="90">
        <v>7.0413926851582254</v>
      </c>
      <c r="K9" s="90">
        <v>7.1461280356782382</v>
      </c>
      <c r="L9" s="101">
        <f>AVERAGE(J9:K9)</f>
        <v>7.0937603604182318</v>
      </c>
      <c r="M9" s="101">
        <f>STDEV(J9:K9)</f>
        <v>7.4059076582651054E-2</v>
      </c>
      <c r="N9" s="101">
        <f>M9/SQRT(2)</f>
        <v>5.2367675260006401E-2</v>
      </c>
      <c r="O9" s="94">
        <v>1.09E-2</v>
      </c>
    </row>
    <row r="11" spans="1:15">
      <c r="E11">
        <f>E8*1000/0.0005</f>
        <v>104000000</v>
      </c>
      <c r="F11">
        <f>F8*1000/0.00005</f>
        <v>160000000</v>
      </c>
    </row>
    <row r="12" spans="1:15">
      <c r="D12">
        <f>D9*1000/0.005</f>
        <v>11000000</v>
      </c>
      <c r="E12">
        <f>E9*1000/0.0005</f>
        <v>14000000</v>
      </c>
    </row>
    <row r="14" spans="1:15">
      <c r="E14">
        <f>LOG10(E11)</f>
        <v>8.0170333392987807</v>
      </c>
      <c r="F14">
        <f>LOG10(F11)</f>
        <v>8.204119982655925</v>
      </c>
      <c r="H14">
        <v>8.0170333392987807</v>
      </c>
      <c r="I14">
        <v>8.204119982655925</v>
      </c>
    </row>
    <row r="15" spans="1:15">
      <c r="D15">
        <f>LOG10(D12)</f>
        <v>7.0413926851582254</v>
      </c>
      <c r="E15">
        <f>LOG10(E12)</f>
        <v>7.1461280356782382</v>
      </c>
      <c r="H15">
        <v>7.0413926851582254</v>
      </c>
      <c r="I15">
        <v>7.1461280356782382</v>
      </c>
    </row>
  </sheetData>
  <phoneticPr fontId="2" type="noConversion"/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B519FF-A7B3-3E43-823C-29E00F655080}">
  <dimension ref="A1:AC47"/>
  <sheetViews>
    <sheetView zoomScale="68" workbookViewId="0">
      <selection activeCell="S11" sqref="S11:AC13"/>
    </sheetView>
  </sheetViews>
  <sheetFormatPr baseColWidth="10" defaultRowHeight="16"/>
  <sheetData>
    <row r="1" spans="1:29">
      <c r="A1" t="s">
        <v>351</v>
      </c>
    </row>
    <row r="7" spans="1:29">
      <c r="A7" s="115" t="s">
        <v>352</v>
      </c>
      <c r="B7" s="115" t="s">
        <v>354</v>
      </c>
      <c r="C7" s="1">
        <v>58874</v>
      </c>
      <c r="D7" s="1">
        <v>46858</v>
      </c>
      <c r="E7" s="1">
        <v>1.2564</v>
      </c>
      <c r="G7">
        <f>E7/1.189266667</f>
        <v>1.0564493522460761</v>
      </c>
    </row>
    <row r="8" spans="1:29">
      <c r="A8" s="115"/>
      <c r="B8" s="115"/>
      <c r="C8" s="1">
        <v>51676</v>
      </c>
      <c r="D8" s="1">
        <v>54316</v>
      </c>
      <c r="E8" s="1">
        <v>0.95140000000000002</v>
      </c>
      <c r="F8">
        <v>1.1892666666666667</v>
      </c>
      <c r="G8">
        <f t="shared" ref="G8:G24" si="0">E8/1.189266667</f>
        <v>0.79998878838500231</v>
      </c>
    </row>
    <row r="9" spans="1:29">
      <c r="A9" s="115"/>
      <c r="B9" s="115"/>
      <c r="C9" s="1">
        <v>67362</v>
      </c>
      <c r="D9" s="1">
        <v>49531</v>
      </c>
      <c r="E9" s="1">
        <v>1.36</v>
      </c>
      <c r="F9">
        <f>AVERAGE(E7:E9)</f>
        <v>1.1892666666666667</v>
      </c>
      <c r="G9">
        <f t="shared" si="0"/>
        <v>1.1435618585280671</v>
      </c>
    </row>
    <row r="10" spans="1:29">
      <c r="A10" s="115"/>
      <c r="B10" s="115" t="s">
        <v>20</v>
      </c>
      <c r="C10" s="1">
        <v>540998</v>
      </c>
      <c r="D10" s="1">
        <v>112853</v>
      </c>
      <c r="E10" s="1">
        <v>4.7938000000000001</v>
      </c>
      <c r="G10">
        <f t="shared" si="0"/>
        <v>4.0308873804498884</v>
      </c>
      <c r="L10" s="1"/>
    </row>
    <row r="11" spans="1:29">
      <c r="A11" s="115"/>
      <c r="B11" s="115"/>
      <c r="C11" s="1">
        <v>516114</v>
      </c>
      <c r="D11" s="1">
        <v>90884</v>
      </c>
      <c r="E11" s="1">
        <v>5.6787999999999998</v>
      </c>
      <c r="G11">
        <f t="shared" si="0"/>
        <v>4.7750434428008734</v>
      </c>
      <c r="I11" s="97" t="s">
        <v>355</v>
      </c>
      <c r="J11" s="91" t="s">
        <v>356</v>
      </c>
      <c r="K11" s="90"/>
      <c r="L11" s="90"/>
      <c r="M11" s="91" t="s">
        <v>357</v>
      </c>
      <c r="N11" s="90"/>
      <c r="O11" s="90"/>
      <c r="P11" s="91" t="s">
        <v>358</v>
      </c>
      <c r="Q11" s="90"/>
      <c r="R11" s="90"/>
      <c r="S11" s="101" t="s">
        <v>663</v>
      </c>
      <c r="T11" s="101" t="s">
        <v>396</v>
      </c>
      <c r="U11" s="101" t="s">
        <v>664</v>
      </c>
      <c r="V11" s="101" t="s">
        <v>663</v>
      </c>
      <c r="W11" s="101" t="s">
        <v>396</v>
      </c>
      <c r="X11" s="101" t="s">
        <v>664</v>
      </c>
      <c r="Y11" s="101" t="s">
        <v>665</v>
      </c>
      <c r="Z11" s="101" t="s">
        <v>663</v>
      </c>
      <c r="AA11" s="101" t="s">
        <v>396</v>
      </c>
      <c r="AB11" s="101" t="s">
        <v>664</v>
      </c>
      <c r="AC11" s="101" t="s">
        <v>665</v>
      </c>
    </row>
    <row r="12" spans="1:29">
      <c r="A12" s="115"/>
      <c r="B12" s="115"/>
      <c r="C12" s="1">
        <v>457304</v>
      </c>
      <c r="D12" s="1">
        <v>53934</v>
      </c>
      <c r="E12" s="1">
        <v>8.4788999999999994</v>
      </c>
      <c r="G12">
        <f t="shared" si="0"/>
        <v>7.1295195899070789</v>
      </c>
      <c r="I12" s="97" t="s">
        <v>359</v>
      </c>
      <c r="J12" s="90">
        <v>1.0564493522460761</v>
      </c>
      <c r="K12" s="90">
        <v>0.79998878838500231</v>
      </c>
      <c r="L12" s="90">
        <v>1.1435618585280671</v>
      </c>
      <c r="M12" s="90">
        <v>0.58901844257272873</v>
      </c>
      <c r="N12" s="90">
        <v>0.6027243677889107</v>
      </c>
      <c r="O12" s="90">
        <v>0.58086215578763878</v>
      </c>
      <c r="P12" s="90">
        <v>1.4120466389898405</v>
      </c>
      <c r="Q12" s="90">
        <v>1.4244071973136365</v>
      </c>
      <c r="R12" s="90">
        <v>1.2668311000429309</v>
      </c>
      <c r="S12" s="101">
        <f>AVERAGE(J12:L12)</f>
        <v>0.9999999997197152</v>
      </c>
      <c r="T12" s="101">
        <f>STDEV(J12:L12)</f>
        <v>0.17860714062535932</v>
      </c>
      <c r="U12" s="101">
        <f>T12/SQRT(3)</f>
        <v>0.10311888071924055</v>
      </c>
      <c r="V12" s="101">
        <f>AVERAGE(M12:O12)</f>
        <v>0.59086832204975936</v>
      </c>
      <c r="W12" s="101">
        <f>STDEV(M12:O12)</f>
        <v>1.1047878482169956E-2</v>
      </c>
      <c r="X12" s="101">
        <f>W12/SQRT(3)</f>
        <v>6.3784956156550986E-3</v>
      </c>
      <c r="Y12" s="94"/>
      <c r="Z12" s="101">
        <f>AVERAGE(P12:R12)</f>
        <v>1.3677616454488026</v>
      </c>
      <c r="AA12" s="101">
        <f>STDEV(P12:R12)</f>
        <v>8.7626634635047163E-2</v>
      </c>
      <c r="AB12" s="101">
        <f>AA12/SQRT(3)</f>
        <v>5.0591261094725469E-2</v>
      </c>
      <c r="AC12" s="94"/>
    </row>
    <row r="13" spans="1:29">
      <c r="A13" s="115" t="s">
        <v>17</v>
      </c>
      <c r="B13" s="115" t="s">
        <v>354</v>
      </c>
      <c r="C13" s="1">
        <v>99771</v>
      </c>
      <c r="D13" s="1">
        <v>142432</v>
      </c>
      <c r="E13" s="1">
        <v>0.70050000000000001</v>
      </c>
      <c r="G13">
        <f t="shared" si="0"/>
        <v>0.58901844257272873</v>
      </c>
      <c r="I13" s="97" t="s">
        <v>117</v>
      </c>
      <c r="J13" s="90">
        <v>4.0308873804498884</v>
      </c>
      <c r="K13" s="90">
        <v>4.7750434428008734</v>
      </c>
      <c r="L13" s="90">
        <v>7.1295195899070789</v>
      </c>
      <c r="M13" s="90">
        <v>1.9964403828699924</v>
      </c>
      <c r="N13" s="90">
        <v>2.4067772850477107</v>
      </c>
      <c r="O13" s="90">
        <v>2.0558046969965229</v>
      </c>
      <c r="P13" s="90">
        <v>6.2380458528398322</v>
      </c>
      <c r="Q13" s="90">
        <v>5.3432086985416198</v>
      </c>
      <c r="R13" s="90">
        <v>6.6212231608775083</v>
      </c>
      <c r="S13" s="101">
        <f>AVERAGE(J13:L13)</f>
        <v>5.3118168043859475</v>
      </c>
      <c r="T13" s="101">
        <f>STDEV(J13:L13)</f>
        <v>1.6175520466593594</v>
      </c>
      <c r="U13" s="101">
        <f>T13/SQRT(3)</f>
        <v>0.93389410956701124</v>
      </c>
      <c r="V13" s="101">
        <f>AVERAGE(M13:O13)</f>
        <v>2.1530074549714087</v>
      </c>
      <c r="W13" s="101">
        <f>STDEV(M13:O13)</f>
        <v>0.22176648854289224</v>
      </c>
      <c r="X13" s="101">
        <f t="shared" ref="X13" si="1">W13/SQRT(3)</f>
        <v>0.12803694185747691</v>
      </c>
      <c r="Y13" s="94">
        <v>1.8E-3</v>
      </c>
      <c r="Z13" s="101">
        <f>AVERAGE(P13:R13)</f>
        <v>6.0674925707529868</v>
      </c>
      <c r="AA13" s="101">
        <f>STDEV(P13:R13)</f>
        <v>0.65585559234321456</v>
      </c>
      <c r="AB13" s="101">
        <f t="shared" ref="AB13" si="2">AA13/SQRT(3)</f>
        <v>0.37865840278887641</v>
      </c>
      <c r="AC13" s="94">
        <v>2.9999999999999997E-4</v>
      </c>
    </row>
    <row r="14" spans="1:29">
      <c r="A14" s="115"/>
      <c r="B14" s="115"/>
      <c r="C14" s="1">
        <v>98717</v>
      </c>
      <c r="D14" s="1">
        <v>137727</v>
      </c>
      <c r="E14" s="1">
        <v>0.71679999999999999</v>
      </c>
      <c r="G14">
        <f t="shared" si="0"/>
        <v>0.6027243677889107</v>
      </c>
    </row>
    <row r="15" spans="1:29">
      <c r="A15" s="115"/>
      <c r="B15" s="115"/>
      <c r="C15" s="1">
        <v>123139</v>
      </c>
      <c r="D15" s="1">
        <v>178266</v>
      </c>
      <c r="E15" s="1">
        <v>0.69079999999999997</v>
      </c>
      <c r="G15">
        <f t="shared" si="0"/>
        <v>0.58086215578763878</v>
      </c>
    </row>
    <row r="16" spans="1:29">
      <c r="A16" s="115"/>
      <c r="B16" s="115" t="s">
        <v>20</v>
      </c>
      <c r="C16" s="1">
        <v>544103</v>
      </c>
      <c r="D16" s="1">
        <v>229167</v>
      </c>
      <c r="E16" s="1">
        <v>2.3742999999999999</v>
      </c>
      <c r="G16">
        <f t="shared" si="0"/>
        <v>1.9964403828699924</v>
      </c>
    </row>
    <row r="17" spans="1:16">
      <c r="A17" s="115"/>
      <c r="B17" s="115"/>
      <c r="C17" s="1">
        <v>489011</v>
      </c>
      <c r="D17" s="1">
        <v>170847</v>
      </c>
      <c r="E17" s="1">
        <v>2.8622999999999998</v>
      </c>
      <c r="G17">
        <f t="shared" si="0"/>
        <v>2.4067772850477107</v>
      </c>
    </row>
    <row r="18" spans="1:16">
      <c r="A18" s="115"/>
      <c r="B18" s="115"/>
      <c r="C18" s="1">
        <v>331929</v>
      </c>
      <c r="D18" s="1">
        <v>135765</v>
      </c>
      <c r="E18" s="1">
        <v>2.4449000000000001</v>
      </c>
      <c r="G18">
        <f t="shared" si="0"/>
        <v>2.0558046969965229</v>
      </c>
    </row>
    <row r="19" spans="1:16">
      <c r="A19" s="115" t="s">
        <v>353</v>
      </c>
      <c r="B19" s="115" t="s">
        <v>354</v>
      </c>
      <c r="C19" s="1">
        <v>72799</v>
      </c>
      <c r="D19" s="1">
        <v>43350</v>
      </c>
      <c r="E19" s="1">
        <v>1.6793</v>
      </c>
      <c r="G19">
        <f t="shared" si="0"/>
        <v>1.4120466389898405</v>
      </c>
    </row>
    <row r="20" spans="1:16">
      <c r="A20" s="115"/>
      <c r="B20" s="115"/>
      <c r="C20" s="1">
        <v>76619</v>
      </c>
      <c r="D20" s="1">
        <v>45230</v>
      </c>
      <c r="E20" s="1">
        <v>1.694</v>
      </c>
      <c r="G20">
        <f t="shared" si="0"/>
        <v>1.4244071973136365</v>
      </c>
    </row>
    <row r="21" spans="1:16">
      <c r="A21" s="115"/>
      <c r="B21" s="115"/>
      <c r="C21" s="1">
        <v>73501</v>
      </c>
      <c r="D21" s="1">
        <v>48785</v>
      </c>
      <c r="E21" s="1">
        <v>1.5065999999999999</v>
      </c>
      <c r="G21">
        <f t="shared" si="0"/>
        <v>1.2668311000429309</v>
      </c>
    </row>
    <row r="22" spans="1:16">
      <c r="A22" s="115"/>
      <c r="B22" s="115" t="s">
        <v>20</v>
      </c>
      <c r="C22" s="1">
        <v>587336</v>
      </c>
      <c r="D22" s="1">
        <v>79169</v>
      </c>
      <c r="E22" s="1">
        <v>7.4187000000000003</v>
      </c>
      <c r="G22">
        <f t="shared" si="0"/>
        <v>6.2380458528398322</v>
      </c>
    </row>
    <row r="23" spans="1:16">
      <c r="A23" s="115"/>
      <c r="B23" s="115"/>
      <c r="C23" s="1">
        <v>575684</v>
      </c>
      <c r="D23" s="1">
        <v>90594</v>
      </c>
      <c r="E23" s="1">
        <v>6.3544999999999998</v>
      </c>
      <c r="G23">
        <f t="shared" si="0"/>
        <v>5.3432086985416198</v>
      </c>
    </row>
    <row r="24" spans="1:16">
      <c r="A24" s="115"/>
      <c r="B24" s="115"/>
      <c r="C24" s="1">
        <v>410653</v>
      </c>
      <c r="D24" s="1">
        <v>52150</v>
      </c>
      <c r="E24" s="1">
        <v>7.8743999999999996</v>
      </c>
      <c r="G24">
        <f t="shared" si="0"/>
        <v>6.6212231608775083</v>
      </c>
    </row>
    <row r="30" spans="1:16">
      <c r="A30" s="1" t="s">
        <v>361</v>
      </c>
      <c r="B30" s="1">
        <v>563653</v>
      </c>
      <c r="C30" s="1">
        <v>17412868</v>
      </c>
      <c r="D30" s="1">
        <f>B30/C30</f>
        <v>3.2369911722755836E-2</v>
      </c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</row>
    <row r="31" spans="1:16">
      <c r="A31" s="1"/>
      <c r="B31" s="1">
        <v>668019</v>
      </c>
      <c r="C31" s="1">
        <v>19612196</v>
      </c>
      <c r="D31" s="1">
        <f>B31/C31</f>
        <v>3.4061407503779791E-2</v>
      </c>
      <c r="E31" s="1">
        <v>3.3252694426600803E-2</v>
      </c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</row>
    <row r="32" spans="1:16">
      <c r="A32" s="1"/>
      <c r="B32" s="1">
        <v>653080</v>
      </c>
      <c r="C32" s="1">
        <v>19596262</v>
      </c>
      <c r="D32" s="1">
        <f>B32/C32</f>
        <v>3.3326764053266893E-2</v>
      </c>
      <c r="E32" s="1">
        <f>AVERAGE(D30:D32)</f>
        <v>3.3252694426600837E-2</v>
      </c>
      <c r="F32" s="1"/>
      <c r="G32" s="1"/>
      <c r="H32" s="1" t="s">
        <v>362</v>
      </c>
      <c r="I32" s="1"/>
      <c r="J32" s="1"/>
      <c r="K32" s="1" t="s">
        <v>295</v>
      </c>
      <c r="L32" s="1"/>
      <c r="M32" s="1"/>
      <c r="N32" s="1" t="s">
        <v>363</v>
      </c>
      <c r="O32" s="1"/>
      <c r="P32" s="1"/>
    </row>
    <row r="33" spans="1:27">
      <c r="A33" s="1" t="s">
        <v>364</v>
      </c>
      <c r="B33" s="1">
        <v>15605691</v>
      </c>
      <c r="C33" s="1">
        <v>19814196</v>
      </c>
      <c r="D33" s="1">
        <f t="shared" ref="D33:D47" si="3">B33/C33</f>
        <v>0.78760152569400244</v>
      </c>
      <c r="E33" s="1"/>
      <c r="F33" s="1"/>
      <c r="G33" s="1" t="s">
        <v>116</v>
      </c>
      <c r="H33" s="1">
        <v>3.2369911722755836E-2</v>
      </c>
      <c r="I33" s="1">
        <v>3.4061407503779791E-2</v>
      </c>
      <c r="J33" s="1">
        <v>3.3326764053266893E-2</v>
      </c>
      <c r="K33" s="1">
        <v>1.2443107329536468E-2</v>
      </c>
      <c r="L33" s="1">
        <v>1.2482413873441825E-2</v>
      </c>
      <c r="M33" s="1">
        <v>1.3164800625324755E-2</v>
      </c>
      <c r="N33" s="1">
        <v>3.284290411885625E-2</v>
      </c>
      <c r="O33" s="1">
        <v>3.0085418541916081E-2</v>
      </c>
      <c r="P33" s="1">
        <v>3.2498882152759187E-2</v>
      </c>
    </row>
    <row r="34" spans="1:27">
      <c r="A34" s="1"/>
      <c r="B34" s="1">
        <v>17521808</v>
      </c>
      <c r="C34" s="1">
        <v>22470202</v>
      </c>
      <c r="D34" s="1">
        <f t="shared" si="3"/>
        <v>0.77977972783689264</v>
      </c>
      <c r="E34" s="1"/>
      <c r="F34" s="1"/>
      <c r="G34" s="1" t="s">
        <v>365</v>
      </c>
      <c r="H34" s="1">
        <v>0.78760152569400244</v>
      </c>
      <c r="I34" s="1">
        <v>0.77977972783689264</v>
      </c>
      <c r="J34" s="1">
        <v>0.78070818403647568</v>
      </c>
      <c r="K34" s="1">
        <v>0.27592640138380403</v>
      </c>
      <c r="L34" s="1">
        <v>0.26724498808385438</v>
      </c>
      <c r="M34" s="1">
        <v>0.29613817294491451</v>
      </c>
      <c r="N34" s="1">
        <v>0.66415748834468924</v>
      </c>
      <c r="O34" s="1">
        <v>0.6082063101762003</v>
      </c>
      <c r="P34" s="1">
        <v>0.58625408861001582</v>
      </c>
    </row>
    <row r="35" spans="1:27">
      <c r="A35" s="1"/>
      <c r="B35" s="1">
        <v>15064987</v>
      </c>
      <c r="C35" s="1">
        <v>19296566</v>
      </c>
      <c r="D35" s="1">
        <f t="shared" si="3"/>
        <v>0.78070818403647568</v>
      </c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</row>
    <row r="36" spans="1:27">
      <c r="A36" s="1" t="s">
        <v>295</v>
      </c>
      <c r="B36" s="1">
        <v>278475</v>
      </c>
      <c r="C36" s="1">
        <v>22379860</v>
      </c>
      <c r="D36" s="1">
        <f t="shared" si="3"/>
        <v>1.2443107329536468E-2</v>
      </c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</row>
    <row r="37" spans="1:27">
      <c r="A37" s="1"/>
      <c r="B37" s="1">
        <v>277314</v>
      </c>
      <c r="C37" s="1">
        <v>22216376</v>
      </c>
      <c r="D37" s="1">
        <f t="shared" si="3"/>
        <v>1.2482413873441825E-2</v>
      </c>
      <c r="E37" s="1"/>
      <c r="F37" s="1"/>
      <c r="G37" s="1"/>
      <c r="H37" s="1" t="s">
        <v>362</v>
      </c>
      <c r="I37" s="1"/>
      <c r="J37" s="1"/>
      <c r="K37" s="1" t="s">
        <v>295</v>
      </c>
      <c r="L37" s="1"/>
      <c r="M37" s="1"/>
      <c r="N37" s="1" t="s">
        <v>363</v>
      </c>
      <c r="O37" s="1"/>
      <c r="P37" s="1"/>
    </row>
    <row r="38" spans="1:27">
      <c r="A38" s="1"/>
      <c r="B38" s="1">
        <v>281332</v>
      </c>
      <c r="C38" s="1">
        <v>21370016</v>
      </c>
      <c r="D38" s="1">
        <f t="shared" si="3"/>
        <v>1.3164800625324755E-2</v>
      </c>
      <c r="E38" s="1"/>
      <c r="F38" s="1"/>
      <c r="G38" s="1" t="s">
        <v>116</v>
      </c>
      <c r="H38" s="1">
        <f>H33/0.0332526944266008</f>
        <v>0.97345229554875479</v>
      </c>
      <c r="I38" s="1">
        <f t="shared" ref="I38:P39" si="4">I33/0.0332526944266008</f>
        <v>1.0243202270108991</v>
      </c>
      <c r="J38" s="1">
        <f t="shared" si="4"/>
        <v>1.0022274774403495</v>
      </c>
      <c r="K38" s="1">
        <f t="shared" si="4"/>
        <v>0.37419846854823552</v>
      </c>
      <c r="L38" s="1">
        <f t="shared" si="4"/>
        <v>0.3753805244562799</v>
      </c>
      <c r="M38" s="1">
        <f t="shared" si="4"/>
        <v>0.39590177134017296</v>
      </c>
      <c r="N38" s="1">
        <f t="shared" si="4"/>
        <v>0.98767647810768877</v>
      </c>
      <c r="O38" s="1">
        <f t="shared" si="4"/>
        <v>0.90475130093063882</v>
      </c>
      <c r="P38" s="1">
        <f t="shared" si="4"/>
        <v>0.97733079117827526</v>
      </c>
    </row>
    <row r="39" spans="1:27">
      <c r="A39" s="1" t="s">
        <v>366</v>
      </c>
      <c r="B39" s="1">
        <v>6501938</v>
      </c>
      <c r="C39" s="1">
        <v>23564030</v>
      </c>
      <c r="D39" s="1">
        <f t="shared" si="3"/>
        <v>0.27592640138380403</v>
      </c>
      <c r="E39" s="1"/>
      <c r="F39" s="1"/>
      <c r="G39" s="1" t="s">
        <v>365</v>
      </c>
      <c r="H39" s="1">
        <f>H34/0.0332526944266008</f>
        <v>23.685344579594528</v>
      </c>
      <c r="I39" s="1">
        <f t="shared" si="4"/>
        <v>23.450121600164245</v>
      </c>
      <c r="J39" s="1">
        <f t="shared" si="4"/>
        <v>23.47804283228071</v>
      </c>
      <c r="K39" s="1">
        <f t="shared" si="4"/>
        <v>8.297865966707171</v>
      </c>
      <c r="L39" s="1">
        <f t="shared" si="4"/>
        <v>8.0367919860975015</v>
      </c>
      <c r="M39" s="1">
        <f t="shared" si="4"/>
        <v>8.9056895403945386</v>
      </c>
      <c r="N39" s="1">
        <f t="shared" si="4"/>
        <v>19.973042780358583</v>
      </c>
      <c r="O39" s="1">
        <f t="shared" si="4"/>
        <v>18.290436930417886</v>
      </c>
      <c r="P39" s="1">
        <f t="shared" si="4"/>
        <v>17.630273237077486</v>
      </c>
    </row>
    <row r="40" spans="1:27">
      <c r="A40" s="1"/>
      <c r="B40" s="1">
        <v>5637060</v>
      </c>
      <c r="C40" s="1">
        <v>21093230</v>
      </c>
      <c r="D40" s="1">
        <f t="shared" si="3"/>
        <v>0.26724498808385438</v>
      </c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</row>
    <row r="41" spans="1:27">
      <c r="A41" s="1"/>
      <c r="B41" s="1">
        <v>6053958</v>
      </c>
      <c r="C41" s="1">
        <v>20443018</v>
      </c>
      <c r="D41" s="1">
        <f t="shared" si="3"/>
        <v>0.29613817294491451</v>
      </c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</row>
    <row r="42" spans="1:27">
      <c r="A42" s="1" t="s">
        <v>367</v>
      </c>
      <c r="B42" s="1">
        <v>810166</v>
      </c>
      <c r="C42" s="1">
        <v>24667916</v>
      </c>
      <c r="D42" s="1">
        <f t="shared" si="3"/>
        <v>3.284290411885625E-2</v>
      </c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</row>
    <row r="43" spans="1:27">
      <c r="A43" s="1"/>
      <c r="B43" s="1">
        <v>875035</v>
      </c>
      <c r="C43" s="1">
        <v>29085020</v>
      </c>
      <c r="D43" s="1">
        <f t="shared" si="3"/>
        <v>3.0085418541916081E-2</v>
      </c>
      <c r="E43" s="1"/>
      <c r="F43" s="1"/>
      <c r="G43" s="91"/>
      <c r="H43" s="91" t="s">
        <v>692</v>
      </c>
      <c r="I43" s="91"/>
      <c r="J43" s="91"/>
      <c r="K43" s="91" t="s">
        <v>25</v>
      </c>
      <c r="L43" s="91"/>
      <c r="M43" s="91"/>
      <c r="N43" s="91" t="s">
        <v>693</v>
      </c>
      <c r="O43" s="91"/>
      <c r="P43" s="91"/>
      <c r="Q43" s="101" t="s">
        <v>663</v>
      </c>
      <c r="R43" s="101" t="s">
        <v>396</v>
      </c>
      <c r="S43" s="101" t="s">
        <v>664</v>
      </c>
      <c r="T43" s="101" t="s">
        <v>663</v>
      </c>
      <c r="U43" s="101" t="s">
        <v>396</v>
      </c>
      <c r="V43" s="101" t="s">
        <v>664</v>
      </c>
      <c r="W43" s="101" t="s">
        <v>665</v>
      </c>
      <c r="X43" s="101" t="s">
        <v>663</v>
      </c>
      <c r="Y43" s="101" t="s">
        <v>396</v>
      </c>
      <c r="Z43" s="101" t="s">
        <v>664</v>
      </c>
      <c r="AA43" s="101" t="s">
        <v>665</v>
      </c>
    </row>
    <row r="44" spans="1:27">
      <c r="A44" s="1"/>
      <c r="B44" s="1">
        <v>832934</v>
      </c>
      <c r="C44" s="1">
        <v>25629620</v>
      </c>
      <c r="D44" s="1">
        <f t="shared" si="3"/>
        <v>3.2498882152759187E-2</v>
      </c>
      <c r="E44" s="1"/>
      <c r="F44" s="1"/>
      <c r="G44" s="91" t="s">
        <v>459</v>
      </c>
      <c r="H44" s="91">
        <v>0.97345229554875479</v>
      </c>
      <c r="I44" s="91">
        <v>1.0243202270108991</v>
      </c>
      <c r="J44" s="91">
        <v>1.0022274774403495</v>
      </c>
      <c r="K44" s="91">
        <v>0.37419846854823552</v>
      </c>
      <c r="L44" s="91">
        <v>0.3753805244562799</v>
      </c>
      <c r="M44" s="91">
        <v>0.39590177134017296</v>
      </c>
      <c r="N44" s="91">
        <v>0.98767647810768877</v>
      </c>
      <c r="O44" s="91">
        <v>0.90475130093063882</v>
      </c>
      <c r="P44" s="91">
        <v>0.97733079117827526</v>
      </c>
      <c r="Q44" s="101">
        <f>AVERAGE(H44:J44)</f>
        <v>1.0000000000000011</v>
      </c>
      <c r="R44" s="101">
        <f>STDEV(H44:J44)</f>
        <v>2.5507015792126646E-2</v>
      </c>
      <c r="S44" s="101">
        <f>R44/SQRT(3)</f>
        <v>1.4726482433808356E-2</v>
      </c>
      <c r="T44" s="101">
        <f>AVERAGE(K44:M44)</f>
        <v>0.38182692144822944</v>
      </c>
      <c r="U44" s="101">
        <f>STDEV(K44:M44)</f>
        <v>1.2203498008890408E-2</v>
      </c>
      <c r="V44" s="101">
        <f>U44/SQRT(3)</f>
        <v>7.0456928604879397E-3</v>
      </c>
      <c r="W44" s="94"/>
      <c r="X44" s="101">
        <f>AVERAGE(N44:P44)</f>
        <v>0.95658619007220091</v>
      </c>
      <c r="Y44" s="101">
        <f>STDEV(N44:P44)</f>
        <v>4.5187388824193923E-2</v>
      </c>
      <c r="Z44" s="101">
        <f>Y44/SQRT(3)</f>
        <v>2.6088951101624649E-2</v>
      </c>
      <c r="AA44" s="94"/>
    </row>
    <row r="45" spans="1:27">
      <c r="A45" s="1" t="s">
        <v>368</v>
      </c>
      <c r="B45" s="1">
        <v>9381010</v>
      </c>
      <c r="C45" s="1">
        <v>14124677</v>
      </c>
      <c r="D45" s="1">
        <f t="shared" si="3"/>
        <v>0.66415748834468924</v>
      </c>
      <c r="E45" s="1"/>
      <c r="F45" s="1"/>
      <c r="G45" s="91" t="s">
        <v>694</v>
      </c>
      <c r="H45" s="91">
        <v>23.685344579594528</v>
      </c>
      <c r="I45" s="91">
        <v>23.450121600164245</v>
      </c>
      <c r="J45" s="91">
        <v>23.47804283228071</v>
      </c>
      <c r="K45" s="91">
        <v>8.297865966707171</v>
      </c>
      <c r="L45" s="91">
        <v>8.0367919860975015</v>
      </c>
      <c r="M45" s="91">
        <v>8.9056895403945386</v>
      </c>
      <c r="N45" s="91">
        <v>19.973042780358583</v>
      </c>
      <c r="O45" s="91">
        <v>18.290436930417886</v>
      </c>
      <c r="P45" s="91">
        <v>17.630273237077486</v>
      </c>
      <c r="Q45" s="101">
        <f>AVERAGE(H45:J45)</f>
        <v>23.537836337346494</v>
      </c>
      <c r="R45" s="101">
        <f>STDEV(H45:J45)</f>
        <v>0.12850645878341588</v>
      </c>
      <c r="S45" s="101">
        <f>R45/SQRT(3)</f>
        <v>7.4193238571210712E-2</v>
      </c>
      <c r="T45" s="101">
        <f>AVERAGE(K45:M45)</f>
        <v>8.4134491643997364</v>
      </c>
      <c r="U45" s="101">
        <f>STDEV(K45:M45)</f>
        <v>0.44583107412726658</v>
      </c>
      <c r="V45" s="101">
        <f t="shared" ref="V45" si="5">U45/SQRT(3)</f>
        <v>0.25740069066047738</v>
      </c>
      <c r="W45" s="94" t="s">
        <v>666</v>
      </c>
      <c r="X45" s="101">
        <f>AVERAGE(N45:P45)</f>
        <v>18.631250982617985</v>
      </c>
      <c r="Y45" s="101">
        <f>STDEV(N45:P45)</f>
        <v>1.2079974945603855</v>
      </c>
      <c r="Z45" s="101">
        <f t="shared" ref="Z45" si="6">Y45/SQRT(3)</f>
        <v>0.69743767866483208</v>
      </c>
      <c r="AA45" s="94" t="s">
        <v>666</v>
      </c>
    </row>
    <row r="46" spans="1:27">
      <c r="A46" s="1"/>
      <c r="B46" s="1">
        <v>12380807</v>
      </c>
      <c r="C46" s="1">
        <v>20356262</v>
      </c>
      <c r="D46" s="1">
        <f t="shared" si="3"/>
        <v>0.6082063101762003</v>
      </c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</row>
    <row r="47" spans="1:27">
      <c r="A47" s="1"/>
      <c r="B47" s="1">
        <v>13628589</v>
      </c>
      <c r="C47" s="1">
        <v>23246898</v>
      </c>
      <c r="D47" s="1">
        <f t="shared" si="3"/>
        <v>0.58625408861001582</v>
      </c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</row>
  </sheetData>
  <mergeCells count="9">
    <mergeCell ref="A7:A12"/>
    <mergeCell ref="A13:A18"/>
    <mergeCell ref="A19:A24"/>
    <mergeCell ref="B7:B9"/>
    <mergeCell ref="B10:B12"/>
    <mergeCell ref="B13:B15"/>
    <mergeCell ref="B16:B18"/>
    <mergeCell ref="B19:B21"/>
    <mergeCell ref="B22:B24"/>
  </mergeCells>
  <phoneticPr fontId="2" type="noConversion"/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1F620C-941B-B640-847A-24F8D0F41012}">
  <dimension ref="A1"/>
  <sheetViews>
    <sheetView topLeftCell="A6" workbookViewId="0">
      <selection activeCell="C5" sqref="C5"/>
    </sheetView>
  </sheetViews>
  <sheetFormatPr baseColWidth="10" defaultRowHeight="16"/>
  <sheetData>
    <row r="1" spans="1:1">
      <c r="A1" t="s">
        <v>360</v>
      </c>
    </row>
  </sheetData>
  <phoneticPr fontId="2" type="noConversion"/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832EF-958B-5049-BCF3-A66884DA6D36}">
  <dimension ref="A1"/>
  <sheetViews>
    <sheetView workbookViewId="0">
      <selection activeCell="A2" sqref="A2"/>
    </sheetView>
  </sheetViews>
  <sheetFormatPr baseColWidth="10" defaultRowHeight="16"/>
  <sheetData>
    <row r="1" spans="1:1">
      <c r="A1" t="s">
        <v>369</v>
      </c>
    </row>
  </sheetData>
  <phoneticPr fontId="2" type="noConversion"/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FAEC-38A9-3D45-8BE5-0E1C53FA555C}">
  <dimension ref="A1"/>
  <sheetViews>
    <sheetView workbookViewId="0">
      <selection activeCell="A9" sqref="A9"/>
    </sheetView>
  </sheetViews>
  <sheetFormatPr baseColWidth="10" defaultRowHeight="16"/>
  <sheetData>
    <row r="1" spans="1:1">
      <c r="A1" t="s">
        <v>370</v>
      </c>
    </row>
  </sheetData>
  <phoneticPr fontId="2" type="noConversion"/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3C328-A4EC-AA4F-9C0A-70171868885A}">
  <dimension ref="A1"/>
  <sheetViews>
    <sheetView zoomScale="83" workbookViewId="0"/>
  </sheetViews>
  <sheetFormatPr baseColWidth="10" defaultRowHeight="16"/>
  <sheetData>
    <row r="1" spans="1:1">
      <c r="A1" t="s">
        <v>371</v>
      </c>
    </row>
  </sheetData>
  <phoneticPr fontId="2" type="noConversion"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6EC013-32EC-3B49-B48A-A9D82F18FC81}">
  <dimension ref="A1"/>
  <sheetViews>
    <sheetView topLeftCell="A3" zoomScale="88" workbookViewId="0">
      <selection activeCell="N23" sqref="N23"/>
    </sheetView>
  </sheetViews>
  <sheetFormatPr baseColWidth="10" defaultRowHeight="16"/>
  <sheetData>
    <row r="1" spans="1:1">
      <c r="A1" t="s">
        <v>372</v>
      </c>
    </row>
  </sheetData>
  <phoneticPr fontId="2" type="noConversion"/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626799-1DDE-AB48-A7BE-FE3FB3AF10DD}">
  <dimension ref="A1:AB24"/>
  <sheetViews>
    <sheetView topLeftCell="B1" zoomScale="75" workbookViewId="0">
      <selection activeCell="L21" sqref="L21"/>
    </sheetView>
  </sheetViews>
  <sheetFormatPr baseColWidth="10" defaultRowHeight="16"/>
  <sheetData>
    <row r="1" spans="1:8">
      <c r="A1" t="s">
        <v>695</v>
      </c>
    </row>
    <row r="8" spans="1:8">
      <c r="C8" s="71" t="s">
        <v>543</v>
      </c>
      <c r="D8" s="72">
        <v>17833</v>
      </c>
      <c r="E8" s="72">
        <v>113064</v>
      </c>
      <c r="F8" s="72">
        <v>0.15770000000000001</v>
      </c>
      <c r="G8" s="1">
        <v>0.175166666666667</v>
      </c>
      <c r="H8">
        <f>F8/0.175166666666667</f>
        <v>0.9002854424357738</v>
      </c>
    </row>
    <row r="9" spans="1:8">
      <c r="C9" s="72"/>
      <c r="D9" s="72">
        <v>18725</v>
      </c>
      <c r="E9" s="72">
        <v>102534</v>
      </c>
      <c r="F9" s="72">
        <v>0.18260000000000001</v>
      </c>
      <c r="G9" s="72"/>
      <c r="H9">
        <f t="shared" ref="H9:H19" si="0">F9/0.175166666666667</f>
        <v>1.0424357754519487</v>
      </c>
    </row>
    <row r="10" spans="1:8">
      <c r="C10" s="72"/>
      <c r="D10" s="72">
        <v>19201</v>
      </c>
      <c r="E10" s="72">
        <v>103693</v>
      </c>
      <c r="F10" s="72">
        <v>0.1852</v>
      </c>
      <c r="G10" s="72"/>
      <c r="H10">
        <f t="shared" si="0"/>
        <v>1.057278782112272</v>
      </c>
    </row>
    <row r="11" spans="1:8">
      <c r="C11" s="71" t="s">
        <v>544</v>
      </c>
      <c r="D11" s="72">
        <v>4105040</v>
      </c>
      <c r="E11" s="72">
        <v>23107</v>
      </c>
      <c r="F11" s="72">
        <v>177.65020000000001</v>
      </c>
      <c r="G11" s="72"/>
      <c r="H11">
        <f t="shared" si="0"/>
        <v>1014.178116079922</v>
      </c>
    </row>
    <row r="12" spans="1:8">
      <c r="C12" s="72"/>
      <c r="D12" s="72">
        <v>4178757</v>
      </c>
      <c r="E12" s="72">
        <v>22918</v>
      </c>
      <c r="F12" s="72">
        <v>182.3348</v>
      </c>
      <c r="G12" s="72"/>
      <c r="H12">
        <f t="shared" si="0"/>
        <v>1040.9217887725956</v>
      </c>
    </row>
    <row r="13" spans="1:8">
      <c r="C13" s="72"/>
      <c r="D13" s="72">
        <v>4494745</v>
      </c>
      <c r="E13" s="72">
        <v>25893</v>
      </c>
      <c r="F13" s="72">
        <v>173.58539999999999</v>
      </c>
      <c r="G13" s="72"/>
      <c r="H13">
        <f t="shared" si="0"/>
        <v>990.97278782112085</v>
      </c>
    </row>
    <row r="14" spans="1:8">
      <c r="C14" s="71" t="s">
        <v>545</v>
      </c>
      <c r="D14" s="72">
        <v>93644</v>
      </c>
      <c r="E14" s="72">
        <v>152558</v>
      </c>
      <c r="F14" s="72">
        <v>0.61380000000000001</v>
      </c>
      <c r="G14" s="72"/>
      <c r="H14">
        <f t="shared" si="0"/>
        <v>3.5040913415794415</v>
      </c>
    </row>
    <row r="15" spans="1:8">
      <c r="C15" s="72"/>
      <c r="D15" s="72">
        <v>63696</v>
      </c>
      <c r="E15" s="72">
        <v>85016</v>
      </c>
      <c r="F15" s="72">
        <v>0.74919999999999998</v>
      </c>
      <c r="G15" s="72"/>
      <c r="H15">
        <f t="shared" si="0"/>
        <v>4.2770694576593637</v>
      </c>
    </row>
    <row r="16" spans="1:8">
      <c r="C16" s="72"/>
      <c r="D16" s="72">
        <v>40129</v>
      </c>
      <c r="E16" s="72">
        <v>46178</v>
      </c>
      <c r="F16" s="72">
        <v>0.86899999999999999</v>
      </c>
      <c r="G16" s="72"/>
      <c r="H16">
        <f t="shared" si="0"/>
        <v>4.9609895337773455</v>
      </c>
    </row>
    <row r="17" spans="3:28">
      <c r="C17" s="71" t="s">
        <v>546</v>
      </c>
      <c r="D17" s="72">
        <v>8257298</v>
      </c>
      <c r="E17" s="72">
        <v>28070</v>
      </c>
      <c r="F17" s="72">
        <v>294.15780000000001</v>
      </c>
      <c r="G17" s="72"/>
      <c r="H17">
        <f t="shared" si="0"/>
        <v>1679.3023786869617</v>
      </c>
    </row>
    <row r="18" spans="3:28">
      <c r="C18" s="72"/>
      <c r="D18" s="72">
        <v>7515853</v>
      </c>
      <c r="E18" s="72">
        <v>31499</v>
      </c>
      <c r="F18" s="72">
        <v>238.6011</v>
      </c>
      <c r="G18" s="72"/>
      <c r="H18">
        <f t="shared" si="0"/>
        <v>1362.1375832540411</v>
      </c>
    </row>
    <row r="19" spans="3:28">
      <c r="C19" s="72"/>
      <c r="D19" s="72">
        <v>7303334</v>
      </c>
      <c r="E19" s="72">
        <v>20559</v>
      </c>
      <c r="F19" s="72">
        <v>355.22609999999997</v>
      </c>
      <c r="G19" s="72"/>
      <c r="H19">
        <f t="shared" si="0"/>
        <v>2027.9320647002814</v>
      </c>
    </row>
    <row r="22" spans="3:28">
      <c r="C22" s="90" t="s">
        <v>625</v>
      </c>
      <c r="D22" s="90"/>
      <c r="E22" s="90"/>
      <c r="F22" s="90" t="s">
        <v>95</v>
      </c>
      <c r="G22" s="90"/>
      <c r="H22" s="90"/>
      <c r="I22" s="90" t="s">
        <v>696</v>
      </c>
      <c r="J22" s="90"/>
      <c r="K22" s="90"/>
      <c r="L22" s="90" t="s">
        <v>697</v>
      </c>
      <c r="M22" s="90"/>
      <c r="N22" s="90"/>
      <c r="O22" s="101" t="s">
        <v>663</v>
      </c>
      <c r="P22" s="101" t="s">
        <v>396</v>
      </c>
      <c r="Q22" s="101" t="s">
        <v>664</v>
      </c>
      <c r="R22" s="101" t="s">
        <v>663</v>
      </c>
      <c r="S22" s="101" t="s">
        <v>396</v>
      </c>
      <c r="T22" s="101" t="s">
        <v>664</v>
      </c>
      <c r="U22" s="101" t="s">
        <v>663</v>
      </c>
      <c r="V22" s="101" t="s">
        <v>396</v>
      </c>
      <c r="W22" s="101" t="s">
        <v>664</v>
      </c>
      <c r="X22" s="101" t="s">
        <v>665</v>
      </c>
      <c r="Y22" s="101" t="s">
        <v>663</v>
      </c>
      <c r="Z22" s="101" t="s">
        <v>396</v>
      </c>
      <c r="AA22" s="101" t="s">
        <v>664</v>
      </c>
      <c r="AB22" s="101" t="s">
        <v>665</v>
      </c>
    </row>
    <row r="23" spans="3:28">
      <c r="C23" s="90">
        <v>0.9002854424357738</v>
      </c>
      <c r="D23" s="90">
        <v>1.0424357754519487</v>
      </c>
      <c r="E23" s="90">
        <v>1.057278782112272</v>
      </c>
      <c r="F23" s="90">
        <v>1014.178116079922</v>
      </c>
      <c r="G23" s="90">
        <v>1040.9217887725956</v>
      </c>
      <c r="H23" s="90">
        <v>990.97278782112085</v>
      </c>
      <c r="I23" s="90">
        <v>3.5040913415794415</v>
      </c>
      <c r="J23" s="90">
        <v>4.2770694576593637</v>
      </c>
      <c r="K23" s="90">
        <v>4.9609895337773455</v>
      </c>
      <c r="L23" s="90">
        <v>1679.3023786869617</v>
      </c>
      <c r="M23" s="90">
        <v>1362.1375832540411</v>
      </c>
      <c r="N23" s="90">
        <v>2027.9320647002814</v>
      </c>
      <c r="O23" s="101">
        <f>AVERAGE(C23:E23)</f>
        <v>0.99999999999999822</v>
      </c>
      <c r="P23" s="101">
        <f>STDEV(C23:E23)</f>
        <v>8.6673660672382816E-2</v>
      </c>
      <c r="Q23" s="101">
        <f>P23/SQRT(3)</f>
        <v>5.0041061320850504E-2</v>
      </c>
      <c r="R23" s="101">
        <f>AVERAGE(F23:H23)</f>
        <v>1015.3575642245463</v>
      </c>
      <c r="S23" s="101">
        <f>STDEV(F23:H23)</f>
        <v>24.995379522163692</v>
      </c>
      <c r="T23" s="101">
        <f>S23/SQRT(3)</f>
        <v>14.431089095618068</v>
      </c>
      <c r="U23" s="101">
        <f>AVERAGE(I23:K23)</f>
        <v>4.2473834443387171</v>
      </c>
      <c r="V23" s="101">
        <f>STDEV(I23:K23)</f>
        <v>0.72890262048338128</v>
      </c>
      <c r="W23" s="101">
        <f>V23/SQRT(3)</f>
        <v>0.42083212414910381</v>
      </c>
      <c r="X23" s="94" t="s">
        <v>666</v>
      </c>
      <c r="Y23" s="101">
        <f>AVERAGE(L23:N23)</f>
        <v>1689.7906755470947</v>
      </c>
      <c r="Z23" s="101">
        <f>STDEV(L23:N23)</f>
        <v>333.02113470369648</v>
      </c>
      <c r="AA23" s="101">
        <f>Z23/SQRT(3)</f>
        <v>192.26984176701379</v>
      </c>
      <c r="AB23" s="94">
        <v>2.4899999999999999E-2</v>
      </c>
    </row>
    <row r="24" spans="3:28">
      <c r="O24" s="101"/>
      <c r="P24" s="101"/>
      <c r="Q24" s="101"/>
      <c r="R24" s="101"/>
      <c r="S24" s="101"/>
      <c r="T24" s="101"/>
      <c r="U24" s="94"/>
      <c r="V24" s="101"/>
      <c r="W24" s="101"/>
      <c r="X24" s="101"/>
      <c r="Y24" s="94"/>
    </row>
  </sheetData>
  <phoneticPr fontId="2" type="noConversion"/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0DC2F3-372E-A647-B7FC-40C7EF2505ED}">
  <dimension ref="A1:P27"/>
  <sheetViews>
    <sheetView topLeftCell="A2" zoomScale="75" workbookViewId="0">
      <selection activeCell="C21" sqref="C21:P27"/>
    </sheetView>
  </sheetViews>
  <sheetFormatPr baseColWidth="10" defaultRowHeight="16"/>
  <sheetData>
    <row r="1" spans="1:16">
      <c r="A1" t="s">
        <v>611</v>
      </c>
    </row>
    <row r="6" spans="1:16">
      <c r="C6" s="19" t="s">
        <v>530</v>
      </c>
      <c r="D6" s="19" t="s">
        <v>23</v>
      </c>
      <c r="E6" s="19">
        <v>18.585999999999999</v>
      </c>
      <c r="F6" s="19"/>
      <c r="G6" s="19" t="s">
        <v>530</v>
      </c>
      <c r="H6" s="19" t="s">
        <v>442</v>
      </c>
      <c r="I6" s="19">
        <v>30.574999999999999</v>
      </c>
      <c r="J6" s="19">
        <f>I6-F8</f>
        <v>11.956</v>
      </c>
      <c r="K6" s="19">
        <f>E6-I6</f>
        <v>-11.989000000000001</v>
      </c>
      <c r="L6" s="19">
        <f>POWER(2,K6)</f>
        <v>2.460092188502206E-4</v>
      </c>
      <c r="M6" s="19">
        <f>AVERAGE(L6:L8)</f>
        <v>4.5267160414856855E-4</v>
      </c>
      <c r="N6" s="19">
        <f>L6/0.000452671604148569</f>
        <v>0.54346068230398481</v>
      </c>
      <c r="P6" s="19">
        <v>0.54346068230398481</v>
      </c>
    </row>
    <row r="7" spans="1:16">
      <c r="C7" s="19" t="s">
        <v>530</v>
      </c>
      <c r="D7" s="19" t="s">
        <v>23</v>
      </c>
      <c r="E7" s="19">
        <v>18.582999999999998</v>
      </c>
      <c r="F7" s="19"/>
      <c r="G7" s="19" t="s">
        <v>530</v>
      </c>
      <c r="H7" s="19" t="s">
        <v>442</v>
      </c>
      <c r="I7" s="19">
        <v>29.178000000000001</v>
      </c>
      <c r="J7" s="19">
        <f>I7-F8</f>
        <v>10.559000000000001</v>
      </c>
      <c r="K7" s="19">
        <f t="shared" ref="K7:K17" si="0">E7-I7</f>
        <v>-10.595000000000002</v>
      </c>
      <c r="L7" s="19">
        <f t="shared" ref="L7:L17" si="1">POWER(2,K7)</f>
        <v>6.4652778827900179E-4</v>
      </c>
      <c r="M7" s="19">
        <v>4.5267160414856855E-4</v>
      </c>
      <c r="N7" s="19">
        <f t="shared" ref="N7:N17" si="2">L7/0.000452671604148569</f>
        <v>1.4282490493192241</v>
      </c>
      <c r="P7" s="19">
        <v>1.4282490493192241</v>
      </c>
    </row>
    <row r="8" spans="1:16">
      <c r="C8" s="19" t="s">
        <v>530</v>
      </c>
      <c r="D8" s="19" t="s">
        <v>23</v>
      </c>
      <c r="E8" s="19">
        <v>18.687999999999999</v>
      </c>
      <c r="F8" s="19">
        <f>AVERAGE(E6:E8)</f>
        <v>18.619</v>
      </c>
      <c r="G8" s="19" t="s">
        <v>530</v>
      </c>
      <c r="H8" s="19" t="s">
        <v>442</v>
      </c>
      <c r="I8" s="19">
        <v>29.757000000000001</v>
      </c>
      <c r="J8" s="19">
        <f>I8-F8</f>
        <v>11.138000000000002</v>
      </c>
      <c r="K8" s="19">
        <f t="shared" si="0"/>
        <v>-11.069000000000003</v>
      </c>
      <c r="L8" s="19">
        <f t="shared" si="1"/>
        <v>4.6547780531648315E-4</v>
      </c>
      <c r="M8" s="19"/>
      <c r="N8" s="19">
        <f t="shared" si="2"/>
        <v>1.0282902683767881</v>
      </c>
      <c r="P8" s="19">
        <v>1.0282902683767881</v>
      </c>
    </row>
    <row r="9" spans="1:16">
      <c r="C9" s="19" t="s">
        <v>531</v>
      </c>
      <c r="D9" s="19" t="s">
        <v>23</v>
      </c>
      <c r="E9" s="19">
        <v>19.95</v>
      </c>
      <c r="F9" s="19"/>
      <c r="G9" s="19" t="s">
        <v>531</v>
      </c>
      <c r="H9" s="19" t="s">
        <v>442</v>
      </c>
      <c r="I9" s="19">
        <v>19.835000000000001</v>
      </c>
      <c r="J9" s="19">
        <f t="shared" ref="J9" si="3">I9-F11</f>
        <v>-0.30966666666666853</v>
      </c>
      <c r="K9" s="19">
        <f t="shared" si="0"/>
        <v>0.11499999999999844</v>
      </c>
      <c r="L9" s="19">
        <f t="shared" si="1"/>
        <v>1.0829750455259235</v>
      </c>
      <c r="M9" s="19"/>
      <c r="N9" s="19">
        <f t="shared" si="2"/>
        <v>2392.4077313462012</v>
      </c>
      <c r="P9" s="19">
        <v>2392.4077313462012</v>
      </c>
    </row>
    <row r="10" spans="1:16">
      <c r="C10" s="19" t="s">
        <v>531</v>
      </c>
      <c r="D10" s="19" t="s">
        <v>23</v>
      </c>
      <c r="E10" s="19">
        <v>20.161000000000001</v>
      </c>
      <c r="F10" s="19"/>
      <c r="G10" s="19" t="s">
        <v>531</v>
      </c>
      <c r="H10" s="19" t="s">
        <v>442</v>
      </c>
      <c r="I10" s="19">
        <v>19.803999999999998</v>
      </c>
      <c r="J10" s="19">
        <f t="shared" ref="J10" si="4">I10-F11</f>
        <v>-0.34066666666667089</v>
      </c>
      <c r="K10" s="19">
        <f t="shared" si="0"/>
        <v>0.35700000000000287</v>
      </c>
      <c r="L10" s="19">
        <f t="shared" si="1"/>
        <v>1.2807598613297728</v>
      </c>
      <c r="M10" s="19"/>
      <c r="N10" s="19">
        <f t="shared" si="2"/>
        <v>2829.3355483137866</v>
      </c>
      <c r="P10" s="19">
        <v>2829.3355483137866</v>
      </c>
    </row>
    <row r="11" spans="1:16">
      <c r="C11" s="19" t="s">
        <v>531</v>
      </c>
      <c r="D11" s="19" t="s">
        <v>23</v>
      </c>
      <c r="E11" s="19">
        <v>20.323</v>
      </c>
      <c r="F11" s="19">
        <f t="shared" ref="F11" si="5">AVERAGE(E9:E11)</f>
        <v>20.144666666666669</v>
      </c>
      <c r="G11" s="19" t="s">
        <v>531</v>
      </c>
      <c r="H11" s="19" t="s">
        <v>442</v>
      </c>
      <c r="I11" s="19">
        <v>19.693000000000001</v>
      </c>
      <c r="J11" s="19">
        <f t="shared" ref="J11" si="6">I11-F11</f>
        <v>-0.45166666666666799</v>
      </c>
      <c r="K11" s="19">
        <f t="shared" si="0"/>
        <v>0.62999999999999901</v>
      </c>
      <c r="L11" s="19">
        <f t="shared" si="1"/>
        <v>1.5475649935423887</v>
      </c>
      <c r="M11" s="19"/>
      <c r="N11" s="19">
        <f t="shared" si="2"/>
        <v>3418.7366279650059</v>
      </c>
      <c r="P11" s="19">
        <v>3418.7366279650059</v>
      </c>
    </row>
    <row r="12" spans="1:16">
      <c r="C12" s="19" t="s">
        <v>699</v>
      </c>
      <c r="D12" s="19" t="s">
        <v>23</v>
      </c>
      <c r="E12" s="19">
        <v>19.88</v>
      </c>
      <c r="F12" s="19"/>
      <c r="G12" s="19" t="s">
        <v>699</v>
      </c>
      <c r="H12" s="19" t="s">
        <v>442</v>
      </c>
      <c r="I12" s="19">
        <v>31.155999999999999</v>
      </c>
      <c r="J12" s="19">
        <f t="shared" ref="J12" si="7">I12-F14</f>
        <v>11.337666666666667</v>
      </c>
      <c r="K12" s="19">
        <f t="shared" si="0"/>
        <v>-11.276</v>
      </c>
      <c r="L12" s="19">
        <f t="shared" si="1"/>
        <v>4.0326057858189481E-4</v>
      </c>
      <c r="M12" s="19"/>
      <c r="N12" s="19">
        <f t="shared" si="2"/>
        <v>0.89084575857235071</v>
      </c>
      <c r="P12" s="19">
        <v>0.89084575857235071</v>
      </c>
    </row>
    <row r="13" spans="1:16">
      <c r="C13" s="19" t="s">
        <v>699</v>
      </c>
      <c r="D13" s="19" t="s">
        <v>23</v>
      </c>
      <c r="E13" s="19">
        <v>19.603999999999999</v>
      </c>
      <c r="F13" s="19"/>
      <c r="G13" s="19" t="s">
        <v>699</v>
      </c>
      <c r="H13" s="19" t="s">
        <v>442</v>
      </c>
      <c r="I13" s="19">
        <v>32.183999999999997</v>
      </c>
      <c r="J13" s="19">
        <f t="shared" ref="J13" si="8">I13-F14</f>
        <v>12.365666666666666</v>
      </c>
      <c r="K13" s="19">
        <f t="shared" si="0"/>
        <v>-12.579999999999998</v>
      </c>
      <c r="L13" s="19">
        <f t="shared" si="1"/>
        <v>1.6332123471510178E-4</v>
      </c>
      <c r="M13" s="19"/>
      <c r="N13" s="19">
        <f t="shared" si="2"/>
        <v>0.36079407945698971</v>
      </c>
      <c r="P13" s="19">
        <v>0.36079407945698971</v>
      </c>
    </row>
    <row r="14" spans="1:16">
      <c r="C14" s="19" t="s">
        <v>699</v>
      </c>
      <c r="D14" s="19" t="s">
        <v>23</v>
      </c>
      <c r="E14" s="19">
        <v>19.971</v>
      </c>
      <c r="F14" s="19">
        <f t="shared" ref="F14" si="9">AVERAGE(E12:E14)</f>
        <v>19.818333333333332</v>
      </c>
      <c r="G14" s="19" t="s">
        <v>699</v>
      </c>
      <c r="H14" s="19" t="s">
        <v>442</v>
      </c>
      <c r="I14" s="19">
        <v>33.302</v>
      </c>
      <c r="J14" s="19">
        <f t="shared" ref="J14" si="10">I14-F14</f>
        <v>13.483666666666668</v>
      </c>
      <c r="K14" s="19">
        <f t="shared" si="0"/>
        <v>-13.331</v>
      </c>
      <c r="L14" s="19">
        <f t="shared" si="1"/>
        <v>9.704409801623223E-5</v>
      </c>
      <c r="M14" s="19"/>
      <c r="N14" s="19">
        <f t="shared" si="2"/>
        <v>0.21438079421562722</v>
      </c>
      <c r="P14" s="19">
        <v>0.21438079421562722</v>
      </c>
    </row>
    <row r="15" spans="1:16">
      <c r="C15" s="19" t="s">
        <v>700</v>
      </c>
      <c r="D15" s="19" t="s">
        <v>23</v>
      </c>
      <c r="E15" s="19">
        <v>19.608000000000001</v>
      </c>
      <c r="F15" s="19"/>
      <c r="G15" s="19" t="s">
        <v>700</v>
      </c>
      <c r="H15" s="19" t="s">
        <v>442</v>
      </c>
      <c r="I15" s="19">
        <v>26.771000000000001</v>
      </c>
      <c r="J15" s="19">
        <f t="shared" ref="J15" si="11">I15-F17</f>
        <v>6.8743333333333325</v>
      </c>
      <c r="K15" s="19">
        <f t="shared" si="0"/>
        <v>-7.1630000000000003</v>
      </c>
      <c r="L15" s="19">
        <f t="shared" si="1"/>
        <v>6.9778582215059368E-3</v>
      </c>
      <c r="M15" s="19"/>
      <c r="N15" s="19">
        <f t="shared" si="2"/>
        <v>15.414835296838655</v>
      </c>
      <c r="P15" s="19">
        <v>15.414835296838655</v>
      </c>
    </row>
    <row r="16" spans="1:16">
      <c r="C16" s="19" t="s">
        <v>700</v>
      </c>
      <c r="D16" s="19" t="s">
        <v>23</v>
      </c>
      <c r="E16" s="19">
        <v>20.134</v>
      </c>
      <c r="F16" s="19"/>
      <c r="G16" s="19" t="s">
        <v>700</v>
      </c>
      <c r="H16" s="19" t="s">
        <v>442</v>
      </c>
      <c r="I16" s="19">
        <v>26.716000000000001</v>
      </c>
      <c r="J16" s="19">
        <f t="shared" ref="J16" si="12">I16-F17</f>
        <v>6.8193333333333328</v>
      </c>
      <c r="K16" s="19">
        <f t="shared" si="0"/>
        <v>-6.5820000000000007</v>
      </c>
      <c r="L16" s="19">
        <f t="shared" si="1"/>
        <v>1.0438078737422645E-2</v>
      </c>
      <c r="M16" s="19"/>
      <c r="N16" s="19">
        <f t="shared" si="2"/>
        <v>23.058832588042829</v>
      </c>
      <c r="P16" s="19">
        <v>23.058832588042829</v>
      </c>
    </row>
    <row r="17" spans="3:16">
      <c r="C17" s="19" t="s">
        <v>700</v>
      </c>
      <c r="D17" s="19" t="s">
        <v>23</v>
      </c>
      <c r="E17" s="19">
        <v>19.948</v>
      </c>
      <c r="F17" s="19">
        <f t="shared" ref="F17" si="13">AVERAGE(E15:E17)</f>
        <v>19.896666666666668</v>
      </c>
      <c r="G17" s="19" t="s">
        <v>700</v>
      </c>
      <c r="H17" s="19" t="s">
        <v>442</v>
      </c>
      <c r="I17" s="19">
        <v>26.643999999999998</v>
      </c>
      <c r="J17" s="19">
        <f t="shared" ref="J17" si="14">I17-F17</f>
        <v>6.7473333333333301</v>
      </c>
      <c r="K17" s="19">
        <f t="shared" si="0"/>
        <v>-6.695999999999998</v>
      </c>
      <c r="L17" s="19">
        <f t="shared" si="1"/>
        <v>9.6450203663557815E-3</v>
      </c>
      <c r="M17" s="19"/>
      <c r="N17" s="19">
        <f t="shared" si="2"/>
        <v>21.306881805624016</v>
      </c>
      <c r="P17" s="19">
        <v>21.306881805624016</v>
      </c>
    </row>
    <row r="21" spans="3:16">
      <c r="C21" s="90"/>
      <c r="D21" s="90" t="s">
        <v>97</v>
      </c>
      <c r="E21" s="90"/>
      <c r="F21" s="90"/>
      <c r="G21" s="90" t="s">
        <v>99</v>
      </c>
      <c r="H21" s="90"/>
      <c r="I21" s="90"/>
      <c r="J21" s="101" t="s">
        <v>663</v>
      </c>
      <c r="K21" s="101" t="s">
        <v>396</v>
      </c>
      <c r="L21" s="101" t="s">
        <v>664</v>
      </c>
      <c r="M21" s="101" t="s">
        <v>663</v>
      </c>
      <c r="N21" s="101" t="s">
        <v>396</v>
      </c>
      <c r="O21" s="101" t="s">
        <v>664</v>
      </c>
      <c r="P21" s="101" t="s">
        <v>665</v>
      </c>
    </row>
    <row r="22" spans="3:16">
      <c r="C22" s="90" t="s">
        <v>2</v>
      </c>
      <c r="D22" s="90">
        <v>0.54346068230398481</v>
      </c>
      <c r="E22" s="90">
        <v>1.4282490493192241</v>
      </c>
      <c r="F22" s="90">
        <v>1.0282902683767881</v>
      </c>
      <c r="G22" s="90">
        <v>0.89084575857235071</v>
      </c>
      <c r="H22" s="90">
        <v>0.36079407945698971</v>
      </c>
      <c r="I22" s="90">
        <v>0.21438079421562722</v>
      </c>
      <c r="J22" s="101">
        <f>AVERAGE(D22:F22)</f>
        <v>0.999999999999999</v>
      </c>
      <c r="K22" s="101">
        <f>STDEV(D22:F22)</f>
        <v>0.44307207998811704</v>
      </c>
      <c r="L22" s="101">
        <f>K22/SQRT(3)</f>
        <v>0.2558077846515468</v>
      </c>
      <c r="M22" s="101">
        <f>AVERAGE(G22:I22)</f>
        <v>0.48867354408165592</v>
      </c>
      <c r="N22" s="101">
        <f>STDEV(G22:I22)</f>
        <v>0.35590178435216402</v>
      </c>
      <c r="O22" s="101">
        <f>N22/SQRT(3)</f>
        <v>0.20547999100079004</v>
      </c>
      <c r="P22" s="94" t="s">
        <v>681</v>
      </c>
    </row>
    <row r="23" spans="3:16">
      <c r="C23" s="90" t="s">
        <v>627</v>
      </c>
      <c r="D23" s="90">
        <v>2392.4077313462012</v>
      </c>
      <c r="E23" s="90">
        <v>2829.3355483137866</v>
      </c>
      <c r="F23" s="90">
        <v>3418.7366279650059</v>
      </c>
      <c r="G23" s="90">
        <v>15.414835296838655</v>
      </c>
      <c r="H23" s="90">
        <v>23.058832588042829</v>
      </c>
      <c r="I23" s="90">
        <v>21.306881805624016</v>
      </c>
      <c r="J23" s="101">
        <f>AVERAGE(D23:F23)</f>
        <v>2880.1599692083314</v>
      </c>
      <c r="K23" s="101">
        <f t="shared" ref="K23" si="15">STDEV(D23:F23)</f>
        <v>515.04863103219725</v>
      </c>
      <c r="L23" s="101">
        <f t="shared" ref="L23" si="16">K23/SQRT(3)</f>
        <v>297.36346577218734</v>
      </c>
      <c r="M23" s="101">
        <f t="shared" ref="M23" si="17">AVERAGE(G23:I23)</f>
        <v>19.926849896835169</v>
      </c>
      <c r="N23" s="101">
        <f t="shared" ref="N23" si="18">STDEV(G23:I23)</f>
        <v>4.0045024283849067</v>
      </c>
      <c r="O23" s="101">
        <f t="shared" ref="O23" si="19">N23/SQRT(3)</f>
        <v>2.3120005549985359</v>
      </c>
      <c r="P23" s="94" t="s">
        <v>666</v>
      </c>
    </row>
    <row r="24" spans="3:16">
      <c r="C24" s="90"/>
      <c r="D24" s="90"/>
      <c r="E24" s="90"/>
      <c r="F24" s="90"/>
      <c r="G24" s="90"/>
      <c r="H24" s="90"/>
      <c r="I24" s="90"/>
      <c r="J24" s="101"/>
      <c r="K24" s="101"/>
      <c r="L24" s="101"/>
      <c r="M24" s="101"/>
      <c r="N24" s="101"/>
      <c r="O24" s="101"/>
      <c r="P24" s="90"/>
    </row>
    <row r="25" spans="3:16">
      <c r="C25" s="90"/>
      <c r="D25" s="90"/>
      <c r="E25" s="90"/>
      <c r="F25" s="90"/>
      <c r="G25" s="90"/>
      <c r="H25" s="90"/>
      <c r="I25" s="90"/>
      <c r="J25" s="101"/>
      <c r="K25" s="101"/>
      <c r="L25" s="101"/>
      <c r="M25" s="101"/>
      <c r="N25" s="101"/>
      <c r="O25" s="101"/>
      <c r="P25" s="90"/>
    </row>
    <row r="26" spans="3:16">
      <c r="C26" s="90"/>
      <c r="D26" s="90"/>
      <c r="E26" s="90"/>
      <c r="F26" s="90"/>
      <c r="G26" s="90"/>
      <c r="H26" s="90"/>
      <c r="I26" s="90"/>
      <c r="J26" s="101"/>
      <c r="K26" s="101"/>
      <c r="L26" s="101"/>
      <c r="M26" s="101"/>
      <c r="N26" s="101"/>
      <c r="O26" s="101"/>
      <c r="P26" s="90"/>
    </row>
    <row r="27" spans="3:16">
      <c r="C27" s="90"/>
      <c r="D27" s="90"/>
      <c r="E27" s="90"/>
      <c r="F27" s="90"/>
      <c r="G27" s="90"/>
      <c r="H27" s="90"/>
      <c r="I27" s="90"/>
      <c r="J27" s="101"/>
      <c r="K27" s="101"/>
      <c r="L27" s="101"/>
      <c r="M27" s="101"/>
      <c r="N27" s="101"/>
      <c r="O27" s="101"/>
      <c r="P27" s="90"/>
    </row>
  </sheetData>
  <phoneticPr fontId="2" type="noConversion"/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9DF57F-665A-EC4F-BF66-7256EA33CBBC}">
  <dimension ref="A1:AH80"/>
  <sheetViews>
    <sheetView topLeftCell="L40" zoomScale="83" workbookViewId="0">
      <selection activeCell="W57" sqref="W57:AC63"/>
    </sheetView>
  </sheetViews>
  <sheetFormatPr baseColWidth="10" defaultRowHeight="16"/>
  <sheetData>
    <row r="1" spans="1:34">
      <c r="A1" t="s">
        <v>373</v>
      </c>
    </row>
    <row r="5" spans="1:34">
      <c r="Q5">
        <v>0</v>
      </c>
      <c r="T5">
        <v>0.5</v>
      </c>
      <c r="W5">
        <v>1</v>
      </c>
      <c r="Z5">
        <v>4</v>
      </c>
      <c r="AC5">
        <v>6</v>
      </c>
      <c r="AF5">
        <v>12</v>
      </c>
    </row>
    <row r="6" spans="1:34">
      <c r="C6" t="s">
        <v>374</v>
      </c>
      <c r="D6" t="s">
        <v>23</v>
      </c>
      <c r="E6">
        <v>16.562000000000001</v>
      </c>
      <c r="G6" t="s">
        <v>125</v>
      </c>
      <c r="H6" t="s">
        <v>126</v>
      </c>
      <c r="I6">
        <v>33.735999999999997</v>
      </c>
      <c r="J6">
        <f>I6-F8</f>
        <v>17.103999999999996</v>
      </c>
      <c r="K6">
        <f>POWER(2,-J6)</f>
        <v>7.0987675300828452E-6</v>
      </c>
      <c r="N6">
        <f>K6/2.54491253636524E-06</f>
        <v>2.7893954816308257</v>
      </c>
      <c r="P6" t="s">
        <v>97</v>
      </c>
      <c r="Q6">
        <v>2.7893954816308257</v>
      </c>
      <c r="R6">
        <v>2.3326219294503248</v>
      </c>
      <c r="S6">
        <v>4.0669647734463235</v>
      </c>
      <c r="T6">
        <v>9.1490323310476107</v>
      </c>
      <c r="U6">
        <v>5.421226038317676</v>
      </c>
      <c r="V6">
        <v>6.9240644878476587</v>
      </c>
      <c r="W6">
        <v>59.712145217115896</v>
      </c>
      <c r="X6">
        <v>72.552453362370926</v>
      </c>
      <c r="Y6">
        <v>56.217698793471826</v>
      </c>
      <c r="Z6">
        <v>47.13148266779077</v>
      </c>
      <c r="AA6">
        <v>55.354134040235714</v>
      </c>
      <c r="AB6">
        <v>47.525146250888788</v>
      </c>
      <c r="AC6">
        <v>38.951828845875269</v>
      </c>
      <c r="AD6">
        <v>33.605353190885801</v>
      </c>
      <c r="AE6">
        <v>31.660654211750316</v>
      </c>
      <c r="AF6">
        <v>61.263356003958528</v>
      </c>
      <c r="AG6">
        <v>51.373501216998022</v>
      </c>
      <c r="AH6">
        <v>56.373783630678048</v>
      </c>
    </row>
    <row r="7" spans="1:34">
      <c r="C7" t="s">
        <v>374</v>
      </c>
      <c r="D7" t="s">
        <v>23</v>
      </c>
      <c r="E7">
        <v>16.677</v>
      </c>
      <c r="G7" t="s">
        <v>125</v>
      </c>
      <c r="H7" t="s">
        <v>126</v>
      </c>
      <c r="I7">
        <v>33.994</v>
      </c>
      <c r="J7">
        <f>I7-F8</f>
        <v>17.361999999999998</v>
      </c>
      <c r="K7">
        <f t="shared" ref="K7:K41" si="0">POWER(2,-J7)</f>
        <v>5.936318790858606E-6</v>
      </c>
      <c r="N7">
        <f t="shared" ref="N7:N41" si="1">K7/2.54491253636524E-06</f>
        <v>2.3326219294503248</v>
      </c>
      <c r="P7" t="s">
        <v>151</v>
      </c>
      <c r="Q7">
        <v>2.0680711601069661</v>
      </c>
      <c r="R7">
        <v>2.1247392866320247</v>
      </c>
      <c r="S7">
        <v>2.3526485633500438</v>
      </c>
      <c r="T7">
        <v>3.0425602416590678</v>
      </c>
      <c r="U7">
        <v>3.5266192595324726</v>
      </c>
      <c r="V7">
        <v>2.5372854382270797</v>
      </c>
      <c r="W7">
        <v>1.0947634400772297</v>
      </c>
      <c r="X7">
        <v>1.1193173754036281</v>
      </c>
      <c r="Y7" t="e">
        <v>#VALUE!</v>
      </c>
      <c r="Z7">
        <v>3.4877238808264739</v>
      </c>
      <c r="AA7">
        <v>1.5673048590482506</v>
      </c>
      <c r="AB7">
        <v>4.1047257329034643</v>
      </c>
      <c r="AC7">
        <v>4.3087990835256997</v>
      </c>
      <c r="AD7">
        <v>1.2152775399806697</v>
      </c>
      <c r="AE7">
        <v>1.1005966390047952</v>
      </c>
      <c r="AF7">
        <v>1.9519992448228018</v>
      </c>
      <c r="AG7">
        <v>3.3588153704696695</v>
      </c>
      <c r="AH7" t="e">
        <v>#VALUE!</v>
      </c>
    </row>
    <row r="8" spans="1:34">
      <c r="C8" t="s">
        <v>374</v>
      </c>
      <c r="D8" t="s">
        <v>23</v>
      </c>
      <c r="E8">
        <v>16.657</v>
      </c>
      <c r="F8">
        <f>AVERAGE(E6:E8)</f>
        <v>16.632000000000001</v>
      </c>
      <c r="G8" t="s">
        <v>125</v>
      </c>
      <c r="H8" t="s">
        <v>126</v>
      </c>
      <c r="I8">
        <v>33.192</v>
      </c>
      <c r="J8">
        <f>I8-F8</f>
        <v>16.559999999999999</v>
      </c>
      <c r="K8">
        <f t="shared" si="0"/>
        <v>1.0350069636899367E-5</v>
      </c>
      <c r="N8">
        <f t="shared" si="1"/>
        <v>4.0669647734463235</v>
      </c>
    </row>
    <row r="9" spans="1:34">
      <c r="C9" t="s">
        <v>375</v>
      </c>
      <c r="D9" t="s">
        <v>23</v>
      </c>
      <c r="E9">
        <v>16.550999999999998</v>
      </c>
      <c r="G9" t="s">
        <v>127</v>
      </c>
      <c r="H9" t="s">
        <v>126</v>
      </c>
      <c r="I9">
        <v>31.852</v>
      </c>
      <c r="J9">
        <f t="shared" ref="J9" si="2">I9-F11</f>
        <v>15.390333333333331</v>
      </c>
      <c r="K9">
        <f t="shared" si="0"/>
        <v>2.3283487074893958E-5</v>
      </c>
      <c r="N9">
        <f t="shared" si="1"/>
        <v>9.1490323310476107</v>
      </c>
    </row>
    <row r="10" spans="1:34">
      <c r="C10" t="s">
        <v>375</v>
      </c>
      <c r="D10" t="s">
        <v>23</v>
      </c>
      <c r="E10">
        <v>16.262</v>
      </c>
      <c r="G10" t="s">
        <v>127</v>
      </c>
      <c r="H10" t="s">
        <v>126</v>
      </c>
      <c r="I10">
        <v>32.606999999999999</v>
      </c>
      <c r="J10">
        <f t="shared" ref="J10" si="3">I10-F11</f>
        <v>16.14533333333333</v>
      </c>
      <c r="K10">
        <f t="shared" si="0"/>
        <v>1.3796546107384318E-5</v>
      </c>
      <c r="N10">
        <f t="shared" si="1"/>
        <v>5.421226038317676</v>
      </c>
    </row>
    <row r="11" spans="1:34">
      <c r="C11" t="s">
        <v>375</v>
      </c>
      <c r="D11" t="s">
        <v>23</v>
      </c>
      <c r="E11">
        <v>16.571999999999999</v>
      </c>
      <c r="F11">
        <f t="shared" ref="F11" si="4">AVERAGE(E9:E11)</f>
        <v>16.46166666666667</v>
      </c>
      <c r="G11" t="s">
        <v>127</v>
      </c>
      <c r="H11" t="s">
        <v>126</v>
      </c>
      <c r="I11">
        <v>32.253999999999998</v>
      </c>
      <c r="J11">
        <f t="shared" ref="J11" si="5">I11-F11</f>
        <v>15.792333333333328</v>
      </c>
      <c r="K11">
        <f t="shared" si="0"/>
        <v>1.7621138517724871E-5</v>
      </c>
      <c r="N11">
        <f t="shared" si="1"/>
        <v>6.9240644878476587</v>
      </c>
    </row>
    <row r="12" spans="1:34">
      <c r="C12" t="s">
        <v>376</v>
      </c>
      <c r="D12" t="s">
        <v>23</v>
      </c>
      <c r="E12">
        <v>16.478000000000002</v>
      </c>
      <c r="G12" t="s">
        <v>128</v>
      </c>
      <c r="H12" t="s">
        <v>126</v>
      </c>
      <c r="I12">
        <v>29.157</v>
      </c>
      <c r="J12">
        <f t="shared" ref="J12" si="6">I12-F14</f>
        <v>12.684000000000001</v>
      </c>
      <c r="K12">
        <f t="shared" si="0"/>
        <v>1.5196218693629994E-4</v>
      </c>
      <c r="N12">
        <f t="shared" si="1"/>
        <v>59.712145217115896</v>
      </c>
      <c r="P12" s="90" t="s">
        <v>175</v>
      </c>
      <c r="Q12" s="90"/>
      <c r="R12" s="90"/>
      <c r="S12" s="90"/>
      <c r="T12" s="90"/>
      <c r="U12" s="90"/>
      <c r="V12" s="90"/>
      <c r="W12" s="90"/>
      <c r="X12" s="90"/>
      <c r="Y12" s="90"/>
      <c r="Z12" s="90"/>
      <c r="AA12" s="90"/>
      <c r="AB12" s="90"/>
      <c r="AC12" s="90"/>
    </row>
    <row r="13" spans="1:34">
      <c r="C13" t="s">
        <v>376</v>
      </c>
      <c r="D13" t="s">
        <v>23</v>
      </c>
      <c r="E13">
        <v>16.442</v>
      </c>
      <c r="G13" t="s">
        <v>128</v>
      </c>
      <c r="H13" t="s">
        <v>126</v>
      </c>
      <c r="I13">
        <v>28.876000000000001</v>
      </c>
      <c r="J13">
        <f t="shared" ref="J13" si="7">I13-F14</f>
        <v>12.403000000000002</v>
      </c>
      <c r="K13">
        <f t="shared" si="0"/>
        <v>1.8463964810595216E-4</v>
      </c>
      <c r="N13">
        <f t="shared" si="1"/>
        <v>72.552453362370926</v>
      </c>
      <c r="P13" s="90"/>
      <c r="Q13" s="90" t="s">
        <v>97</v>
      </c>
      <c r="R13" s="90"/>
      <c r="S13" s="90"/>
      <c r="T13" s="90" t="s">
        <v>99</v>
      </c>
      <c r="U13" s="90"/>
      <c r="V13" s="90"/>
      <c r="W13" s="101" t="s">
        <v>663</v>
      </c>
      <c r="X13" s="101" t="s">
        <v>396</v>
      </c>
      <c r="Y13" s="101" t="s">
        <v>664</v>
      </c>
      <c r="Z13" s="101" t="s">
        <v>663</v>
      </c>
      <c r="AA13" s="101" t="s">
        <v>396</v>
      </c>
      <c r="AB13" s="101" t="s">
        <v>664</v>
      </c>
      <c r="AC13" s="101" t="s">
        <v>665</v>
      </c>
    </row>
    <row r="14" spans="1:34">
      <c r="C14" t="s">
        <v>376</v>
      </c>
      <c r="D14" t="s">
        <v>23</v>
      </c>
      <c r="E14">
        <v>16.498999999999999</v>
      </c>
      <c r="F14">
        <f t="shared" ref="F14" si="8">AVERAGE(E12:E14)</f>
        <v>16.472999999999999</v>
      </c>
      <c r="G14" t="s">
        <v>128</v>
      </c>
      <c r="H14" t="s">
        <v>126</v>
      </c>
      <c r="I14">
        <v>29.244</v>
      </c>
      <c r="J14">
        <f t="shared" ref="J14" si="9">I14-F14</f>
        <v>12.771000000000001</v>
      </c>
      <c r="K14">
        <f t="shared" si="0"/>
        <v>1.4306912642511146E-4</v>
      </c>
      <c r="N14">
        <f t="shared" si="1"/>
        <v>56.217698793471826</v>
      </c>
      <c r="P14" s="90">
        <v>0</v>
      </c>
      <c r="Q14" s="90">
        <v>2.7893954816308257</v>
      </c>
      <c r="R14" s="90">
        <v>2.3326219294503248</v>
      </c>
      <c r="S14" s="90">
        <v>4.0669647734463235</v>
      </c>
      <c r="T14" s="90">
        <v>2.0680711601069661</v>
      </c>
      <c r="U14" s="90">
        <v>2.1247392866320247</v>
      </c>
      <c r="V14" s="90">
        <v>2.3526485633500438</v>
      </c>
      <c r="W14" s="101">
        <f>AVERAGE(Q14:S14)</f>
        <v>3.0629940615091584</v>
      </c>
      <c r="X14" s="101">
        <f>STDEV(Q14:S14)</f>
        <v>0.89895962774398774</v>
      </c>
      <c r="Y14" s="101">
        <f>X14/SQRT(3)</f>
        <v>0.51901458306859716</v>
      </c>
      <c r="Z14" s="101">
        <f>AVERAGE(T14:V14)</f>
        <v>2.1818196700296784</v>
      </c>
      <c r="AA14" s="101">
        <f>STDEV(T14:V14)</f>
        <v>0.15063101352563704</v>
      </c>
      <c r="AB14" s="101">
        <f>AA14/SQRT(3)</f>
        <v>8.6966856207332716E-2</v>
      </c>
      <c r="AC14" s="94"/>
    </row>
    <row r="15" spans="1:34">
      <c r="C15" t="s">
        <v>377</v>
      </c>
      <c r="D15" t="s">
        <v>23</v>
      </c>
      <c r="E15">
        <v>16.259</v>
      </c>
      <c r="G15" t="s">
        <v>129</v>
      </c>
      <c r="H15" t="s">
        <v>126</v>
      </c>
      <c r="I15">
        <v>29.300999999999998</v>
      </c>
      <c r="J15">
        <f t="shared" ref="J15" si="10">I15-F17</f>
        <v>13.025333333333329</v>
      </c>
      <c r="K15">
        <f t="shared" si="0"/>
        <v>1.1994550109874176E-4</v>
      </c>
      <c r="N15">
        <f t="shared" si="1"/>
        <v>47.13148266779077</v>
      </c>
      <c r="P15" s="90">
        <v>0.5</v>
      </c>
      <c r="Q15" s="90">
        <v>9.1490323310476107</v>
      </c>
      <c r="R15" s="90">
        <v>5.421226038317676</v>
      </c>
      <c r="S15" s="90">
        <v>6.9240644878476587</v>
      </c>
      <c r="T15" s="90">
        <v>3.0425602416590678</v>
      </c>
      <c r="U15" s="90">
        <v>3.5266192595324726</v>
      </c>
      <c r="V15" s="90">
        <v>2.5372854382270797</v>
      </c>
      <c r="W15" s="101">
        <f t="shared" ref="W15:W19" si="11">AVERAGE(Q15:S15)</f>
        <v>7.1647742857376491</v>
      </c>
      <c r="X15" s="101">
        <f t="shared" ref="X15:X19" si="12">STDEV(Q15:S15)</f>
        <v>1.8755241518384671</v>
      </c>
      <c r="Y15" s="101">
        <f t="shared" ref="Y15:Y19" si="13">X15/SQRT(3)</f>
        <v>1.0828343739355837</v>
      </c>
      <c r="Z15" s="101">
        <f t="shared" ref="Z15:Z19" si="14">AVERAGE(T15:V15)</f>
        <v>3.03548831313954</v>
      </c>
      <c r="AA15" s="101">
        <f t="shared" ref="AA15:AA19" si="15">STDEV(T15:V15)</f>
        <v>0.49470482272201355</v>
      </c>
      <c r="AB15" s="101">
        <f t="shared" ref="AB15:AB19" si="16">AA15/SQRT(3)</f>
        <v>0.28561796256796063</v>
      </c>
      <c r="AC15" s="90"/>
    </row>
    <row r="16" spans="1:34">
      <c r="C16" t="s">
        <v>377</v>
      </c>
      <c r="D16" t="s">
        <v>23</v>
      </c>
      <c r="E16">
        <v>16.260000000000002</v>
      </c>
      <c r="G16" t="s">
        <v>129</v>
      </c>
      <c r="H16" t="s">
        <v>126</v>
      </c>
      <c r="I16">
        <v>29.068999999999999</v>
      </c>
      <c r="J16">
        <f t="shared" ref="J16" si="17">I16-F17</f>
        <v>12.793333333333329</v>
      </c>
      <c r="K16">
        <f t="shared" si="0"/>
        <v>1.4087142965863773E-4</v>
      </c>
      <c r="N16">
        <f t="shared" si="1"/>
        <v>55.354134040235714</v>
      </c>
      <c r="P16" s="90">
        <v>1</v>
      </c>
      <c r="Q16" s="90">
        <v>59.712145217115896</v>
      </c>
      <c r="R16" s="90">
        <v>72.552453362370926</v>
      </c>
      <c r="S16" s="90">
        <v>56.217698793471826</v>
      </c>
      <c r="T16" s="90">
        <v>1.0947634400772297</v>
      </c>
      <c r="U16" s="90">
        <v>1.1193173754036281</v>
      </c>
      <c r="V16" s="90"/>
      <c r="W16" s="101">
        <f t="shared" si="11"/>
        <v>62.82743245765289</v>
      </c>
      <c r="X16" s="101">
        <f t="shared" si="12"/>
        <v>8.6014424749474436</v>
      </c>
      <c r="Y16" s="101">
        <f t="shared" si="13"/>
        <v>4.9660451283299878</v>
      </c>
      <c r="Z16" s="101">
        <f t="shared" si="14"/>
        <v>1.107040407740429</v>
      </c>
      <c r="AA16" s="101">
        <f t="shared" si="15"/>
        <v>1.7362254174112218E-2</v>
      </c>
      <c r="AB16" s="101">
        <f t="shared" si="16"/>
        <v>1.0024102121162393E-2</v>
      </c>
      <c r="AC16" s="90"/>
    </row>
    <row r="17" spans="3:29">
      <c r="C17" t="s">
        <v>377</v>
      </c>
      <c r="D17" t="s">
        <v>23</v>
      </c>
      <c r="E17">
        <v>16.308</v>
      </c>
      <c r="F17">
        <f t="shared" ref="F17" si="18">AVERAGE(E15:E17)</f>
        <v>16.27566666666667</v>
      </c>
      <c r="G17" t="s">
        <v>129</v>
      </c>
      <c r="H17" t="s">
        <v>126</v>
      </c>
      <c r="I17">
        <v>29.289000000000001</v>
      </c>
      <c r="J17">
        <f t="shared" ref="J17" si="19">I17-F17</f>
        <v>13.013333333333332</v>
      </c>
      <c r="K17">
        <f t="shared" si="0"/>
        <v>1.2094734048647836E-4</v>
      </c>
      <c r="N17">
        <f t="shared" si="1"/>
        <v>47.525146250888788</v>
      </c>
      <c r="P17" s="90">
        <v>4</v>
      </c>
      <c r="Q17" s="90">
        <v>47.13148266779077</v>
      </c>
      <c r="R17" s="90">
        <v>55.354134040235714</v>
      </c>
      <c r="S17" s="90">
        <v>47.525146250888788</v>
      </c>
      <c r="T17" s="90">
        <v>3.4877238808264739</v>
      </c>
      <c r="U17" s="90">
        <v>1.5673048590482506</v>
      </c>
      <c r="V17" s="90">
        <v>4.1047257329034643</v>
      </c>
      <c r="W17" s="101">
        <f t="shared" si="11"/>
        <v>50.00358765297176</v>
      </c>
      <c r="X17" s="101">
        <f t="shared" si="12"/>
        <v>4.6378877450690759</v>
      </c>
      <c r="Y17" s="101">
        <f t="shared" si="13"/>
        <v>2.6776857380868977</v>
      </c>
      <c r="Z17" s="101">
        <f t="shared" si="14"/>
        <v>3.0532514909260633</v>
      </c>
      <c r="AA17" s="101">
        <f t="shared" si="15"/>
        <v>1.3233294623631602</v>
      </c>
      <c r="AB17" s="101">
        <f t="shared" si="16"/>
        <v>0.76402462132193327</v>
      </c>
      <c r="AC17" s="90"/>
    </row>
    <row r="18" spans="3:29">
      <c r="C18" t="s">
        <v>378</v>
      </c>
      <c r="D18" t="s">
        <v>23</v>
      </c>
      <c r="E18">
        <v>15.920999999999999</v>
      </c>
      <c r="G18" t="s">
        <v>130</v>
      </c>
      <c r="H18" t="s">
        <v>126</v>
      </c>
      <c r="I18">
        <v>29.420999999999999</v>
      </c>
      <c r="J18">
        <f t="shared" ref="J18" si="20">I18-F20</f>
        <v>13.300333333333334</v>
      </c>
      <c r="K18">
        <f t="shared" si="0"/>
        <v>9.9128997544221139E-5</v>
      </c>
      <c r="N18">
        <f t="shared" si="1"/>
        <v>38.951828845875269</v>
      </c>
      <c r="P18" s="90">
        <v>6</v>
      </c>
      <c r="Q18" s="90">
        <v>38.951828845875269</v>
      </c>
      <c r="R18" s="90">
        <v>33.605353190885801</v>
      </c>
      <c r="S18" s="90">
        <v>31.660654211750316</v>
      </c>
      <c r="T18" s="90">
        <v>4.3087990835256997</v>
      </c>
      <c r="U18" s="90">
        <v>1.2152775399806697</v>
      </c>
      <c r="V18" s="90">
        <v>1.1005966390047952</v>
      </c>
      <c r="W18" s="101">
        <f t="shared" si="11"/>
        <v>34.739278749503796</v>
      </c>
      <c r="X18" s="101">
        <f t="shared" si="12"/>
        <v>3.7755327128356515</v>
      </c>
      <c r="Y18" s="101">
        <f t="shared" si="13"/>
        <v>2.1798048280899014</v>
      </c>
      <c r="Z18" s="101">
        <f t="shared" si="14"/>
        <v>2.2082244208370549</v>
      </c>
      <c r="AA18" s="101">
        <f t="shared" si="15"/>
        <v>1.8200544943515549</v>
      </c>
      <c r="AB18" s="101">
        <f t="shared" si="16"/>
        <v>1.0508089522536586</v>
      </c>
      <c r="AC18" s="90"/>
    </row>
    <row r="19" spans="3:29">
      <c r="C19" t="s">
        <v>378</v>
      </c>
      <c r="D19" t="s">
        <v>23</v>
      </c>
      <c r="E19">
        <v>16.099</v>
      </c>
      <c r="G19" t="s">
        <v>130</v>
      </c>
      <c r="H19" t="s">
        <v>126</v>
      </c>
      <c r="I19">
        <v>29.634</v>
      </c>
      <c r="J19">
        <f t="shared" ref="J19" si="21">I19-F20</f>
        <v>13.513333333333335</v>
      </c>
      <c r="K19">
        <f t="shared" si="0"/>
        <v>8.5522684624466885E-5</v>
      </c>
      <c r="N19">
        <f t="shared" si="1"/>
        <v>33.605353190885801</v>
      </c>
      <c r="P19" s="90">
        <v>12</v>
      </c>
      <c r="Q19" s="90">
        <v>61.263356003958528</v>
      </c>
      <c r="R19" s="90">
        <v>51.373501216998022</v>
      </c>
      <c r="S19" s="90">
        <v>56.373783630678048</v>
      </c>
      <c r="T19" s="90">
        <v>1.9519992448228018</v>
      </c>
      <c r="U19" s="90">
        <v>3.3588153704696695</v>
      </c>
      <c r="V19" s="90"/>
      <c r="W19" s="101">
        <f t="shared" si="11"/>
        <v>56.336880283878202</v>
      </c>
      <c r="X19" s="101">
        <f t="shared" si="12"/>
        <v>4.9450306692218984</v>
      </c>
      <c r="Y19" s="101">
        <f t="shared" si="13"/>
        <v>2.8550147880262182</v>
      </c>
      <c r="Z19" s="101">
        <f t="shared" si="14"/>
        <v>2.6554073076462359</v>
      </c>
      <c r="AA19" s="101">
        <f t="shared" si="15"/>
        <v>0.99476922232748588</v>
      </c>
      <c r="AB19" s="101">
        <f t="shared" si="16"/>
        <v>0.57433027829232863</v>
      </c>
      <c r="AC19" s="94" t="s">
        <v>666</v>
      </c>
    </row>
    <row r="20" spans="3:29">
      <c r="C20" t="s">
        <v>378</v>
      </c>
      <c r="D20" t="s">
        <v>23</v>
      </c>
      <c r="E20">
        <v>16.341999999999999</v>
      </c>
      <c r="F20">
        <f t="shared" ref="F20" si="22">AVERAGE(E18:E20)</f>
        <v>16.120666666666665</v>
      </c>
      <c r="G20" t="s">
        <v>130</v>
      </c>
      <c r="H20" t="s">
        <v>126</v>
      </c>
      <c r="I20">
        <v>29.72</v>
      </c>
      <c r="J20">
        <f t="shared" ref="J20" si="23">I20-F20</f>
        <v>13.599333333333334</v>
      </c>
      <c r="K20">
        <f t="shared" si="0"/>
        <v>8.0573595813008308E-5</v>
      </c>
      <c r="N20">
        <f t="shared" si="1"/>
        <v>31.660654211750316</v>
      </c>
      <c r="P20" s="90"/>
      <c r="Q20" s="90"/>
      <c r="R20" s="90"/>
      <c r="S20" s="90"/>
      <c r="T20" s="90"/>
      <c r="U20" s="90"/>
      <c r="V20" s="90"/>
      <c r="W20" s="90"/>
      <c r="X20" s="90"/>
      <c r="Y20" s="90"/>
      <c r="Z20" s="101"/>
      <c r="AA20" s="90"/>
      <c r="AB20" s="90"/>
      <c r="AC20" s="90"/>
    </row>
    <row r="21" spans="3:29">
      <c r="C21" t="s">
        <v>379</v>
      </c>
      <c r="D21" t="s">
        <v>23</v>
      </c>
      <c r="E21">
        <v>17.021000000000001</v>
      </c>
      <c r="G21" t="s">
        <v>131</v>
      </c>
      <c r="H21" t="s">
        <v>126</v>
      </c>
      <c r="I21">
        <v>29.667000000000002</v>
      </c>
      <c r="J21">
        <f t="shared" ref="J21" si="24">I21-F23</f>
        <v>12.647000000000002</v>
      </c>
      <c r="K21">
        <f t="shared" si="0"/>
        <v>1.5590988271428074E-4</v>
      </c>
      <c r="N21">
        <f t="shared" si="1"/>
        <v>61.263356003958528</v>
      </c>
    </row>
    <row r="22" spans="3:29">
      <c r="C22" t="s">
        <v>379</v>
      </c>
      <c r="D22" t="s">
        <v>23</v>
      </c>
      <c r="E22">
        <v>17.079000000000001</v>
      </c>
      <c r="G22" t="s">
        <v>131</v>
      </c>
      <c r="H22" t="s">
        <v>126</v>
      </c>
      <c r="I22">
        <v>29.920999999999999</v>
      </c>
      <c r="J22">
        <f t="shared" ref="J22" si="25">I22-F23</f>
        <v>12.901</v>
      </c>
      <c r="K22">
        <f t="shared" si="0"/>
        <v>1.3074106728411318E-4</v>
      </c>
      <c r="N22">
        <f t="shared" si="1"/>
        <v>51.373501216998022</v>
      </c>
    </row>
    <row r="23" spans="3:29">
      <c r="C23" t="s">
        <v>379</v>
      </c>
      <c r="D23" t="s">
        <v>23</v>
      </c>
      <c r="E23">
        <v>16.96</v>
      </c>
      <c r="F23">
        <f t="shared" ref="F23" si="26">AVERAGE(E21:E23)</f>
        <v>17.02</v>
      </c>
      <c r="G23" t="s">
        <v>131</v>
      </c>
      <c r="H23" t="s">
        <v>126</v>
      </c>
      <c r="I23">
        <v>29.786999999999999</v>
      </c>
      <c r="J23">
        <f t="shared" ref="J23" si="27">I23-F23</f>
        <v>12.766999999999999</v>
      </c>
      <c r="K23">
        <f t="shared" si="0"/>
        <v>1.4346634868405412E-4</v>
      </c>
      <c r="N23">
        <f t="shared" si="1"/>
        <v>56.373783630678048</v>
      </c>
    </row>
    <row r="24" spans="3:29">
      <c r="C24" t="s">
        <v>380</v>
      </c>
      <c r="D24" t="s">
        <v>23</v>
      </c>
      <c r="E24">
        <v>16.945</v>
      </c>
      <c r="G24" t="s">
        <v>144</v>
      </c>
      <c r="H24" t="s">
        <v>126</v>
      </c>
      <c r="I24">
        <v>34.466000000000001</v>
      </c>
      <c r="J24">
        <f t="shared" ref="J24" si="28">I24-F26</f>
        <v>17.535666666666668</v>
      </c>
      <c r="K24">
        <f t="shared" si="0"/>
        <v>5.2630602214516236E-6</v>
      </c>
      <c r="N24">
        <f t="shared" si="1"/>
        <v>2.0680711601069661</v>
      </c>
    </row>
    <row r="25" spans="3:29">
      <c r="C25" t="s">
        <v>380</v>
      </c>
      <c r="D25" t="s">
        <v>23</v>
      </c>
      <c r="E25">
        <v>16.945</v>
      </c>
      <c r="G25" t="s">
        <v>144</v>
      </c>
      <c r="H25" t="s">
        <v>126</v>
      </c>
      <c r="I25">
        <v>34.427</v>
      </c>
      <c r="J25">
        <f t="shared" ref="J25" si="29">I25-F26</f>
        <v>17.496666666666666</v>
      </c>
      <c r="K25">
        <f t="shared" si="0"/>
        <v>5.4072756470575764E-6</v>
      </c>
      <c r="N25">
        <f t="shared" si="1"/>
        <v>2.1247392866320247</v>
      </c>
    </row>
    <row r="26" spans="3:29">
      <c r="C26" t="s">
        <v>380</v>
      </c>
      <c r="D26" t="s">
        <v>23</v>
      </c>
      <c r="E26">
        <v>16.901</v>
      </c>
      <c r="F26">
        <f t="shared" ref="F26" si="30">AVERAGE(E24:E26)</f>
        <v>16.930333333333333</v>
      </c>
      <c r="G26" t="s">
        <v>144</v>
      </c>
      <c r="H26" t="s">
        <v>126</v>
      </c>
      <c r="I26">
        <v>34.28</v>
      </c>
      <c r="J26">
        <f t="shared" ref="J26" si="31">I26-F26</f>
        <v>17.349666666666668</v>
      </c>
      <c r="K26">
        <f t="shared" si="0"/>
        <v>5.9872848225311977E-6</v>
      </c>
      <c r="N26">
        <f t="shared" si="1"/>
        <v>2.3526485633500438</v>
      </c>
    </row>
    <row r="27" spans="3:29">
      <c r="C27" t="s">
        <v>381</v>
      </c>
      <c r="D27" t="s">
        <v>23</v>
      </c>
      <c r="E27">
        <v>16.216999999999999</v>
      </c>
      <c r="G27" t="s">
        <v>146</v>
      </c>
      <c r="H27" t="s">
        <v>126</v>
      </c>
      <c r="I27">
        <v>33.423000000000002</v>
      </c>
      <c r="J27">
        <f t="shared" ref="J27" si="32">I27-F29</f>
        <v>16.978666666666669</v>
      </c>
      <c r="K27">
        <f t="shared" si="0"/>
        <v>7.7430497016446149E-6</v>
      </c>
      <c r="N27">
        <f t="shared" si="1"/>
        <v>3.0425602416590678</v>
      </c>
    </row>
    <row r="28" spans="3:29">
      <c r="C28" t="s">
        <v>381</v>
      </c>
      <c r="D28" t="s">
        <v>23</v>
      </c>
      <c r="E28">
        <v>16.440000000000001</v>
      </c>
      <c r="G28" t="s">
        <v>146</v>
      </c>
      <c r="H28" t="s">
        <v>126</v>
      </c>
      <c r="I28">
        <v>33.21</v>
      </c>
      <c r="J28">
        <f t="shared" ref="J28" si="33">I28-F29</f>
        <v>16.765666666666668</v>
      </c>
      <c r="K28">
        <f t="shared" si="0"/>
        <v>8.9749375645712887E-6</v>
      </c>
      <c r="N28">
        <f t="shared" si="1"/>
        <v>3.5266192595324726</v>
      </c>
    </row>
    <row r="29" spans="3:29">
      <c r="C29" t="s">
        <v>381</v>
      </c>
      <c r="D29" t="s">
        <v>23</v>
      </c>
      <c r="E29">
        <v>16.675999999999998</v>
      </c>
      <c r="F29">
        <f t="shared" ref="F29" si="34">AVERAGE(E27:E29)</f>
        <v>16.444333333333333</v>
      </c>
      <c r="G29" t="s">
        <v>146</v>
      </c>
      <c r="H29" t="s">
        <v>126</v>
      </c>
      <c r="I29">
        <v>33.685000000000002</v>
      </c>
      <c r="J29">
        <f t="shared" ref="J29" si="35">I29-F29</f>
        <v>17.240666666666669</v>
      </c>
      <c r="K29">
        <f t="shared" si="0"/>
        <v>6.4571695200810672E-6</v>
      </c>
      <c r="N29">
        <f t="shared" si="1"/>
        <v>2.5372854382270797</v>
      </c>
    </row>
    <row r="30" spans="3:29">
      <c r="C30" t="s">
        <v>382</v>
      </c>
      <c r="D30" t="s">
        <v>23</v>
      </c>
      <c r="E30">
        <v>16.437000000000001</v>
      </c>
      <c r="G30" t="s">
        <v>148</v>
      </c>
      <c r="H30" t="s">
        <v>126</v>
      </c>
      <c r="I30">
        <v>34.904000000000003</v>
      </c>
      <c r="J30">
        <f t="shared" ref="J30" si="36">I30-F32</f>
        <v>18.453333333333337</v>
      </c>
      <c r="K30">
        <f t="shared" si="0"/>
        <v>2.7860772030068778E-6</v>
      </c>
      <c r="N30">
        <f t="shared" si="1"/>
        <v>1.0947634400772297</v>
      </c>
    </row>
    <row r="31" spans="3:29">
      <c r="C31" t="s">
        <v>382</v>
      </c>
      <c r="D31" t="s">
        <v>23</v>
      </c>
      <c r="E31">
        <v>16.442</v>
      </c>
      <c r="G31" t="s">
        <v>148</v>
      </c>
      <c r="H31" t="s">
        <v>126</v>
      </c>
      <c r="I31">
        <v>34.872</v>
      </c>
      <c r="J31">
        <f t="shared" ref="J31" si="37">I31-F32</f>
        <v>18.421333333333333</v>
      </c>
      <c r="K31">
        <f t="shared" si="0"/>
        <v>2.8485648208361308E-6</v>
      </c>
      <c r="N31">
        <f t="shared" si="1"/>
        <v>1.1193173754036281</v>
      </c>
    </row>
    <row r="32" spans="3:29">
      <c r="C32" t="s">
        <v>382</v>
      </c>
      <c r="D32" t="s">
        <v>23</v>
      </c>
      <c r="E32">
        <v>16.472999999999999</v>
      </c>
      <c r="F32">
        <f t="shared" ref="F32" si="38">AVERAGE(E30:E32)</f>
        <v>16.450666666666667</v>
      </c>
      <c r="G32" t="s">
        <v>148</v>
      </c>
      <c r="H32" t="s">
        <v>126</v>
      </c>
      <c r="I32" t="s">
        <v>115</v>
      </c>
      <c r="J32" t="e">
        <f t="shared" ref="J32" si="39">I32-F32</f>
        <v>#VALUE!</v>
      </c>
      <c r="K32" t="e">
        <f t="shared" si="0"/>
        <v>#VALUE!</v>
      </c>
      <c r="N32" t="e">
        <f t="shared" si="1"/>
        <v>#VALUE!</v>
      </c>
    </row>
    <row r="33" spans="3:34">
      <c r="C33" t="s">
        <v>383</v>
      </c>
      <c r="D33" t="s">
        <v>23</v>
      </c>
      <c r="E33">
        <v>16.53</v>
      </c>
      <c r="G33" t="s">
        <v>145</v>
      </c>
      <c r="H33" t="s">
        <v>126</v>
      </c>
      <c r="I33">
        <v>33.25</v>
      </c>
      <c r="J33">
        <f t="shared" ref="J33" si="40">I33-F35</f>
        <v>16.781666666666666</v>
      </c>
      <c r="K33">
        <f t="shared" si="0"/>
        <v>8.8759522276957188E-6</v>
      </c>
      <c r="N33">
        <f t="shared" si="1"/>
        <v>3.4877238808264739</v>
      </c>
    </row>
    <row r="34" spans="3:34">
      <c r="C34" t="s">
        <v>383</v>
      </c>
      <c r="D34" t="s">
        <v>23</v>
      </c>
      <c r="E34">
        <v>16.343</v>
      </c>
      <c r="G34" t="s">
        <v>145</v>
      </c>
      <c r="H34" t="s">
        <v>126</v>
      </c>
      <c r="I34">
        <v>34.404000000000003</v>
      </c>
      <c r="J34">
        <f t="shared" ref="J34" si="41">I34-F35</f>
        <v>17.93566666666667</v>
      </c>
      <c r="K34">
        <f t="shared" si="0"/>
        <v>3.988653784098048E-6</v>
      </c>
      <c r="N34">
        <f t="shared" si="1"/>
        <v>1.5673048590482506</v>
      </c>
    </row>
    <row r="35" spans="3:34">
      <c r="C35" t="s">
        <v>383</v>
      </c>
      <c r="D35" t="s">
        <v>23</v>
      </c>
      <c r="E35">
        <v>16.532</v>
      </c>
      <c r="F35">
        <f t="shared" ref="F35" si="42">AVERAGE(E33:E35)</f>
        <v>16.468333333333334</v>
      </c>
      <c r="G35" t="s">
        <v>145</v>
      </c>
      <c r="H35" t="s">
        <v>126</v>
      </c>
      <c r="I35">
        <v>33.015000000000001</v>
      </c>
      <c r="J35">
        <f t="shared" ref="J35" si="43">I35-F35</f>
        <v>16.546666666666667</v>
      </c>
      <c r="K35">
        <f t="shared" si="0"/>
        <v>1.0446167976007024E-5</v>
      </c>
      <c r="N35">
        <f t="shared" si="1"/>
        <v>4.1047257329034643</v>
      </c>
    </row>
    <row r="36" spans="3:34">
      <c r="C36" t="s">
        <v>384</v>
      </c>
      <c r="D36" t="s">
        <v>23</v>
      </c>
      <c r="E36">
        <v>16.614999999999998</v>
      </c>
      <c r="G36" t="s">
        <v>147</v>
      </c>
      <c r="H36" t="s">
        <v>126</v>
      </c>
      <c r="I36">
        <v>33.095999999999997</v>
      </c>
      <c r="J36">
        <f t="shared" ref="J36" si="44">I36-F38</f>
        <v>16.476666666666663</v>
      </c>
      <c r="K36">
        <f t="shared" si="0"/>
        <v>1.0965516804343611E-5</v>
      </c>
      <c r="N36">
        <f t="shared" si="1"/>
        <v>4.3087990835256997</v>
      </c>
    </row>
    <row r="37" spans="3:34">
      <c r="C37" t="s">
        <v>384</v>
      </c>
      <c r="D37" t="s">
        <v>23</v>
      </c>
      <c r="E37">
        <v>16.629000000000001</v>
      </c>
      <c r="G37" t="s">
        <v>147</v>
      </c>
      <c r="H37" t="s">
        <v>126</v>
      </c>
      <c r="I37">
        <v>34.921999999999997</v>
      </c>
      <c r="J37">
        <f t="shared" ref="J37" si="45">I37-F38</f>
        <v>18.302666666666664</v>
      </c>
      <c r="K37">
        <f t="shared" si="0"/>
        <v>3.0927750466599155E-6</v>
      </c>
      <c r="N37">
        <f t="shared" si="1"/>
        <v>1.2152775399806697</v>
      </c>
    </row>
    <row r="38" spans="3:34">
      <c r="C38" t="s">
        <v>384</v>
      </c>
      <c r="D38" t="s">
        <v>23</v>
      </c>
      <c r="E38">
        <v>16.614000000000001</v>
      </c>
      <c r="F38">
        <f t="shared" ref="F38" si="46">AVERAGE(E36:E38)</f>
        <v>16.619333333333334</v>
      </c>
      <c r="G38" t="s">
        <v>147</v>
      </c>
      <c r="H38" t="s">
        <v>126</v>
      </c>
      <c r="I38">
        <v>35.064999999999998</v>
      </c>
      <c r="J38">
        <f t="shared" ref="J38" si="47">I38-F38</f>
        <v>18.445666666666664</v>
      </c>
      <c r="K38">
        <f t="shared" si="0"/>
        <v>2.8009221840847517E-6</v>
      </c>
      <c r="N38">
        <f t="shared" si="1"/>
        <v>1.1005966390047952</v>
      </c>
    </row>
    <row r="39" spans="3:34">
      <c r="C39" t="s">
        <v>385</v>
      </c>
      <c r="D39" t="s">
        <v>23</v>
      </c>
      <c r="E39">
        <v>16.478000000000002</v>
      </c>
      <c r="G39" t="s">
        <v>149</v>
      </c>
      <c r="H39" t="s">
        <v>126</v>
      </c>
      <c r="I39">
        <v>34.168999999999997</v>
      </c>
      <c r="J39">
        <f t="shared" ref="J39" si="48">I39-F41</f>
        <v>17.618999999999996</v>
      </c>
      <c r="K39">
        <f t="shared" si="0"/>
        <v>4.9676673491250296E-6</v>
      </c>
      <c r="N39">
        <f t="shared" si="1"/>
        <v>1.9519992448228018</v>
      </c>
    </row>
    <row r="40" spans="3:34">
      <c r="C40" t="s">
        <v>385</v>
      </c>
      <c r="D40" t="s">
        <v>23</v>
      </c>
      <c r="E40">
        <v>16.623999999999999</v>
      </c>
      <c r="G40" t="s">
        <v>149</v>
      </c>
      <c r="H40" t="s">
        <v>126</v>
      </c>
      <c r="I40">
        <v>33.386000000000003</v>
      </c>
      <c r="J40">
        <f t="shared" ref="J40" si="49">I40-F41</f>
        <v>16.836000000000002</v>
      </c>
      <c r="K40">
        <f t="shared" si="0"/>
        <v>8.5478913436445196E-6</v>
      </c>
      <c r="N40">
        <f t="shared" si="1"/>
        <v>3.3588153704696695</v>
      </c>
    </row>
    <row r="41" spans="3:34">
      <c r="C41" t="s">
        <v>385</v>
      </c>
      <c r="D41" t="s">
        <v>23</v>
      </c>
      <c r="E41">
        <v>16.547999999999998</v>
      </c>
      <c r="F41">
        <f t="shared" ref="F41" si="50">AVERAGE(E39:E41)</f>
        <v>16.55</v>
      </c>
      <c r="G41" t="s">
        <v>149</v>
      </c>
      <c r="H41" t="s">
        <v>126</v>
      </c>
      <c r="I41" t="s">
        <v>115</v>
      </c>
      <c r="J41" t="e">
        <f t="shared" ref="J41" si="51">I41-F41</f>
        <v>#VALUE!</v>
      </c>
      <c r="K41" t="e">
        <f t="shared" si="0"/>
        <v>#VALUE!</v>
      </c>
      <c r="N41" t="e">
        <f t="shared" si="1"/>
        <v>#VALUE!</v>
      </c>
    </row>
    <row r="45" spans="3:34">
      <c r="C45" t="s">
        <v>374</v>
      </c>
      <c r="D45" t="s">
        <v>23</v>
      </c>
      <c r="E45">
        <v>16.562000000000001</v>
      </c>
      <c r="G45" t="s">
        <v>374</v>
      </c>
      <c r="H45" t="s">
        <v>386</v>
      </c>
      <c r="I45">
        <v>22.744</v>
      </c>
      <c r="J45">
        <f>I45-F47</f>
        <v>6.1119999999999983</v>
      </c>
      <c r="K45">
        <f>POWER(2,-J45)</f>
        <v>1.4457881688091461E-2</v>
      </c>
      <c r="N45">
        <f>K45/0.0139486503836569</f>
        <v>1.0365075681466078</v>
      </c>
      <c r="Q45">
        <v>0</v>
      </c>
      <c r="T45">
        <v>0.5</v>
      </c>
      <c r="W45">
        <v>1</v>
      </c>
      <c r="Z45">
        <v>4</v>
      </c>
      <c r="AC45">
        <v>6</v>
      </c>
      <c r="AF45">
        <v>12</v>
      </c>
    </row>
    <row r="46" spans="3:34">
      <c r="C46" t="s">
        <v>374</v>
      </c>
      <c r="D46" t="s">
        <v>23</v>
      </c>
      <c r="E46">
        <v>16.677</v>
      </c>
      <c r="G46" t="s">
        <v>374</v>
      </c>
      <c r="H46" t="s">
        <v>386</v>
      </c>
      <c r="I46">
        <v>22.846</v>
      </c>
      <c r="J46">
        <f>I46-F47</f>
        <v>6.2139999999999986</v>
      </c>
      <c r="K46">
        <f t="shared" ref="K46:K80" si="52">POWER(2,-J46)</f>
        <v>1.3470992890899945E-2</v>
      </c>
      <c r="N46">
        <f t="shared" ref="N46:N80" si="53">K46/0.0139486503836569</f>
        <v>0.96575600652256599</v>
      </c>
      <c r="P46" t="s">
        <v>97</v>
      </c>
      <c r="Q46">
        <v>1.0365075681466078</v>
      </c>
      <c r="R46">
        <v>0.96575600652256599</v>
      </c>
      <c r="S46">
        <v>0.9977364253308344</v>
      </c>
      <c r="T46">
        <v>1.73555527909025</v>
      </c>
      <c r="U46">
        <v>1.7488388033755911</v>
      </c>
      <c r="V46">
        <v>1.6986602382127709</v>
      </c>
      <c r="W46">
        <v>13.294251531847797</v>
      </c>
      <c r="X46">
        <v>13.08398994254298</v>
      </c>
      <c r="Y46">
        <v>12.352495716992925</v>
      </c>
      <c r="Z46">
        <v>4.9396106052522786</v>
      </c>
      <c r="AA46">
        <v>4.9054902224572388</v>
      </c>
      <c r="AB46">
        <v>4.9498929237795801</v>
      </c>
      <c r="AC46">
        <v>2.6617910364447988</v>
      </c>
      <c r="AD46">
        <v>2.5077565800341417</v>
      </c>
      <c r="AE46">
        <v>3.1196784091983809</v>
      </c>
      <c r="AF46">
        <v>3.807200767494118</v>
      </c>
      <c r="AG46">
        <v>3.5645764190160354</v>
      </c>
      <c r="AH46">
        <v>3.3536465572382985</v>
      </c>
    </row>
    <row r="47" spans="3:34">
      <c r="C47" t="s">
        <v>374</v>
      </c>
      <c r="D47" t="s">
        <v>23</v>
      </c>
      <c r="E47">
        <v>16.657</v>
      </c>
      <c r="F47">
        <f>AVERAGE(E45:E47)</f>
        <v>16.632000000000001</v>
      </c>
      <c r="G47" t="s">
        <v>374</v>
      </c>
      <c r="H47" t="s">
        <v>386</v>
      </c>
      <c r="I47">
        <v>22.798999999999999</v>
      </c>
      <c r="J47">
        <f>I47-F47</f>
        <v>6.166999999999998</v>
      </c>
      <c r="K47">
        <f t="shared" si="52"/>
        <v>1.3917076571979407E-2</v>
      </c>
      <c r="M47">
        <v>1.39486503836569E-2</v>
      </c>
      <c r="N47">
        <f t="shared" si="53"/>
        <v>0.9977364253308344</v>
      </c>
      <c r="P47" t="s">
        <v>151</v>
      </c>
      <c r="Q47">
        <v>1.0468567092232641</v>
      </c>
      <c r="R47">
        <v>1.0338765878387635</v>
      </c>
      <c r="S47">
        <v>1.0483089671720827</v>
      </c>
      <c r="T47">
        <v>1.0681127779860022</v>
      </c>
      <c r="U47">
        <v>1.0747968392263638</v>
      </c>
      <c r="V47">
        <v>1.1057796937556812</v>
      </c>
      <c r="W47">
        <v>1.6927833202437998</v>
      </c>
      <c r="X47">
        <v>1.631724300429173</v>
      </c>
      <c r="Y47">
        <v>1.6419353430983004</v>
      </c>
      <c r="Z47">
        <v>1.3842111046948615</v>
      </c>
      <c r="AA47">
        <v>1.4439932354550435</v>
      </c>
      <c r="AB47">
        <v>1.2942030513418372</v>
      </c>
      <c r="AC47">
        <v>1.4074307937432164</v>
      </c>
      <c r="AD47">
        <v>1.3491623685999721</v>
      </c>
      <c r="AE47">
        <v>1.195872832769415</v>
      </c>
      <c r="AF47">
        <v>1.2831863057450319</v>
      </c>
      <c r="AG47">
        <v>1.118628234894355</v>
      </c>
      <c r="AH47">
        <v>1.1508746042631615</v>
      </c>
    </row>
    <row r="48" spans="3:34">
      <c r="C48" t="s">
        <v>375</v>
      </c>
      <c r="D48" t="s">
        <v>23</v>
      </c>
      <c r="E48">
        <v>16.550999999999998</v>
      </c>
      <c r="G48" t="s">
        <v>375</v>
      </c>
      <c r="H48" t="s">
        <v>386</v>
      </c>
      <c r="I48">
        <v>21.83</v>
      </c>
      <c r="J48">
        <f t="shared" ref="J48" si="54">I48-F50</f>
        <v>5.3683333333333287</v>
      </c>
      <c r="K48">
        <f t="shared" si="52"/>
        <v>2.4208653809539973E-2</v>
      </c>
      <c r="N48">
        <f t="shared" si="53"/>
        <v>1.73555527909025</v>
      </c>
    </row>
    <row r="49" spans="3:29">
      <c r="C49" t="s">
        <v>375</v>
      </c>
      <c r="D49" t="s">
        <v>23</v>
      </c>
      <c r="E49">
        <v>16.262</v>
      </c>
      <c r="G49" t="s">
        <v>375</v>
      </c>
      <c r="H49" t="s">
        <v>386</v>
      </c>
      <c r="I49">
        <v>21.818999999999999</v>
      </c>
      <c r="J49">
        <f t="shared" ref="J49" si="55">I49-F50</f>
        <v>5.3573333333333295</v>
      </c>
      <c r="K49">
        <f t="shared" si="52"/>
        <v>2.439394104565901E-2</v>
      </c>
      <c r="N49">
        <f t="shared" si="53"/>
        <v>1.7488388033755911</v>
      </c>
    </row>
    <row r="50" spans="3:29">
      <c r="C50" t="s">
        <v>375</v>
      </c>
      <c r="D50" t="s">
        <v>23</v>
      </c>
      <c r="E50">
        <v>16.571999999999999</v>
      </c>
      <c r="F50">
        <f t="shared" ref="F50" si="56">AVERAGE(E48:E50)</f>
        <v>16.46166666666667</v>
      </c>
      <c r="G50" t="s">
        <v>375</v>
      </c>
      <c r="H50" t="s">
        <v>386</v>
      </c>
      <c r="I50">
        <v>21.861000000000001</v>
      </c>
      <c r="J50">
        <f t="shared" ref="J50" si="57">I50-F50</f>
        <v>5.3993333333333311</v>
      </c>
      <c r="K50">
        <f t="shared" si="52"/>
        <v>2.3694017783449286E-2</v>
      </c>
      <c r="N50">
        <f t="shared" si="53"/>
        <v>1.6986602382127709</v>
      </c>
    </row>
    <row r="51" spans="3:29">
      <c r="C51" t="s">
        <v>376</v>
      </c>
      <c r="D51" t="s">
        <v>23</v>
      </c>
      <c r="E51">
        <v>16.478000000000002</v>
      </c>
      <c r="G51" t="s">
        <v>376</v>
      </c>
      <c r="H51" t="s">
        <v>386</v>
      </c>
      <c r="I51">
        <v>18.904</v>
      </c>
      <c r="J51">
        <f t="shared" ref="J51" si="58">I51-F53</f>
        <v>2.4310000000000009</v>
      </c>
      <c r="K51">
        <f t="shared" si="52"/>
        <v>0.18543686673014009</v>
      </c>
      <c r="N51">
        <f t="shared" si="53"/>
        <v>13.294251531847797</v>
      </c>
    </row>
    <row r="52" spans="3:29">
      <c r="C52" t="s">
        <v>376</v>
      </c>
      <c r="D52" t="s">
        <v>23</v>
      </c>
      <c r="E52">
        <v>16.442</v>
      </c>
      <c r="G52" t="s">
        <v>376</v>
      </c>
      <c r="H52" t="s">
        <v>386</v>
      </c>
      <c r="I52">
        <v>18.927</v>
      </c>
      <c r="J52">
        <f t="shared" ref="J52" si="59">I52-F53</f>
        <v>2.4540000000000006</v>
      </c>
      <c r="K52">
        <f t="shared" si="52"/>
        <v>0.18250400133181516</v>
      </c>
      <c r="N52">
        <f t="shared" si="53"/>
        <v>13.08398994254298</v>
      </c>
    </row>
    <row r="53" spans="3:29">
      <c r="C53" t="s">
        <v>376</v>
      </c>
      <c r="D53" t="s">
        <v>23</v>
      </c>
      <c r="E53">
        <v>16.498999999999999</v>
      </c>
      <c r="F53">
        <f t="shared" ref="F53" si="60">AVERAGE(E51:E53)</f>
        <v>16.472999999999999</v>
      </c>
      <c r="G53" t="s">
        <v>376</v>
      </c>
      <c r="H53" t="s">
        <v>386</v>
      </c>
      <c r="I53">
        <v>19.010000000000002</v>
      </c>
      <c r="J53">
        <f t="shared" ref="J53" si="61">I53-F53</f>
        <v>2.5370000000000026</v>
      </c>
      <c r="K53">
        <f t="shared" si="52"/>
        <v>0.17230064412195356</v>
      </c>
      <c r="N53">
        <f t="shared" si="53"/>
        <v>12.352495716992925</v>
      </c>
    </row>
    <row r="54" spans="3:29">
      <c r="C54" t="s">
        <v>377</v>
      </c>
      <c r="D54" t="s">
        <v>23</v>
      </c>
      <c r="E54">
        <v>16.259</v>
      </c>
      <c r="G54" t="s">
        <v>377</v>
      </c>
      <c r="H54" t="s">
        <v>386</v>
      </c>
      <c r="I54">
        <v>20.135000000000002</v>
      </c>
      <c r="J54">
        <f t="shared" ref="J54" si="62">I54-F56</f>
        <v>3.859333333333332</v>
      </c>
      <c r="K54">
        <f t="shared" si="52"/>
        <v>6.8900901364067887E-2</v>
      </c>
      <c r="N54">
        <f t="shared" si="53"/>
        <v>4.9396106052522786</v>
      </c>
    </row>
    <row r="55" spans="3:29">
      <c r="C55" t="s">
        <v>377</v>
      </c>
      <c r="D55" t="s">
        <v>23</v>
      </c>
      <c r="E55">
        <v>16.260000000000002</v>
      </c>
      <c r="G55" t="s">
        <v>377</v>
      </c>
      <c r="H55" t="s">
        <v>386</v>
      </c>
      <c r="I55">
        <v>20.145</v>
      </c>
      <c r="J55">
        <f t="shared" ref="J55" si="63">I55-F56</f>
        <v>3.86933333333333</v>
      </c>
      <c r="K55">
        <f t="shared" si="52"/>
        <v>6.8424968073503331E-2</v>
      </c>
      <c r="N55">
        <f t="shared" si="53"/>
        <v>4.9054902224572388</v>
      </c>
      <c r="P55" s="90" t="s">
        <v>155</v>
      </c>
      <c r="Q55" s="90"/>
      <c r="R55" s="90"/>
      <c r="S55" s="90"/>
      <c r="T55" s="90"/>
      <c r="U55" s="90"/>
      <c r="V55" s="90"/>
      <c r="W55" s="90"/>
      <c r="X55" s="90"/>
      <c r="Y55" s="90"/>
      <c r="Z55" s="90"/>
      <c r="AA55" s="90"/>
      <c r="AB55" s="90"/>
      <c r="AC55" s="90"/>
    </row>
    <row r="56" spans="3:29">
      <c r="C56" t="s">
        <v>377</v>
      </c>
      <c r="D56" t="s">
        <v>23</v>
      </c>
      <c r="E56">
        <v>16.308</v>
      </c>
      <c r="F56">
        <f t="shared" ref="F56" si="64">AVERAGE(E54:E56)</f>
        <v>16.27566666666667</v>
      </c>
      <c r="G56" t="s">
        <v>377</v>
      </c>
      <c r="H56" t="s">
        <v>386</v>
      </c>
      <c r="I56">
        <v>20.132000000000001</v>
      </c>
      <c r="J56">
        <f t="shared" ref="J56" si="65">I56-F56</f>
        <v>3.8563333333333318</v>
      </c>
      <c r="K56">
        <f t="shared" si="52"/>
        <v>6.9044325830338607E-2</v>
      </c>
      <c r="N56">
        <f t="shared" si="53"/>
        <v>4.9498929237795801</v>
      </c>
      <c r="P56" s="90"/>
      <c r="Q56" s="90"/>
      <c r="R56" s="90"/>
      <c r="S56" s="90"/>
      <c r="T56" s="90"/>
      <c r="U56" s="90"/>
      <c r="V56" s="90"/>
      <c r="W56" s="90"/>
      <c r="X56" s="90"/>
      <c r="Y56" s="90"/>
      <c r="Z56" s="90"/>
      <c r="AA56" s="90"/>
      <c r="AB56" s="90"/>
      <c r="AC56" s="90"/>
    </row>
    <row r="57" spans="3:29">
      <c r="C57" t="s">
        <v>378</v>
      </c>
      <c r="D57" t="s">
        <v>23</v>
      </c>
      <c r="E57">
        <v>15.920999999999999</v>
      </c>
      <c r="G57" t="s">
        <v>378</v>
      </c>
      <c r="H57" t="s">
        <v>386</v>
      </c>
      <c r="I57">
        <v>20.872</v>
      </c>
      <c r="J57">
        <f t="shared" ref="J57" si="66">I57-F59</f>
        <v>4.751333333333335</v>
      </c>
      <c r="K57">
        <f t="shared" si="52"/>
        <v>3.7128392561720236E-2</v>
      </c>
      <c r="N57">
        <f t="shared" si="53"/>
        <v>2.6617910364447988</v>
      </c>
      <c r="P57" s="90"/>
      <c r="Q57" s="90" t="s">
        <v>97</v>
      </c>
      <c r="R57" s="90"/>
      <c r="S57" s="90"/>
      <c r="T57" s="90" t="s">
        <v>99</v>
      </c>
      <c r="U57" s="90"/>
      <c r="V57" s="90"/>
      <c r="W57" s="101" t="s">
        <v>663</v>
      </c>
      <c r="X57" s="101" t="s">
        <v>396</v>
      </c>
      <c r="Y57" s="101" t="s">
        <v>664</v>
      </c>
      <c r="Z57" s="101" t="s">
        <v>663</v>
      </c>
      <c r="AA57" s="101" t="s">
        <v>396</v>
      </c>
      <c r="AB57" s="101" t="s">
        <v>664</v>
      </c>
      <c r="AC57" s="101" t="s">
        <v>665</v>
      </c>
    </row>
    <row r="58" spans="3:29">
      <c r="C58" t="s">
        <v>378</v>
      </c>
      <c r="D58" t="s">
        <v>23</v>
      </c>
      <c r="E58">
        <v>16.099</v>
      </c>
      <c r="G58" t="s">
        <v>378</v>
      </c>
      <c r="H58" t="s">
        <v>386</v>
      </c>
      <c r="I58">
        <v>20.957999999999998</v>
      </c>
      <c r="J58">
        <f t="shared" ref="J58" si="67">I58-F59</f>
        <v>4.8373333333333335</v>
      </c>
      <c r="K58">
        <f t="shared" si="52"/>
        <v>3.4979819782211347E-2</v>
      </c>
      <c r="N58">
        <f t="shared" si="53"/>
        <v>2.5077565800341417</v>
      </c>
      <c r="P58" s="90">
        <v>0</v>
      </c>
      <c r="Q58" s="90">
        <v>1.0365075681466078</v>
      </c>
      <c r="R58" s="90">
        <v>0.96575600652256599</v>
      </c>
      <c r="S58" s="90">
        <v>0.9977364253308344</v>
      </c>
      <c r="T58" s="90">
        <v>1.0468567092232641</v>
      </c>
      <c r="U58" s="90">
        <v>1.0338765878387635</v>
      </c>
      <c r="V58" s="90">
        <v>1.0483089671720827</v>
      </c>
      <c r="W58" s="101">
        <f>AVERAGE(Q58:S58)</f>
        <v>1.0000000000000027</v>
      </c>
      <c r="X58" s="101">
        <f>STDEV(Q58:S58)</f>
        <v>3.5430053567166997E-2</v>
      </c>
      <c r="Y58" s="101">
        <f>X58/SQRT(3)</f>
        <v>2.0455550964406728E-2</v>
      </c>
      <c r="Z58" s="101">
        <f>AVERAGE(T58:V58)</f>
        <v>1.0430140880780367</v>
      </c>
      <c r="AA58" s="101">
        <f>STDEV(T58:V58)</f>
        <v>7.9465524760436966E-3</v>
      </c>
      <c r="AB58" s="101">
        <f>AA58/SQRT(3)</f>
        <v>4.5879442111733159E-3</v>
      </c>
      <c r="AC58" s="94"/>
    </row>
    <row r="59" spans="3:29">
      <c r="C59" t="s">
        <v>378</v>
      </c>
      <c r="D59" t="s">
        <v>23</v>
      </c>
      <c r="E59">
        <v>16.341999999999999</v>
      </c>
      <c r="F59">
        <f t="shared" ref="F59" si="68">AVERAGE(E57:E59)</f>
        <v>16.120666666666665</v>
      </c>
      <c r="G59" t="s">
        <v>378</v>
      </c>
      <c r="H59" t="s">
        <v>386</v>
      </c>
      <c r="I59">
        <v>20.643000000000001</v>
      </c>
      <c r="J59">
        <f t="shared" ref="J59" si="69">I59-F59</f>
        <v>4.5223333333333358</v>
      </c>
      <c r="K59">
        <f t="shared" si="52"/>
        <v>4.3515303439351144E-2</v>
      </c>
      <c r="N59">
        <f t="shared" si="53"/>
        <v>3.1196784091983809</v>
      </c>
      <c r="P59" s="90">
        <v>0.5</v>
      </c>
      <c r="Q59" s="90">
        <v>1.73555527909025</v>
      </c>
      <c r="R59" s="90">
        <v>1.7488388033755911</v>
      </c>
      <c r="S59" s="90">
        <v>1.6986602382127709</v>
      </c>
      <c r="T59" s="90">
        <v>1.0681127779860022</v>
      </c>
      <c r="U59" s="90">
        <v>1.0747968392263638</v>
      </c>
      <c r="V59" s="90">
        <v>1.1057796937556812</v>
      </c>
      <c r="W59" s="101">
        <f t="shared" ref="W59:W63" si="70">AVERAGE(Q59:S59)</f>
        <v>1.7276847735595373</v>
      </c>
      <c r="X59" s="101">
        <f t="shared" ref="X59:X63" si="71">STDEV(Q59:S59)</f>
        <v>2.5998668108800901E-2</v>
      </c>
      <c r="Y59" s="101">
        <f t="shared" ref="Y59:Y63" si="72">X59/SQRT(3)</f>
        <v>1.5010338031187939E-2</v>
      </c>
      <c r="Z59" s="101">
        <f t="shared" ref="Z59:Z63" si="73">AVERAGE(T59:V59)</f>
        <v>1.0828964369893492</v>
      </c>
      <c r="AA59" s="101">
        <f t="shared" ref="AA59:AA63" si="74">STDEV(T59:V59)</f>
        <v>2.009730700471183E-2</v>
      </c>
      <c r="AB59" s="101">
        <f t="shared" ref="AB59:AB63" si="75">AA59/SQRT(3)</f>
        <v>1.1603185609156927E-2</v>
      </c>
      <c r="AC59" s="94" t="s">
        <v>666</v>
      </c>
    </row>
    <row r="60" spans="3:29">
      <c r="C60" t="s">
        <v>379</v>
      </c>
      <c r="D60" t="s">
        <v>23</v>
      </c>
      <c r="E60">
        <v>17.021000000000001</v>
      </c>
      <c r="G60" t="s">
        <v>379</v>
      </c>
      <c r="H60" t="s">
        <v>386</v>
      </c>
      <c r="I60">
        <v>21.254999999999999</v>
      </c>
      <c r="J60">
        <f t="shared" ref="J60" si="76">I60-F62</f>
        <v>4.2349999999999994</v>
      </c>
      <c r="K60">
        <f t="shared" si="52"/>
        <v>5.3105312446165669E-2</v>
      </c>
      <c r="N60">
        <f t="shared" si="53"/>
        <v>3.807200767494118</v>
      </c>
      <c r="P60" s="90">
        <v>1</v>
      </c>
      <c r="Q60" s="90">
        <v>13.294251531847797</v>
      </c>
      <c r="R60" s="90">
        <v>13.08398994254298</v>
      </c>
      <c r="S60" s="90">
        <v>12.352495716992925</v>
      </c>
      <c r="T60" s="90">
        <v>1.6927833202437998</v>
      </c>
      <c r="U60" s="90">
        <v>1.631724300429173</v>
      </c>
      <c r="V60" s="90">
        <v>1.6419353430983004</v>
      </c>
      <c r="W60" s="101">
        <f t="shared" si="70"/>
        <v>12.910245730461234</v>
      </c>
      <c r="X60" s="101">
        <f t="shared" si="71"/>
        <v>0.4943341907325155</v>
      </c>
      <c r="Y60" s="101">
        <f t="shared" si="72"/>
        <v>0.28540397808905366</v>
      </c>
      <c r="Z60" s="101">
        <f t="shared" si="73"/>
        <v>1.6554809879237578</v>
      </c>
      <c r="AA60" s="101">
        <f t="shared" si="74"/>
        <v>3.2705723436178988E-2</v>
      </c>
      <c r="AB60" s="101">
        <f t="shared" si="75"/>
        <v>1.8882658229919393E-2</v>
      </c>
      <c r="AC60" s="90"/>
    </row>
    <row r="61" spans="3:29">
      <c r="C61" t="s">
        <v>379</v>
      </c>
      <c r="D61" t="s">
        <v>23</v>
      </c>
      <c r="E61">
        <v>17.079000000000001</v>
      </c>
      <c r="G61" t="s">
        <v>379</v>
      </c>
      <c r="H61" t="s">
        <v>386</v>
      </c>
      <c r="I61">
        <v>21.35</v>
      </c>
      <c r="J61">
        <f t="shared" ref="J61" si="77">I61-F62</f>
        <v>4.3300000000000018</v>
      </c>
      <c r="K61">
        <f t="shared" si="52"/>
        <v>4.9721030234682356E-2</v>
      </c>
      <c r="N61">
        <f t="shared" si="53"/>
        <v>3.5645764190160354</v>
      </c>
      <c r="P61" s="90">
        <v>4</v>
      </c>
      <c r="Q61" s="90">
        <v>4.9396106052522786</v>
      </c>
      <c r="R61" s="90">
        <v>4.9054902224572388</v>
      </c>
      <c r="S61" s="90">
        <v>4.9498929237795801</v>
      </c>
      <c r="T61" s="90">
        <v>1.3842111046948615</v>
      </c>
      <c r="U61" s="90">
        <v>1.4439932354550435</v>
      </c>
      <c r="V61" s="90">
        <v>1.2942030513418372</v>
      </c>
      <c r="W61" s="101">
        <f t="shared" si="70"/>
        <v>4.9316645838296997</v>
      </c>
      <c r="X61" s="101">
        <f t="shared" si="71"/>
        <v>2.3243373539921699E-2</v>
      </c>
      <c r="Y61" s="101">
        <f t="shared" si="72"/>
        <v>1.3419567970148817E-2</v>
      </c>
      <c r="Z61" s="101">
        <f t="shared" si="73"/>
        <v>1.3741357971639141</v>
      </c>
      <c r="AA61" s="101">
        <f t="shared" si="74"/>
        <v>7.5401649057228431E-2</v>
      </c>
      <c r="AB61" s="101">
        <f t="shared" si="75"/>
        <v>4.3533162380532529E-2</v>
      </c>
      <c r="AC61" s="90"/>
    </row>
    <row r="62" spans="3:29">
      <c r="C62" t="s">
        <v>379</v>
      </c>
      <c r="D62" t="s">
        <v>23</v>
      </c>
      <c r="E62">
        <v>16.96</v>
      </c>
      <c r="F62">
        <f t="shared" ref="F62" si="78">AVERAGE(E60:E62)</f>
        <v>17.02</v>
      </c>
      <c r="G62" t="s">
        <v>379</v>
      </c>
      <c r="H62" t="s">
        <v>386</v>
      </c>
      <c r="I62">
        <v>21.437999999999999</v>
      </c>
      <c r="J62">
        <f t="shared" ref="J62" si="79">I62-F62</f>
        <v>4.4179999999999993</v>
      </c>
      <c r="K62">
        <f t="shared" si="52"/>
        <v>4.6778843337271635E-2</v>
      </c>
      <c r="N62">
        <f t="shared" si="53"/>
        <v>3.3536465572382985</v>
      </c>
      <c r="P62" s="90">
        <v>6</v>
      </c>
      <c r="Q62" s="90">
        <v>2.6617910364447988</v>
      </c>
      <c r="R62" s="90">
        <v>2.5077565800341417</v>
      </c>
      <c r="S62" s="90">
        <v>3.1196784091983809</v>
      </c>
      <c r="T62" s="90">
        <v>1.4074307937432164</v>
      </c>
      <c r="U62" s="90">
        <v>1.3491623685999721</v>
      </c>
      <c r="V62" s="90">
        <v>1.195872832769415</v>
      </c>
      <c r="W62" s="101">
        <f t="shared" si="70"/>
        <v>2.7630753418924403</v>
      </c>
      <c r="X62" s="101">
        <f t="shared" si="71"/>
        <v>0.31828597856241714</v>
      </c>
      <c r="Y62" s="101">
        <f t="shared" si="72"/>
        <v>0.183762495402295</v>
      </c>
      <c r="Z62" s="101">
        <f t="shared" si="73"/>
        <v>1.3174886650375344</v>
      </c>
      <c r="AA62" s="101">
        <f t="shared" si="74"/>
        <v>0.10927767537731116</v>
      </c>
      <c r="AB62" s="101">
        <f t="shared" si="75"/>
        <v>6.3091495295507144E-2</v>
      </c>
      <c r="AC62" s="90"/>
    </row>
    <row r="63" spans="3:29">
      <c r="C63" t="s">
        <v>380</v>
      </c>
      <c r="D63" t="s">
        <v>23</v>
      </c>
      <c r="E63">
        <v>16.945</v>
      </c>
      <c r="G63" t="s">
        <v>380</v>
      </c>
      <c r="H63" t="s">
        <v>386</v>
      </c>
      <c r="I63">
        <v>23.027999999999999</v>
      </c>
      <c r="J63">
        <f t="shared" ref="J63" si="80">I63-F65</f>
        <v>6.0976666666666652</v>
      </c>
      <c r="K63">
        <f t="shared" si="52"/>
        <v>1.4602238238740881E-2</v>
      </c>
      <c r="N63">
        <f t="shared" si="53"/>
        <v>1.0468567092232641</v>
      </c>
      <c r="P63" s="90">
        <v>12</v>
      </c>
      <c r="Q63" s="90">
        <v>3.807200767494118</v>
      </c>
      <c r="R63" s="90">
        <v>3.5645764190160354</v>
      </c>
      <c r="S63" s="90">
        <v>3.3536465572382985</v>
      </c>
      <c r="T63" s="90">
        <v>1.2831863057450319</v>
      </c>
      <c r="U63" s="90">
        <v>1.118628234894355</v>
      </c>
      <c r="V63" s="90">
        <v>1.1508746042631615</v>
      </c>
      <c r="W63" s="101">
        <f t="shared" si="70"/>
        <v>3.5751412479161502</v>
      </c>
      <c r="X63" s="101">
        <f t="shared" si="71"/>
        <v>0.22696159833210011</v>
      </c>
      <c r="Y63" s="101">
        <f t="shared" si="72"/>
        <v>0.13103633989274571</v>
      </c>
      <c r="Z63" s="101">
        <f t="shared" si="73"/>
        <v>1.1842297149675163</v>
      </c>
      <c r="AA63" s="101">
        <f t="shared" si="74"/>
        <v>8.7202420999069247E-2</v>
      </c>
      <c r="AB63" s="101">
        <f t="shared" si="75"/>
        <v>5.0346341237799706E-2</v>
      </c>
      <c r="AC63" s="90"/>
    </row>
    <row r="64" spans="3:29">
      <c r="C64" t="s">
        <v>380</v>
      </c>
      <c r="D64" t="s">
        <v>23</v>
      </c>
      <c r="E64">
        <v>16.945</v>
      </c>
      <c r="G64" t="s">
        <v>380</v>
      </c>
      <c r="H64" t="s">
        <v>386</v>
      </c>
      <c r="I64">
        <v>23.045999999999999</v>
      </c>
      <c r="J64">
        <f t="shared" ref="J64" si="81">I64-F65</f>
        <v>6.1156666666666659</v>
      </c>
      <c r="K64">
        <f t="shared" si="52"/>
        <v>1.4421183063611055E-2</v>
      </c>
      <c r="N64">
        <f t="shared" si="53"/>
        <v>1.0338765878387635</v>
      </c>
    </row>
    <row r="65" spans="3:14">
      <c r="C65" t="s">
        <v>380</v>
      </c>
      <c r="D65" t="s">
        <v>23</v>
      </c>
      <c r="E65">
        <v>16.901</v>
      </c>
      <c r="F65">
        <f t="shared" ref="F65" si="82">AVERAGE(E63:E65)</f>
        <v>16.930333333333333</v>
      </c>
      <c r="G65" t="s">
        <v>380</v>
      </c>
      <c r="H65" t="s">
        <v>386</v>
      </c>
      <c r="I65">
        <v>23.026</v>
      </c>
      <c r="J65">
        <f t="shared" ref="J65" si="83">I65-F65</f>
        <v>6.0956666666666663</v>
      </c>
      <c r="K65">
        <f t="shared" si="52"/>
        <v>1.462249527713584E-2</v>
      </c>
      <c r="N65">
        <f t="shared" si="53"/>
        <v>1.0483089671720827</v>
      </c>
    </row>
    <row r="66" spans="3:14">
      <c r="C66" t="s">
        <v>381</v>
      </c>
      <c r="D66" t="s">
        <v>23</v>
      </c>
      <c r="E66">
        <v>16.216999999999999</v>
      </c>
      <c r="G66" t="s">
        <v>381</v>
      </c>
      <c r="H66" t="s">
        <v>386</v>
      </c>
      <c r="I66">
        <v>22.513000000000002</v>
      </c>
      <c r="J66">
        <f t="shared" ref="J66" si="84">I66-F68</f>
        <v>6.0686666666666689</v>
      </c>
      <c r="K66">
        <f t="shared" si="52"/>
        <v>1.4898731710443286E-2</v>
      </c>
      <c r="N66">
        <f t="shared" si="53"/>
        <v>1.0681127779860022</v>
      </c>
    </row>
    <row r="67" spans="3:14">
      <c r="C67" t="s">
        <v>381</v>
      </c>
      <c r="D67" t="s">
        <v>23</v>
      </c>
      <c r="E67">
        <v>16.440000000000001</v>
      </c>
      <c r="G67" t="s">
        <v>381</v>
      </c>
      <c r="H67" t="s">
        <v>386</v>
      </c>
      <c r="I67">
        <v>22.504000000000001</v>
      </c>
      <c r="J67">
        <f t="shared" ref="J67" si="85">I67-F68</f>
        <v>6.0596666666666685</v>
      </c>
      <c r="K67">
        <f t="shared" si="52"/>
        <v>1.4991965343828044E-2</v>
      </c>
      <c r="N67">
        <f t="shared" si="53"/>
        <v>1.0747968392263638</v>
      </c>
    </row>
    <row r="68" spans="3:14">
      <c r="C68" t="s">
        <v>381</v>
      </c>
      <c r="D68" t="s">
        <v>23</v>
      </c>
      <c r="E68">
        <v>16.675999999999998</v>
      </c>
      <c r="F68">
        <f t="shared" ref="F68" si="86">AVERAGE(E66:E68)</f>
        <v>16.444333333333333</v>
      </c>
      <c r="G68" t="s">
        <v>381</v>
      </c>
      <c r="H68" t="s">
        <v>386</v>
      </c>
      <c r="I68">
        <v>22.463000000000001</v>
      </c>
      <c r="J68">
        <f t="shared" ref="J68" si="87">I68-F68</f>
        <v>6.0186666666666682</v>
      </c>
      <c r="K68">
        <f t="shared" si="52"/>
        <v>1.542413434954519E-2</v>
      </c>
      <c r="N68">
        <f t="shared" si="53"/>
        <v>1.1057796937556812</v>
      </c>
    </row>
    <row r="69" spans="3:14">
      <c r="C69" t="s">
        <v>382</v>
      </c>
      <c r="D69" t="s">
        <v>23</v>
      </c>
      <c r="E69">
        <v>16.437000000000001</v>
      </c>
      <c r="G69" t="s">
        <v>382</v>
      </c>
      <c r="H69" t="s">
        <v>386</v>
      </c>
      <c r="I69">
        <v>21.855</v>
      </c>
      <c r="J69">
        <f t="shared" ref="J69" si="88">I69-F71</f>
        <v>5.4043333333333337</v>
      </c>
      <c r="K69">
        <f t="shared" si="52"/>
        <v>2.361204270936668E-2</v>
      </c>
      <c r="N69">
        <f t="shared" si="53"/>
        <v>1.6927833202437998</v>
      </c>
    </row>
    <row r="70" spans="3:14">
      <c r="C70" t="s">
        <v>382</v>
      </c>
      <c r="D70" t="s">
        <v>23</v>
      </c>
      <c r="E70">
        <v>16.442</v>
      </c>
      <c r="G70" t="s">
        <v>382</v>
      </c>
      <c r="H70" t="s">
        <v>386</v>
      </c>
      <c r="I70">
        <v>21.908000000000001</v>
      </c>
      <c r="J70">
        <f t="shared" ref="J70" si="89">I70-F71</f>
        <v>5.4573333333333345</v>
      </c>
      <c r="K70">
        <f t="shared" si="52"/>
        <v>2.2760351789203669E-2</v>
      </c>
      <c r="N70">
        <f t="shared" si="53"/>
        <v>1.631724300429173</v>
      </c>
    </row>
    <row r="71" spans="3:14">
      <c r="C71" t="s">
        <v>382</v>
      </c>
      <c r="D71" t="s">
        <v>23</v>
      </c>
      <c r="E71">
        <v>16.472999999999999</v>
      </c>
      <c r="F71">
        <f t="shared" ref="F71" si="90">AVERAGE(E69:E71)</f>
        <v>16.450666666666667</v>
      </c>
      <c r="G71" t="s">
        <v>382</v>
      </c>
      <c r="H71" t="s">
        <v>386</v>
      </c>
      <c r="I71">
        <v>21.899000000000001</v>
      </c>
      <c r="J71">
        <f t="shared" ref="J71" si="91">I71-F71</f>
        <v>5.4483333333333341</v>
      </c>
      <c r="K71">
        <f t="shared" si="52"/>
        <v>2.290278205344793E-2</v>
      </c>
      <c r="N71">
        <f t="shared" si="53"/>
        <v>1.6419353430983004</v>
      </c>
    </row>
    <row r="72" spans="3:14">
      <c r="C72" t="s">
        <v>383</v>
      </c>
      <c r="D72" t="s">
        <v>23</v>
      </c>
      <c r="E72">
        <v>16.53</v>
      </c>
      <c r="G72" t="s">
        <v>383</v>
      </c>
      <c r="H72" t="s">
        <v>386</v>
      </c>
      <c r="I72">
        <v>22.163</v>
      </c>
      <c r="J72">
        <f t="shared" ref="J72" si="92">I72-F74</f>
        <v>5.6946666666666665</v>
      </c>
      <c r="K72">
        <f t="shared" si="52"/>
        <v>1.9307876756564122E-2</v>
      </c>
      <c r="N72">
        <f t="shared" si="53"/>
        <v>1.3842111046948615</v>
      </c>
    </row>
    <row r="73" spans="3:14">
      <c r="C73" t="s">
        <v>383</v>
      </c>
      <c r="D73" t="s">
        <v>23</v>
      </c>
      <c r="E73">
        <v>16.343</v>
      </c>
      <c r="G73" t="s">
        <v>383</v>
      </c>
      <c r="H73" t="s">
        <v>386</v>
      </c>
      <c r="I73">
        <v>22.102</v>
      </c>
      <c r="J73">
        <f t="shared" ref="J73" si="93">I73-F74</f>
        <v>5.6336666666666666</v>
      </c>
      <c r="K73">
        <f t="shared" si="52"/>
        <v>2.014175679772796E-2</v>
      </c>
      <c r="N73">
        <f t="shared" si="53"/>
        <v>1.4439932354550435</v>
      </c>
    </row>
    <row r="74" spans="3:14">
      <c r="C74" t="s">
        <v>383</v>
      </c>
      <c r="D74" t="s">
        <v>23</v>
      </c>
      <c r="E74">
        <v>16.532</v>
      </c>
      <c r="F74">
        <f t="shared" ref="F74" si="94">AVERAGE(E72:E74)</f>
        <v>16.468333333333334</v>
      </c>
      <c r="G74" t="s">
        <v>383</v>
      </c>
      <c r="H74" t="s">
        <v>386</v>
      </c>
      <c r="I74">
        <v>22.26</v>
      </c>
      <c r="J74">
        <f t="shared" ref="J74" si="95">I74-F74</f>
        <v>5.7916666666666679</v>
      </c>
      <c r="K74">
        <f t="shared" si="52"/>
        <v>1.8052385888629247E-2</v>
      </c>
      <c r="N74">
        <f t="shared" si="53"/>
        <v>1.2942030513418372</v>
      </c>
    </row>
    <row r="75" spans="3:14">
      <c r="C75" t="s">
        <v>384</v>
      </c>
      <c r="D75" t="s">
        <v>23</v>
      </c>
      <c r="E75">
        <v>16.614999999999998</v>
      </c>
      <c r="G75" t="s">
        <v>384</v>
      </c>
      <c r="H75" t="s">
        <v>386</v>
      </c>
      <c r="I75">
        <v>22.29</v>
      </c>
      <c r="J75">
        <f t="shared" ref="J75" si="96">I75-F77</f>
        <v>5.6706666666666656</v>
      </c>
      <c r="K75">
        <f t="shared" si="52"/>
        <v>1.9631760081116851E-2</v>
      </c>
      <c r="N75">
        <f t="shared" si="53"/>
        <v>1.4074307937432164</v>
      </c>
    </row>
    <row r="76" spans="3:14">
      <c r="C76" t="s">
        <v>384</v>
      </c>
      <c r="D76" t="s">
        <v>23</v>
      </c>
      <c r="E76">
        <v>16.629000000000001</v>
      </c>
      <c r="G76" t="s">
        <v>384</v>
      </c>
      <c r="H76" t="s">
        <v>386</v>
      </c>
      <c r="I76">
        <v>22.350999999999999</v>
      </c>
      <c r="J76">
        <f t="shared" ref="J76" si="97">I76-F77</f>
        <v>5.7316666666666656</v>
      </c>
      <c r="K76">
        <f t="shared" si="52"/>
        <v>1.8818994190387451E-2</v>
      </c>
      <c r="N76">
        <f t="shared" si="53"/>
        <v>1.3491623685999721</v>
      </c>
    </row>
    <row r="77" spans="3:14">
      <c r="C77" t="s">
        <v>384</v>
      </c>
      <c r="D77" t="s">
        <v>23</v>
      </c>
      <c r="E77">
        <v>16.614000000000001</v>
      </c>
      <c r="F77">
        <f t="shared" ref="F77" si="98">AVERAGE(E75:E77)</f>
        <v>16.619333333333334</v>
      </c>
      <c r="G77" t="s">
        <v>384</v>
      </c>
      <c r="H77" t="s">
        <v>386</v>
      </c>
      <c r="I77">
        <v>22.524999999999999</v>
      </c>
      <c r="J77">
        <f t="shared" ref="J77" si="99">I77-F77</f>
        <v>5.9056666666666651</v>
      </c>
      <c r="K77">
        <f t="shared" si="52"/>
        <v>1.6680812047613965E-2</v>
      </c>
      <c r="N77">
        <f t="shared" si="53"/>
        <v>1.195872832769415</v>
      </c>
    </row>
    <row r="78" spans="3:14">
      <c r="C78" t="s">
        <v>385</v>
      </c>
      <c r="D78" t="s">
        <v>23</v>
      </c>
      <c r="E78">
        <v>16.478000000000002</v>
      </c>
      <c r="G78" t="s">
        <v>385</v>
      </c>
      <c r="H78" t="s">
        <v>386</v>
      </c>
      <c r="I78">
        <v>22.353999999999999</v>
      </c>
      <c r="J78">
        <f t="shared" ref="J78" si="100">I78-F80</f>
        <v>5.8039999999999985</v>
      </c>
      <c r="K78">
        <f t="shared" si="52"/>
        <v>1.7898717155933719E-2</v>
      </c>
      <c r="N78">
        <f t="shared" si="53"/>
        <v>1.2831863057450319</v>
      </c>
    </row>
    <row r="79" spans="3:14">
      <c r="C79" t="s">
        <v>385</v>
      </c>
      <c r="D79" t="s">
        <v>23</v>
      </c>
      <c r="E79">
        <v>16.623999999999999</v>
      </c>
      <c r="G79" t="s">
        <v>385</v>
      </c>
      <c r="H79" t="s">
        <v>386</v>
      </c>
      <c r="I79">
        <v>22.552</v>
      </c>
      <c r="J79">
        <f t="shared" ref="J79" si="101">I79-F80</f>
        <v>6.0019999999999989</v>
      </c>
      <c r="K79">
        <f t="shared" si="52"/>
        <v>1.5603354157828587E-2</v>
      </c>
      <c r="N79">
        <f t="shared" si="53"/>
        <v>1.118628234894355</v>
      </c>
    </row>
    <row r="80" spans="3:14">
      <c r="C80" t="s">
        <v>385</v>
      </c>
      <c r="D80" t="s">
        <v>23</v>
      </c>
      <c r="E80">
        <v>16.547999999999998</v>
      </c>
      <c r="F80">
        <f t="shared" ref="F80" si="102">AVERAGE(E78:E80)</f>
        <v>16.55</v>
      </c>
      <c r="G80" t="s">
        <v>385</v>
      </c>
      <c r="H80" t="s">
        <v>386</v>
      </c>
      <c r="I80">
        <v>22.510999999999999</v>
      </c>
      <c r="J80">
        <f t="shared" ref="J80" si="103">I80-F80</f>
        <v>5.9609999999999985</v>
      </c>
      <c r="K80">
        <f t="shared" si="52"/>
        <v>1.6053147490296328E-2</v>
      </c>
      <c r="N80">
        <f t="shared" si="53"/>
        <v>1.1508746042631615</v>
      </c>
    </row>
  </sheetData>
  <phoneticPr fontId="2" type="noConversion"/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397B5A-ECF7-F847-8872-C40322A80EA0}">
  <dimension ref="A1"/>
  <sheetViews>
    <sheetView workbookViewId="0">
      <selection activeCell="A2" sqref="A2"/>
    </sheetView>
  </sheetViews>
  <sheetFormatPr baseColWidth="10" defaultRowHeight="16"/>
  <sheetData>
    <row r="1" spans="1:1">
      <c r="A1" t="s">
        <v>387</v>
      </c>
    </row>
  </sheetData>
  <phoneticPr fontId="2" type="noConversion"/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829C08-A7B8-E048-8B6D-6068F896D184}">
  <dimension ref="A1:X37"/>
  <sheetViews>
    <sheetView topLeftCell="N10" zoomScale="125" workbookViewId="0">
      <selection activeCell="X21" sqref="X21"/>
    </sheetView>
  </sheetViews>
  <sheetFormatPr baseColWidth="10" defaultRowHeight="16"/>
  <sheetData>
    <row r="1" spans="1:20">
      <c r="A1" t="s">
        <v>388</v>
      </c>
    </row>
    <row r="2" spans="1:20">
      <c r="C2" s="11"/>
      <c r="D2" s="11"/>
      <c r="E2" s="11"/>
      <c r="F2" s="11"/>
      <c r="G2" s="11"/>
      <c r="H2" s="11"/>
      <c r="I2" s="11"/>
      <c r="J2" s="11"/>
      <c r="K2" s="11"/>
      <c r="L2" s="11"/>
      <c r="M2" s="11"/>
      <c r="N2" s="11"/>
    </row>
    <row r="3" spans="1:20">
      <c r="C3" s="11"/>
      <c r="D3" s="11"/>
      <c r="E3" s="11"/>
      <c r="F3" s="11"/>
      <c r="G3" s="11"/>
      <c r="H3" s="11"/>
      <c r="I3" s="11"/>
      <c r="J3" s="11"/>
      <c r="K3" s="11"/>
      <c r="L3" s="11"/>
      <c r="M3" s="11"/>
      <c r="N3" s="11"/>
    </row>
    <row r="4" spans="1:20">
      <c r="C4" s="11"/>
      <c r="D4" s="11"/>
      <c r="E4" s="11"/>
      <c r="F4" s="11"/>
      <c r="G4" s="11"/>
      <c r="H4" s="11"/>
      <c r="I4" s="11"/>
      <c r="J4" s="11"/>
      <c r="K4" s="11"/>
      <c r="L4" s="11"/>
      <c r="M4" s="11"/>
      <c r="N4" s="11"/>
    </row>
    <row r="5" spans="1:20">
      <c r="C5" s="11" t="s">
        <v>128</v>
      </c>
      <c r="D5" s="11" t="s">
        <v>112</v>
      </c>
      <c r="E5" s="11">
        <v>17.395</v>
      </c>
      <c r="F5" s="11"/>
      <c r="G5" s="11" t="s">
        <v>128</v>
      </c>
      <c r="H5" s="11" t="s">
        <v>532</v>
      </c>
      <c r="I5" s="11">
        <v>27.509</v>
      </c>
      <c r="J5" s="11">
        <f t="shared" ref="J5" si="0">I5-F7</f>
        <v>9.9606666666666683</v>
      </c>
      <c r="K5" s="11">
        <f t="shared" ref="K5:K7" si="1">POWER(2,-J5)</f>
        <v>1.0035535614661196E-3</v>
      </c>
      <c r="L5" s="11"/>
      <c r="M5" s="11"/>
      <c r="N5" s="11">
        <f t="shared" ref="N5:N7" si="2">K5/0.00103889630687973</f>
        <v>0.96598048796634906</v>
      </c>
    </row>
    <row r="6" spans="1:20">
      <c r="C6" s="11" t="s">
        <v>128</v>
      </c>
      <c r="D6" s="11" t="s">
        <v>112</v>
      </c>
      <c r="E6" s="11">
        <v>17.524000000000001</v>
      </c>
      <c r="F6" s="11"/>
      <c r="G6" s="11" t="s">
        <v>128</v>
      </c>
      <c r="H6" s="11" t="s">
        <v>532</v>
      </c>
      <c r="I6" s="11">
        <v>27.422000000000001</v>
      </c>
      <c r="J6" s="11">
        <f t="shared" ref="J6" si="3">I6-F7</f>
        <v>9.8736666666666686</v>
      </c>
      <c r="K6" s="11">
        <f t="shared" si="1"/>
        <v>1.0659336344513871E-3</v>
      </c>
      <c r="L6" s="11"/>
      <c r="M6" s="11"/>
      <c r="N6" s="11">
        <f t="shared" si="2"/>
        <v>1.0260250492687399</v>
      </c>
    </row>
    <row r="7" spans="1:20">
      <c r="C7" s="11" t="s">
        <v>128</v>
      </c>
      <c r="D7" s="11" t="s">
        <v>112</v>
      </c>
      <c r="E7" s="11">
        <v>17.725999999999999</v>
      </c>
      <c r="F7" s="11">
        <f t="shared" ref="F7" si="4">AVERAGE(E5:E7)</f>
        <v>17.548333333333332</v>
      </c>
      <c r="G7" s="11" t="s">
        <v>128</v>
      </c>
      <c r="H7" s="11" t="s">
        <v>532</v>
      </c>
      <c r="I7" s="11">
        <v>27.565000000000001</v>
      </c>
      <c r="J7" s="11">
        <f t="shared" ref="J7" si="5">I7-F7</f>
        <v>10.016666666666669</v>
      </c>
      <c r="K7" s="11">
        <f t="shared" si="1"/>
        <v>9.6534572300087363E-4</v>
      </c>
      <c r="L7" s="11"/>
      <c r="M7" s="11"/>
      <c r="N7" s="11">
        <f t="shared" si="2"/>
        <v>0.9292031520453069</v>
      </c>
    </row>
    <row r="8" spans="1:20">
      <c r="C8" s="49" t="s">
        <v>134</v>
      </c>
      <c r="D8" s="49" t="s">
        <v>112</v>
      </c>
      <c r="E8" s="49">
        <v>17.827000000000002</v>
      </c>
      <c r="F8" s="49"/>
      <c r="G8" s="49" t="s">
        <v>134</v>
      </c>
      <c r="H8" s="49" t="s">
        <v>532</v>
      </c>
      <c r="I8" s="50" t="s">
        <v>115</v>
      </c>
      <c r="J8" s="49" t="e">
        <f t="shared" ref="J8" si="6">I8-F10</f>
        <v>#VALUE!</v>
      </c>
      <c r="K8" s="49" t="e">
        <f t="shared" ref="K8:K16" si="7">POWER(2,-J8)</f>
        <v>#VALUE!</v>
      </c>
      <c r="L8" s="49"/>
      <c r="M8" s="49"/>
      <c r="N8" s="49" t="e">
        <f t="shared" ref="N8:N16" si="8">K8/0.00103889630687973</f>
        <v>#VALUE!</v>
      </c>
    </row>
    <row r="9" spans="1:20">
      <c r="C9" s="49" t="s">
        <v>134</v>
      </c>
      <c r="D9" s="49" t="s">
        <v>112</v>
      </c>
      <c r="E9" s="49">
        <v>18.03</v>
      </c>
      <c r="F9" s="49"/>
      <c r="G9" s="49" t="s">
        <v>134</v>
      </c>
      <c r="H9" s="49" t="s">
        <v>532</v>
      </c>
      <c r="I9" s="50" t="s">
        <v>115</v>
      </c>
      <c r="J9" s="49" t="e">
        <f t="shared" ref="J9" si="9">I9-F10</f>
        <v>#VALUE!</v>
      </c>
      <c r="K9" s="49" t="e">
        <f t="shared" si="7"/>
        <v>#VALUE!</v>
      </c>
      <c r="L9" s="49"/>
      <c r="M9" s="49"/>
      <c r="N9" s="49" t="e">
        <f t="shared" si="8"/>
        <v>#VALUE!</v>
      </c>
      <c r="R9">
        <v>0</v>
      </c>
    </row>
    <row r="10" spans="1:20">
      <c r="C10" s="49" t="s">
        <v>134</v>
      </c>
      <c r="D10" s="49" t="s">
        <v>112</v>
      </c>
      <c r="E10" s="49">
        <v>18.018000000000001</v>
      </c>
      <c r="F10" s="49">
        <f t="shared" ref="F10" si="10">AVERAGE(E8:E10)</f>
        <v>17.958333333333332</v>
      </c>
      <c r="G10" s="49" t="s">
        <v>134</v>
      </c>
      <c r="H10" s="49" t="s">
        <v>532</v>
      </c>
      <c r="I10" s="50" t="s">
        <v>115</v>
      </c>
      <c r="J10" s="49" t="e">
        <f t="shared" ref="J10" si="11">I10-F10</f>
        <v>#VALUE!</v>
      </c>
      <c r="K10" s="49" t="e">
        <f t="shared" si="7"/>
        <v>#VALUE!</v>
      </c>
      <c r="L10" s="49"/>
      <c r="M10" s="49"/>
      <c r="N10" s="49" t="e">
        <f t="shared" si="8"/>
        <v>#VALUE!</v>
      </c>
      <c r="Q10" t="s">
        <v>97</v>
      </c>
      <c r="R10">
        <v>0.98673365384224643</v>
      </c>
      <c r="S10">
        <v>1.0693488830284712</v>
      </c>
      <c r="T10">
        <v>0.94391746312929636</v>
      </c>
    </row>
    <row r="11" spans="1:20">
      <c r="C11" s="50" t="s">
        <v>140</v>
      </c>
      <c r="D11" s="50" t="s">
        <v>112</v>
      </c>
      <c r="E11" s="50">
        <v>18.466999999999999</v>
      </c>
      <c r="F11" s="50"/>
      <c r="G11" s="50" t="s">
        <v>140</v>
      </c>
      <c r="H11" s="50" t="s">
        <v>532</v>
      </c>
      <c r="I11" s="50">
        <v>27.42</v>
      </c>
      <c r="J11" s="50">
        <f t="shared" ref="J11" si="12">I11-F13</f>
        <v>8.9975000000000023</v>
      </c>
      <c r="K11" s="50">
        <f t="shared" si="7"/>
        <v>1.9565124418646379E-3</v>
      </c>
      <c r="L11" s="50"/>
      <c r="M11" s="50"/>
      <c r="N11" s="50">
        <f t="shared" si="8"/>
        <v>1.8832605611438924</v>
      </c>
      <c r="Q11" t="s">
        <v>150</v>
      </c>
      <c r="R11">
        <v>1.9239428608707112</v>
      </c>
      <c r="S11">
        <v>1.8922017939743419</v>
      </c>
      <c r="T11">
        <v>1.9931716419364094</v>
      </c>
    </row>
    <row r="12" spans="1:20">
      <c r="C12" s="50" t="s">
        <v>140</v>
      </c>
      <c r="D12" s="50" t="s">
        <v>112</v>
      </c>
      <c r="E12" s="50" t="s">
        <v>115</v>
      </c>
      <c r="F12" s="50"/>
      <c r="G12" s="50" t="s">
        <v>140</v>
      </c>
      <c r="H12" s="50" t="s">
        <v>532</v>
      </c>
      <c r="I12" s="50">
        <v>27.891999999999999</v>
      </c>
      <c r="J12" s="50">
        <f t="shared" ref="J12" si="13">I12-F13</f>
        <v>9.4695</v>
      </c>
      <c r="K12" s="50">
        <f t="shared" si="7"/>
        <v>1.4105758886478856E-3</v>
      </c>
      <c r="L12" s="50"/>
      <c r="M12" s="50"/>
      <c r="N12" s="50">
        <f t="shared" si="8"/>
        <v>1.3577638877978837</v>
      </c>
      <c r="Q12" t="s">
        <v>151</v>
      </c>
      <c r="R12">
        <v>1.6122393652458997</v>
      </c>
      <c r="S12">
        <v>1.2915163909627023</v>
      </c>
      <c r="T12">
        <v>1.2951022034374029</v>
      </c>
    </row>
    <row r="13" spans="1:20">
      <c r="C13" s="50" t="s">
        <v>140</v>
      </c>
      <c r="D13" s="50" t="s">
        <v>112</v>
      </c>
      <c r="E13" s="50">
        <v>18.378</v>
      </c>
      <c r="F13" s="50">
        <f t="shared" ref="F13" si="14">AVERAGE(E11:E13)</f>
        <v>18.422499999999999</v>
      </c>
      <c r="G13" s="50" t="s">
        <v>140</v>
      </c>
      <c r="H13" s="50" t="s">
        <v>532</v>
      </c>
      <c r="I13" s="50">
        <v>27.956</v>
      </c>
      <c r="J13" s="50">
        <f t="shared" ref="J13" si="15">I13-F13</f>
        <v>9.5335000000000001</v>
      </c>
      <c r="K13" s="50">
        <f t="shared" si="7"/>
        <v>1.3493684026882624E-3</v>
      </c>
      <c r="L13" s="50"/>
      <c r="M13" s="50"/>
      <c r="N13" s="50">
        <f t="shared" si="8"/>
        <v>1.2988480118299957</v>
      </c>
    </row>
    <row r="14" spans="1:20">
      <c r="C14" s="51" t="s">
        <v>146</v>
      </c>
      <c r="D14" s="51" t="s">
        <v>112</v>
      </c>
      <c r="E14" s="51">
        <v>17.786999999999999</v>
      </c>
      <c r="F14" s="51"/>
      <c r="G14" s="51" t="s">
        <v>146</v>
      </c>
      <c r="H14" s="51" t="s">
        <v>532</v>
      </c>
      <c r="I14" s="51">
        <v>27.960999999999999</v>
      </c>
      <c r="J14" s="51">
        <f t="shared" ref="J14" si="16">I14-F16</f>
        <v>10.222333333333331</v>
      </c>
      <c r="K14" s="51">
        <f t="shared" si="7"/>
        <v>8.3708785506822155E-4</v>
      </c>
      <c r="L14" s="51"/>
      <c r="M14" s="51"/>
      <c r="N14" s="51">
        <f t="shared" si="8"/>
        <v>0.80574726228681137</v>
      </c>
    </row>
    <row r="15" spans="1:20">
      <c r="C15" s="51" t="s">
        <v>146</v>
      </c>
      <c r="D15" s="51" t="s">
        <v>112</v>
      </c>
      <c r="E15" s="51">
        <v>17.826000000000001</v>
      </c>
      <c r="F15" s="51"/>
      <c r="G15" s="51" t="s">
        <v>146</v>
      </c>
      <c r="H15" s="51" t="s">
        <v>532</v>
      </c>
      <c r="I15" s="51">
        <v>27.920999999999999</v>
      </c>
      <c r="J15" s="51">
        <f t="shared" ref="J15" si="17">I15-F16</f>
        <v>10.182333333333332</v>
      </c>
      <c r="K15" s="51">
        <f t="shared" si="7"/>
        <v>8.6062159792150744E-4</v>
      </c>
      <c r="L15" s="51"/>
      <c r="M15" s="51"/>
      <c r="N15" s="51">
        <f t="shared" si="8"/>
        <v>0.82839990114734241</v>
      </c>
    </row>
    <row r="16" spans="1:20">
      <c r="C16" s="51" t="s">
        <v>146</v>
      </c>
      <c r="D16" s="51" t="s">
        <v>112</v>
      </c>
      <c r="E16" s="51">
        <v>17.603000000000002</v>
      </c>
      <c r="F16" s="51">
        <f t="shared" ref="F16" si="18">AVERAGE(E14:E16)</f>
        <v>17.738666666666667</v>
      </c>
      <c r="G16" s="51" t="s">
        <v>146</v>
      </c>
      <c r="H16" s="51" t="s">
        <v>532</v>
      </c>
      <c r="I16" s="51">
        <v>27.553000000000001</v>
      </c>
      <c r="J16" s="51">
        <f t="shared" ref="J16" si="19">I16-F16</f>
        <v>9.8143333333333338</v>
      </c>
      <c r="K16" s="51">
        <f t="shared" si="7"/>
        <v>1.1106859527501686E-3</v>
      </c>
      <c r="L16" s="51"/>
      <c r="M16" s="51"/>
      <c r="N16" s="51">
        <f t="shared" si="8"/>
        <v>1.0691018395147203</v>
      </c>
    </row>
    <row r="17" spans="3:24">
      <c r="C17" s="51"/>
      <c r="D17" s="51"/>
      <c r="E17" s="51"/>
      <c r="F17" s="51"/>
      <c r="G17" s="51"/>
      <c r="H17" s="51"/>
      <c r="I17" s="51"/>
      <c r="J17" s="51"/>
      <c r="K17" s="51"/>
      <c r="L17" s="51"/>
      <c r="M17" s="51"/>
      <c r="N17" s="51"/>
      <c r="Q17" s="90"/>
      <c r="R17" s="90"/>
      <c r="S17" s="90"/>
      <c r="T17" s="90"/>
      <c r="U17" s="101" t="s">
        <v>663</v>
      </c>
      <c r="V17" s="101" t="s">
        <v>396</v>
      </c>
      <c r="W17" s="101" t="s">
        <v>664</v>
      </c>
      <c r="X17" s="101" t="s">
        <v>665</v>
      </c>
    </row>
    <row r="18" spans="3:24">
      <c r="C18" s="51"/>
      <c r="D18" s="51"/>
      <c r="E18" s="51"/>
      <c r="F18" s="51"/>
      <c r="G18" s="51"/>
      <c r="H18" s="51"/>
      <c r="I18" s="51"/>
      <c r="J18" s="51"/>
      <c r="K18" s="51"/>
      <c r="L18" s="51"/>
      <c r="M18" s="51"/>
      <c r="N18" s="51"/>
      <c r="P18" s="50"/>
      <c r="Q18" s="90" t="s">
        <v>97</v>
      </c>
      <c r="R18" s="90">
        <v>0.96598048796634906</v>
      </c>
      <c r="S18" s="90">
        <v>1.0260250492687399</v>
      </c>
      <c r="T18" s="90">
        <v>0.9292031520453069</v>
      </c>
      <c r="U18" s="101">
        <f>AVERAGE(R18:T18)</f>
        <v>0.97373622976013197</v>
      </c>
      <c r="V18" s="101">
        <f>STDEV(R18:T18)</f>
        <v>4.8874672311588249E-2</v>
      </c>
      <c r="W18" s="101">
        <f>V18/SQRT(3)</f>
        <v>2.8217805215650225E-2</v>
      </c>
      <c r="X18" s="90"/>
    </row>
    <row r="19" spans="3:24">
      <c r="C19" s="51"/>
      <c r="D19" s="51"/>
      <c r="E19" s="51"/>
      <c r="F19" s="51"/>
      <c r="G19" s="51"/>
      <c r="H19" s="51"/>
      <c r="I19" s="51"/>
      <c r="J19" s="51"/>
      <c r="K19" s="51"/>
      <c r="L19" s="51"/>
      <c r="M19" s="51"/>
      <c r="N19" s="51"/>
      <c r="Q19" s="90" t="s">
        <v>99</v>
      </c>
      <c r="R19" s="90">
        <v>0</v>
      </c>
      <c r="S19" s="90">
        <v>0</v>
      </c>
      <c r="T19" s="90">
        <v>0</v>
      </c>
      <c r="U19" s="101">
        <f t="shared" ref="U19:U21" si="20">AVERAGE(R19:T19)</f>
        <v>0</v>
      </c>
      <c r="V19" s="101">
        <f t="shared" ref="V19:V21" si="21">STDEV(R19:T19)</f>
        <v>0</v>
      </c>
      <c r="W19" s="101">
        <f t="shared" ref="W19:W21" si="22">V19/SQRT(3)</f>
        <v>0</v>
      </c>
      <c r="X19" s="94">
        <v>4.0000000000000002E-4</v>
      </c>
    </row>
    <row r="20" spans="3:24">
      <c r="Q20" s="90" t="s">
        <v>150</v>
      </c>
      <c r="R20" s="90">
        <v>1.8832605611438924</v>
      </c>
      <c r="S20" s="90">
        <v>1.3577638877978837</v>
      </c>
      <c r="T20" s="90">
        <v>1.2988480118299957</v>
      </c>
      <c r="U20" s="101">
        <f t="shared" si="20"/>
        <v>1.5132908202572573</v>
      </c>
      <c r="V20" s="101">
        <f t="shared" si="21"/>
        <v>0.3217545290886506</v>
      </c>
      <c r="W20" s="101">
        <f t="shared" si="22"/>
        <v>0.18576506398231371</v>
      </c>
      <c r="X20" s="94">
        <v>1.5100000000000001E-2</v>
      </c>
    </row>
    <row r="21" spans="3:24">
      <c r="Q21" s="90" t="s">
        <v>151</v>
      </c>
      <c r="R21" s="90">
        <v>0.80574726228681137</v>
      </c>
      <c r="S21" s="90">
        <v>0.82839990114734241</v>
      </c>
      <c r="T21" s="90">
        <v>1.0691018395147203</v>
      </c>
      <c r="U21" s="101">
        <f t="shared" si="20"/>
        <v>0.90108300098295802</v>
      </c>
      <c r="V21" s="101">
        <f t="shared" si="21"/>
        <v>0.1459487344515468</v>
      </c>
      <c r="W21" s="101">
        <f t="shared" si="22"/>
        <v>8.4263541123485761E-2</v>
      </c>
      <c r="X21" s="94">
        <v>0.92320000000000002</v>
      </c>
    </row>
    <row r="22" spans="3:24">
      <c r="Q22" s="90"/>
      <c r="R22" s="90"/>
      <c r="S22" s="90"/>
      <c r="T22" s="90"/>
      <c r="U22" s="101"/>
      <c r="V22" s="101"/>
      <c r="W22" s="101"/>
      <c r="X22" s="90"/>
    </row>
    <row r="23" spans="3:24">
      <c r="Q23" s="90"/>
      <c r="R23" s="90"/>
      <c r="S23" s="90"/>
      <c r="T23" s="90"/>
      <c r="U23" s="101"/>
      <c r="V23" s="101"/>
      <c r="W23" s="101"/>
      <c r="X23" s="90"/>
    </row>
    <row r="29" spans="3:24">
      <c r="C29" s="51"/>
      <c r="D29" s="51"/>
      <c r="E29" s="51"/>
      <c r="F29" s="51"/>
      <c r="G29" s="51"/>
      <c r="H29" s="51"/>
      <c r="I29" s="51"/>
      <c r="J29" s="51"/>
      <c r="K29" s="51"/>
      <c r="L29" s="51"/>
      <c r="M29" s="51"/>
      <c r="N29" s="51"/>
    </row>
    <row r="36" spans="3:14">
      <c r="C36" s="51"/>
      <c r="D36" s="51"/>
      <c r="E36" s="51"/>
      <c r="F36" s="51"/>
      <c r="G36" s="51"/>
      <c r="H36" s="51"/>
      <c r="I36" s="51"/>
      <c r="J36" s="51"/>
      <c r="K36" s="51"/>
      <c r="L36" s="51"/>
      <c r="M36" s="51"/>
      <c r="N36" s="51"/>
    </row>
    <row r="37" spans="3:14">
      <c r="C37" s="51"/>
      <c r="D37" s="51"/>
      <c r="E37" s="51"/>
      <c r="F37" s="51"/>
      <c r="G37" s="51"/>
      <c r="H37" s="51"/>
      <c r="I37" s="51"/>
      <c r="J37" s="51"/>
      <c r="K37" s="51"/>
      <c r="L37" s="51"/>
      <c r="M37" s="51"/>
      <c r="N37" s="51"/>
    </row>
  </sheetData>
  <phoneticPr fontId="2" type="noConversion"/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BC6939-08D5-1447-9818-372A9B33A82A}">
  <dimension ref="A1"/>
  <sheetViews>
    <sheetView topLeftCell="A9" zoomScale="75" workbookViewId="0">
      <selection activeCell="I43" sqref="D11:I43"/>
    </sheetView>
  </sheetViews>
  <sheetFormatPr baseColWidth="10" defaultRowHeight="16"/>
  <sheetData>
    <row r="1" spans="1:1">
      <c r="A1" t="s">
        <v>389</v>
      </c>
    </row>
  </sheetData>
  <phoneticPr fontId="2" type="noConversion"/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A4EBB3-0B05-D34D-8B99-99F0F780D7B0}">
  <dimension ref="A1"/>
  <sheetViews>
    <sheetView topLeftCell="A2" workbookViewId="0">
      <selection activeCell="I23" sqref="I23"/>
    </sheetView>
  </sheetViews>
  <sheetFormatPr baseColWidth="10" defaultRowHeight="16"/>
  <sheetData>
    <row r="1" spans="1:1">
      <c r="A1" t="s">
        <v>390</v>
      </c>
    </row>
  </sheetData>
  <phoneticPr fontId="2" type="noConversion"/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A1E867-D9AA-9F4F-9C06-FCC2AC662365}">
  <dimension ref="A1"/>
  <sheetViews>
    <sheetView topLeftCell="A6" zoomScale="82" workbookViewId="0">
      <selection activeCell="A2" sqref="A2"/>
    </sheetView>
  </sheetViews>
  <sheetFormatPr baseColWidth="10" defaultRowHeight="16"/>
  <sheetData>
    <row r="1" spans="1:1">
      <c r="A1" t="s">
        <v>391</v>
      </c>
    </row>
  </sheetData>
  <phoneticPr fontId="2" type="noConversion"/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89A24C-0078-1B4E-A636-D75AD78D7550}">
  <dimension ref="A1"/>
  <sheetViews>
    <sheetView topLeftCell="A7" zoomScale="50" workbookViewId="0"/>
  </sheetViews>
  <sheetFormatPr baseColWidth="10" defaultRowHeight="16"/>
  <sheetData>
    <row r="1" spans="1:1">
      <c r="A1" t="s">
        <v>392</v>
      </c>
    </row>
  </sheetData>
  <phoneticPr fontId="2" type="noConversion"/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7283A9-180A-6B44-B999-9F60D5F39977}">
  <dimension ref="A1:AC45"/>
  <sheetViews>
    <sheetView topLeftCell="Q6" zoomScale="88" workbookViewId="0">
      <selection activeCell="Y15" sqref="Y15:AC23"/>
    </sheetView>
  </sheetViews>
  <sheetFormatPr baseColWidth="10" defaultRowHeight="16"/>
  <sheetData>
    <row r="1" spans="1:29">
      <c r="A1" t="s">
        <v>393</v>
      </c>
    </row>
    <row r="5" spans="1:29">
      <c r="F5" t="s">
        <v>394</v>
      </c>
      <c r="G5" t="s">
        <v>21</v>
      </c>
      <c r="H5" t="s">
        <v>95</v>
      </c>
      <c r="I5" t="s">
        <v>95</v>
      </c>
      <c r="J5" t="s">
        <v>95</v>
      </c>
      <c r="M5" t="s">
        <v>95</v>
      </c>
      <c r="P5" t="s">
        <v>395</v>
      </c>
    </row>
    <row r="6" spans="1:29">
      <c r="F6">
        <v>0</v>
      </c>
      <c r="G6">
        <v>1</v>
      </c>
      <c r="H6">
        <v>1</v>
      </c>
      <c r="I6">
        <v>1</v>
      </c>
      <c r="J6">
        <v>1</v>
      </c>
      <c r="L6">
        <v>0</v>
      </c>
      <c r="M6">
        <f>H6/G6</f>
        <v>1</v>
      </c>
      <c r="N6">
        <f>I6/G6</f>
        <v>1</v>
      </c>
      <c r="O6">
        <f>J6/G6</f>
        <v>1</v>
      </c>
      <c r="P6">
        <f>AVERAGE(M6:O6)</f>
        <v>1</v>
      </c>
      <c r="R6">
        <v>0</v>
      </c>
      <c r="S6">
        <v>2</v>
      </c>
      <c r="T6">
        <v>4</v>
      </c>
      <c r="U6">
        <v>6</v>
      </c>
      <c r="V6">
        <v>8</v>
      </c>
      <c r="W6">
        <v>10</v>
      </c>
    </row>
    <row r="7" spans="1:29">
      <c r="F7">
        <v>2</v>
      </c>
      <c r="G7">
        <v>0.98641928522131794</v>
      </c>
      <c r="H7">
        <v>0.87432037655782657</v>
      </c>
      <c r="I7">
        <v>0.89699642034170546</v>
      </c>
      <c r="J7">
        <v>0.93506585658092534</v>
      </c>
      <c r="L7">
        <v>2</v>
      </c>
      <c r="M7">
        <f t="shared" ref="M7:M11" si="0">H7/G7</f>
        <v>0.88635774832976799</v>
      </c>
      <c r="N7">
        <f t="shared" ref="N7:N11" si="1">I7/G7</f>
        <v>0.90934598885143536</v>
      </c>
      <c r="O7">
        <f t="shared" ref="O7:O11" si="2">J7/G7</f>
        <v>0.94793955328147228</v>
      </c>
      <c r="P7">
        <f t="shared" ref="P7:P34" si="3">AVERAGE(M7:O7)</f>
        <v>0.91454776348755862</v>
      </c>
      <c r="Q7" t="s">
        <v>109</v>
      </c>
      <c r="R7">
        <v>1</v>
      </c>
      <c r="S7">
        <v>0.91454776348755862</v>
      </c>
      <c r="T7">
        <v>0.84886696845077525</v>
      </c>
      <c r="U7">
        <v>0.84319464573564373</v>
      </c>
      <c r="V7">
        <v>0.82700986069809079</v>
      </c>
      <c r="W7">
        <v>0.72224177189657845</v>
      </c>
    </row>
    <row r="8" spans="1:29">
      <c r="F8">
        <v>4</v>
      </c>
      <c r="G8">
        <v>0.93136857852855015</v>
      </c>
      <c r="H8">
        <v>0.80740853717126027</v>
      </c>
      <c r="I8">
        <v>0.83481422410539918</v>
      </c>
      <c r="J8">
        <v>0.7296013040208551</v>
      </c>
      <c r="L8">
        <v>4</v>
      </c>
      <c r="M8">
        <f t="shared" si="0"/>
        <v>0.86690549346947932</v>
      </c>
      <c r="N8">
        <f t="shared" si="1"/>
        <v>0.89633067225040464</v>
      </c>
      <c r="O8">
        <f t="shared" si="2"/>
        <v>0.7833647396324418</v>
      </c>
      <c r="P8">
        <f t="shared" si="3"/>
        <v>0.84886696845077525</v>
      </c>
    </row>
    <row r="9" spans="1:29">
      <c r="F9">
        <v>6</v>
      </c>
      <c r="G9">
        <v>0.93132860619553615</v>
      </c>
      <c r="H9">
        <v>0.79973573380887453</v>
      </c>
      <c r="I9">
        <v>0.82604138426369556</v>
      </c>
      <c r="J9">
        <v>0.73009676442097793</v>
      </c>
      <c r="L9">
        <v>6</v>
      </c>
      <c r="M9">
        <f t="shared" si="0"/>
        <v>0.85870414426094288</v>
      </c>
      <c r="N9">
        <f t="shared" si="1"/>
        <v>0.88694943843512186</v>
      </c>
      <c r="O9">
        <f t="shared" si="2"/>
        <v>0.78393035451086657</v>
      </c>
      <c r="P9">
        <f t="shared" si="3"/>
        <v>0.84319464573564373</v>
      </c>
    </row>
    <row r="10" spans="1:29">
      <c r="F10">
        <v>8</v>
      </c>
      <c r="G10">
        <v>0.8938554676426258</v>
      </c>
      <c r="H10">
        <v>0.78486919075792261</v>
      </c>
      <c r="I10">
        <v>0.81353417719360677</v>
      </c>
      <c r="J10">
        <v>0.61927848938653485</v>
      </c>
      <c r="L10">
        <v>8</v>
      </c>
      <c r="M10">
        <f t="shared" si="0"/>
        <v>0.87807170081743324</v>
      </c>
      <c r="N10">
        <f t="shared" si="1"/>
        <v>0.91014062859530165</v>
      </c>
      <c r="O10">
        <f t="shared" si="2"/>
        <v>0.69281725268153738</v>
      </c>
      <c r="P10">
        <f t="shared" si="3"/>
        <v>0.82700986069809079</v>
      </c>
    </row>
    <row r="11" spans="1:29">
      <c r="F11">
        <v>10</v>
      </c>
      <c r="G11">
        <v>0.84415104411376019</v>
      </c>
      <c r="H11">
        <v>0.6029549728020428</v>
      </c>
      <c r="I11">
        <v>0.63694294935512052</v>
      </c>
      <c r="J11">
        <v>0.58914551539004345</v>
      </c>
      <c r="L11">
        <v>10</v>
      </c>
      <c r="M11">
        <f t="shared" si="0"/>
        <v>0.71427379851796624</v>
      </c>
      <c r="N11">
        <f t="shared" si="1"/>
        <v>0.75453670737779044</v>
      </c>
      <c r="O11">
        <f t="shared" si="2"/>
        <v>0.69791480979397869</v>
      </c>
      <c r="P11">
        <f t="shared" si="3"/>
        <v>0.72224177189657845</v>
      </c>
    </row>
    <row r="15" spans="1:29">
      <c r="Y15" s="90"/>
      <c r="Z15" s="90" t="s">
        <v>97</v>
      </c>
      <c r="AA15" s="90" t="s">
        <v>109</v>
      </c>
      <c r="AB15" s="90" t="s">
        <v>110</v>
      </c>
      <c r="AC15" s="90" t="s">
        <v>698</v>
      </c>
    </row>
    <row r="16" spans="1:29">
      <c r="Y16" s="90">
        <v>0</v>
      </c>
      <c r="Z16" s="90">
        <v>1</v>
      </c>
      <c r="AA16" s="90">
        <v>1</v>
      </c>
      <c r="AB16" s="90">
        <v>1</v>
      </c>
      <c r="AC16" s="90">
        <v>1</v>
      </c>
    </row>
    <row r="17" spans="6:29">
      <c r="Y17" s="90">
        <v>2</v>
      </c>
      <c r="Z17" s="90">
        <v>1.0526350378834717</v>
      </c>
      <c r="AA17" s="90">
        <v>0.91454776348755862</v>
      </c>
      <c r="AB17" s="90">
        <v>0.66812636242492307</v>
      </c>
      <c r="AC17" s="90">
        <v>0.98971352929247158</v>
      </c>
    </row>
    <row r="18" spans="6:29">
      <c r="F18" t="s">
        <v>235</v>
      </c>
      <c r="G18" t="s">
        <v>21</v>
      </c>
      <c r="H18" t="s">
        <v>95</v>
      </c>
      <c r="I18" t="s">
        <v>95</v>
      </c>
      <c r="J18" t="s">
        <v>95</v>
      </c>
      <c r="M18" t="s">
        <v>95</v>
      </c>
      <c r="Y18" s="90">
        <v>4</v>
      </c>
      <c r="Z18" s="90">
        <v>0.94909415439111811</v>
      </c>
      <c r="AA18" s="90">
        <v>0.84886696845077525</v>
      </c>
      <c r="AB18" s="90">
        <v>0.72889847568600585</v>
      </c>
      <c r="AC18" s="90">
        <v>0.84569470819013803</v>
      </c>
    </row>
    <row r="19" spans="6:29">
      <c r="F19">
        <v>0</v>
      </c>
      <c r="G19">
        <v>1</v>
      </c>
      <c r="H19">
        <v>1</v>
      </c>
      <c r="I19">
        <v>1</v>
      </c>
      <c r="J19">
        <v>1</v>
      </c>
      <c r="L19">
        <v>0</v>
      </c>
      <c r="M19">
        <f>H19/G19</f>
        <v>1</v>
      </c>
      <c r="N19">
        <f>I19/G19</f>
        <v>1</v>
      </c>
      <c r="O19">
        <f>J19/G19</f>
        <v>1</v>
      </c>
      <c r="P19">
        <f t="shared" si="3"/>
        <v>1</v>
      </c>
      <c r="R19">
        <v>0</v>
      </c>
      <c r="S19">
        <v>2</v>
      </c>
      <c r="T19">
        <v>4</v>
      </c>
      <c r="U19">
        <v>6</v>
      </c>
      <c r="V19">
        <v>8</v>
      </c>
      <c r="W19">
        <v>10</v>
      </c>
      <c r="Y19" s="90">
        <v>6</v>
      </c>
      <c r="Z19" s="90">
        <v>0.63736456035986888</v>
      </c>
      <c r="AA19" s="90">
        <v>0.84319464573564373</v>
      </c>
      <c r="AB19" s="90">
        <v>0.4650481512627242</v>
      </c>
      <c r="AC19" s="90">
        <v>0.80345271547909769</v>
      </c>
    </row>
    <row r="20" spans="6:29">
      <c r="F20">
        <v>2</v>
      </c>
      <c r="G20">
        <v>0.83759145267863389</v>
      </c>
      <c r="H20">
        <v>0.92080215625795492</v>
      </c>
      <c r="I20">
        <v>0.85138499614841268</v>
      </c>
      <c r="J20">
        <v>0.87284717915736965</v>
      </c>
      <c r="L20">
        <v>2</v>
      </c>
      <c r="M20">
        <f t="shared" ref="M20:M24" si="4">H20/G20</f>
        <v>1.0993452157531116</v>
      </c>
      <c r="N20">
        <f t="shared" ref="N20:N24" si="5">I20/G20</f>
        <v>1.0164681043791299</v>
      </c>
      <c r="O20">
        <f t="shared" ref="O20:O24" si="6">J20/G20</f>
        <v>1.042091793518173</v>
      </c>
      <c r="P20">
        <f t="shared" si="3"/>
        <v>1.0526350378834717</v>
      </c>
      <c r="Q20" t="s">
        <v>97</v>
      </c>
      <c r="R20">
        <v>1</v>
      </c>
      <c r="S20">
        <v>1.0526350378834717</v>
      </c>
      <c r="T20">
        <v>0.94909415439111811</v>
      </c>
      <c r="U20">
        <v>0.63736456035986888</v>
      </c>
      <c r="V20">
        <v>0.68423547072599755</v>
      </c>
      <c r="W20">
        <v>0.53777287650719119</v>
      </c>
      <c r="Y20" s="90">
        <v>8</v>
      </c>
      <c r="Z20" s="90">
        <v>0.68423547072599755</v>
      </c>
      <c r="AA20" s="90">
        <v>0.82700986069809079</v>
      </c>
      <c r="AB20" s="90">
        <v>0.17542886056854201</v>
      </c>
      <c r="AC20" s="90">
        <v>0.73351965241443562</v>
      </c>
    </row>
    <row r="21" spans="6:29">
      <c r="F21">
        <v>4</v>
      </c>
      <c r="G21">
        <v>0.75372891736580028</v>
      </c>
      <c r="H21">
        <v>0.78783567876056548</v>
      </c>
      <c r="I21">
        <v>0.66002132189911422</v>
      </c>
      <c r="J21">
        <v>0.69822212774260162</v>
      </c>
      <c r="L21">
        <v>4</v>
      </c>
      <c r="M21">
        <f t="shared" si="4"/>
        <v>1.0452507003631553</v>
      </c>
      <c r="N21">
        <f t="shared" si="5"/>
        <v>0.87567467121444165</v>
      </c>
      <c r="O21">
        <f t="shared" si="6"/>
        <v>0.9263570915957573</v>
      </c>
      <c r="P21">
        <f t="shared" si="3"/>
        <v>0.94909415439111811</v>
      </c>
      <c r="Y21" s="90">
        <v>10</v>
      </c>
      <c r="Z21" s="90">
        <v>0.53777287650719119</v>
      </c>
      <c r="AA21" s="90">
        <v>0.72224177189657845</v>
      </c>
      <c r="AB21" s="90">
        <v>0.14084602498723284</v>
      </c>
      <c r="AC21" s="90">
        <v>0.69801524348205468</v>
      </c>
    </row>
    <row r="22" spans="6:29">
      <c r="F22">
        <v>6</v>
      </c>
      <c r="G22">
        <v>0.82427455949049289</v>
      </c>
      <c r="H22">
        <v>0.55568893694024357</v>
      </c>
      <c r="I22">
        <v>0.49342369569154521</v>
      </c>
      <c r="J22">
        <v>0.5269775440446588</v>
      </c>
      <c r="L22">
        <v>6</v>
      </c>
      <c r="M22">
        <f t="shared" si="4"/>
        <v>0.67415514714384783</v>
      </c>
      <c r="N22">
        <f t="shared" si="5"/>
        <v>0.59861570396706676</v>
      </c>
      <c r="O22">
        <f t="shared" si="6"/>
        <v>0.63932282996869194</v>
      </c>
      <c r="P22">
        <f t="shared" si="3"/>
        <v>0.63736456035986888</v>
      </c>
      <c r="Y22" s="90"/>
      <c r="Z22" s="90"/>
      <c r="AA22" s="90"/>
      <c r="AB22" s="90"/>
      <c r="AC22" s="90"/>
    </row>
    <row r="23" spans="6:29">
      <c r="F23">
        <v>8</v>
      </c>
      <c r="G23">
        <v>0.76459359466351906</v>
      </c>
      <c r="H23">
        <v>0.58805219580008161</v>
      </c>
      <c r="I23">
        <v>0.46942273463847989</v>
      </c>
      <c r="J23">
        <v>0.51201124403746523</v>
      </c>
      <c r="L23">
        <v>8</v>
      </c>
      <c r="M23">
        <f t="shared" si="4"/>
        <v>0.76910426650758246</v>
      </c>
      <c r="N23">
        <f t="shared" si="5"/>
        <v>0.61395065027331619</v>
      </c>
      <c r="O23">
        <f t="shared" si="6"/>
        <v>0.66965149539709423</v>
      </c>
      <c r="P23">
        <f t="shared" si="3"/>
        <v>0.68423547072599755</v>
      </c>
      <c r="Y23" s="90" t="s">
        <v>665</v>
      </c>
      <c r="Z23" s="90"/>
      <c r="AA23" s="94">
        <v>1.0699999999999999E-2</v>
      </c>
      <c r="AB23" s="94" t="s">
        <v>666</v>
      </c>
      <c r="AC23" s="94">
        <v>9.1499999999999998E-2</v>
      </c>
    </row>
    <row r="24" spans="6:29">
      <c r="F24">
        <v>10</v>
      </c>
      <c r="G24">
        <v>0.91194406206277856</v>
      </c>
      <c r="H24">
        <v>0.58937725463616375</v>
      </c>
      <c r="I24">
        <v>0.41322293175557367</v>
      </c>
      <c r="J24">
        <v>0.46865615801572147</v>
      </c>
      <c r="L24">
        <v>10</v>
      </c>
      <c r="M24">
        <f t="shared" si="4"/>
        <v>0.64628663001875086</v>
      </c>
      <c r="N24">
        <f t="shared" si="5"/>
        <v>0.4531231124208222</v>
      </c>
      <c r="O24">
        <f t="shared" si="6"/>
        <v>0.51390888708200066</v>
      </c>
      <c r="P24">
        <f t="shared" si="3"/>
        <v>0.53777287650719119</v>
      </c>
    </row>
    <row r="28" spans="6:29">
      <c r="F28" t="s">
        <v>396</v>
      </c>
      <c r="G28" t="s">
        <v>21</v>
      </c>
      <c r="H28" t="s">
        <v>95</v>
      </c>
      <c r="I28" t="s">
        <v>95</v>
      </c>
      <c r="J28" t="s">
        <v>95</v>
      </c>
      <c r="M28" t="s">
        <v>95</v>
      </c>
    </row>
    <row r="29" spans="6:29">
      <c r="F29">
        <v>0</v>
      </c>
      <c r="G29">
        <v>1</v>
      </c>
      <c r="H29">
        <v>1</v>
      </c>
      <c r="I29">
        <v>1</v>
      </c>
      <c r="J29">
        <v>1</v>
      </c>
      <c r="L29">
        <v>0</v>
      </c>
      <c r="M29">
        <f>H29/G29</f>
        <v>1</v>
      </c>
      <c r="N29">
        <f>I29/G29</f>
        <v>1</v>
      </c>
      <c r="O29">
        <f>J29/G29</f>
        <v>1</v>
      </c>
      <c r="P29">
        <f t="shared" si="3"/>
        <v>1</v>
      </c>
      <c r="R29">
        <v>0</v>
      </c>
      <c r="S29">
        <v>2</v>
      </c>
      <c r="T29">
        <v>4</v>
      </c>
      <c r="U29">
        <v>6</v>
      </c>
      <c r="V29">
        <v>8</v>
      </c>
      <c r="W29">
        <v>10</v>
      </c>
    </row>
    <row r="30" spans="6:29">
      <c r="F30">
        <v>2</v>
      </c>
      <c r="G30">
        <v>0.83441129600770725</v>
      </c>
      <c r="H30">
        <v>0.55297554400267257</v>
      </c>
      <c r="I30">
        <v>0.575726707236067</v>
      </c>
      <c r="J30">
        <v>0.54377430066494603</v>
      </c>
      <c r="L30">
        <v>2</v>
      </c>
      <c r="M30">
        <f t="shared" ref="M30:M34" si="7">H30/G30</f>
        <v>0.66271339643700711</v>
      </c>
      <c r="N30">
        <f t="shared" ref="N30:N34" si="8">I30/G30</f>
        <v>0.68997952207822122</v>
      </c>
      <c r="O30">
        <f t="shared" ref="O30:O34" si="9">J30/G30</f>
        <v>0.651686168759541</v>
      </c>
      <c r="P30">
        <f t="shared" si="3"/>
        <v>0.66812636242492307</v>
      </c>
      <c r="Q30" t="s">
        <v>396</v>
      </c>
      <c r="R30">
        <v>1</v>
      </c>
      <c r="S30">
        <v>0.66812636242492307</v>
      </c>
      <c r="T30">
        <v>0.72889847568600585</v>
      </c>
      <c r="U30">
        <v>0.4650481512627242</v>
      </c>
      <c r="V30">
        <v>0.17542886056854201</v>
      </c>
      <c r="W30">
        <v>0.14084602498723284</v>
      </c>
    </row>
    <row r="31" spans="6:29">
      <c r="F31">
        <v>4</v>
      </c>
      <c r="G31">
        <v>1.0027406389911986</v>
      </c>
      <c r="H31">
        <v>0.71819760861458015</v>
      </c>
      <c r="I31">
        <v>0.75996531685438329</v>
      </c>
      <c r="J31">
        <v>0.71452544433832521</v>
      </c>
      <c r="L31">
        <v>4</v>
      </c>
      <c r="M31">
        <f t="shared" si="7"/>
        <v>0.71623466795672974</v>
      </c>
      <c r="N31">
        <f t="shared" si="8"/>
        <v>0.75788821885083069</v>
      </c>
      <c r="O31">
        <f t="shared" si="9"/>
        <v>0.71257254025045735</v>
      </c>
      <c r="P31">
        <f t="shared" si="3"/>
        <v>0.72889847568600585</v>
      </c>
    </row>
    <row r="32" spans="6:29">
      <c r="F32">
        <v>6</v>
      </c>
      <c r="G32">
        <v>1.1197611417908271</v>
      </c>
      <c r="H32">
        <v>0.50772288766748352</v>
      </c>
      <c r="I32">
        <v>0.5520873913027845</v>
      </c>
      <c r="J32">
        <v>0.50241826756671593</v>
      </c>
      <c r="L32">
        <v>6</v>
      </c>
      <c r="M32">
        <f t="shared" si="7"/>
        <v>0.45342070618336106</v>
      </c>
      <c r="N32">
        <f t="shared" si="8"/>
        <v>0.49304031967017048</v>
      </c>
      <c r="O32">
        <f t="shared" si="9"/>
        <v>0.44868342793464105</v>
      </c>
      <c r="P32">
        <f t="shared" si="3"/>
        <v>0.4650481512627242</v>
      </c>
    </row>
    <row r="33" spans="6:23">
      <c r="F33">
        <v>8</v>
      </c>
      <c r="G33">
        <v>1.0403434589353353</v>
      </c>
      <c r="H33">
        <v>0.1516786627442871</v>
      </c>
      <c r="I33">
        <v>0.25368161772278625</v>
      </c>
      <c r="J33">
        <v>0.14215852233581161</v>
      </c>
      <c r="L33">
        <v>8</v>
      </c>
      <c r="M33">
        <f t="shared" si="7"/>
        <v>0.14579671880622166</v>
      </c>
      <c r="N33">
        <f t="shared" si="8"/>
        <v>0.24384410316031443</v>
      </c>
      <c r="O33">
        <f t="shared" si="9"/>
        <v>0.13664575973908993</v>
      </c>
      <c r="P33">
        <f t="shared" si="3"/>
        <v>0.17542886056854201</v>
      </c>
    </row>
    <row r="34" spans="6:23">
      <c r="F34">
        <v>10</v>
      </c>
      <c r="G34">
        <v>1.1759681896564049</v>
      </c>
      <c r="H34">
        <v>0.14064978192861347</v>
      </c>
      <c r="I34">
        <v>0.22983228268006101</v>
      </c>
      <c r="J34">
        <v>0.12640927046493641</v>
      </c>
      <c r="L34">
        <v>10</v>
      </c>
      <c r="M34">
        <f t="shared" si="7"/>
        <v>0.11960338992648142</v>
      </c>
      <c r="N34">
        <f t="shared" si="8"/>
        <v>0.19544090112438631</v>
      </c>
      <c r="O34">
        <f t="shared" si="9"/>
        <v>0.10749378391083074</v>
      </c>
      <c r="P34">
        <f t="shared" si="3"/>
        <v>0.14084602498723284</v>
      </c>
    </row>
    <row r="39" spans="6:23">
      <c r="F39" t="s">
        <v>638</v>
      </c>
      <c r="G39" t="s">
        <v>21</v>
      </c>
      <c r="H39" t="s">
        <v>95</v>
      </c>
      <c r="I39" t="s">
        <v>95</v>
      </c>
      <c r="J39" t="s">
        <v>95</v>
      </c>
      <c r="M39" t="s">
        <v>95</v>
      </c>
      <c r="P39" t="s">
        <v>395</v>
      </c>
    </row>
    <row r="40" spans="6:23">
      <c r="F40">
        <v>0</v>
      </c>
      <c r="G40">
        <v>1</v>
      </c>
      <c r="H40">
        <v>1</v>
      </c>
      <c r="I40">
        <v>1</v>
      </c>
      <c r="J40">
        <v>1</v>
      </c>
      <c r="L40">
        <v>0</v>
      </c>
      <c r="M40">
        <f>H40/G40</f>
        <v>1</v>
      </c>
      <c r="N40">
        <f>I40/G40</f>
        <v>1</v>
      </c>
      <c r="O40">
        <f>J40/G40</f>
        <v>1</v>
      </c>
      <c r="P40">
        <f>AVERAGE(M40:O40)</f>
        <v>1</v>
      </c>
    </row>
    <row r="41" spans="6:23">
      <c r="F41">
        <v>2</v>
      </c>
      <c r="G41">
        <v>0.73486139227602043</v>
      </c>
      <c r="H41">
        <v>0.73289133182789268</v>
      </c>
      <c r="I41">
        <v>0.72803006212814692</v>
      </c>
      <c r="J41">
        <v>0.72098539231479897</v>
      </c>
      <c r="L41">
        <v>2</v>
      </c>
      <c r="M41">
        <f t="shared" ref="M41:M45" si="10">H41/G41</f>
        <v>0.99731914008704958</v>
      </c>
      <c r="N41">
        <f t="shared" ref="N41:N45" si="11">I41/G41</f>
        <v>0.99070392019545961</v>
      </c>
      <c r="O41">
        <f t="shared" ref="O41:O45" si="12">J41/G41</f>
        <v>0.98111752759490523</v>
      </c>
      <c r="P41">
        <f t="shared" ref="P41:P45" si="13">AVERAGE(M41:O41)</f>
        <v>0.98971352929247158</v>
      </c>
    </row>
    <row r="42" spans="6:23">
      <c r="F42">
        <v>4</v>
      </c>
      <c r="G42">
        <v>0.79148275505620491</v>
      </c>
      <c r="H42">
        <v>0.66112842522242976</v>
      </c>
      <c r="I42">
        <v>0.66513619294368731</v>
      </c>
      <c r="J42">
        <v>0.68179371455823412</v>
      </c>
      <c r="L42">
        <v>4</v>
      </c>
      <c r="M42">
        <f t="shared" si="10"/>
        <v>0.83530363864400503</v>
      </c>
      <c r="N42">
        <f t="shared" si="11"/>
        <v>0.84036725840786586</v>
      </c>
      <c r="O42">
        <f t="shared" si="12"/>
        <v>0.86141322751854332</v>
      </c>
      <c r="P42">
        <f t="shared" si="13"/>
        <v>0.84569470819013803</v>
      </c>
      <c r="R42">
        <v>0</v>
      </c>
      <c r="S42">
        <v>2</v>
      </c>
      <c r="T42">
        <v>4</v>
      </c>
      <c r="U42">
        <v>6</v>
      </c>
      <c r="V42">
        <v>8</v>
      </c>
      <c r="W42">
        <v>10</v>
      </c>
    </row>
    <row r="43" spans="6:23">
      <c r="F43">
        <v>6</v>
      </c>
      <c r="G43">
        <v>0.89426044599502064</v>
      </c>
      <c r="H43">
        <v>0.71290544582761817</v>
      </c>
      <c r="I43">
        <v>0.71858736735675477</v>
      </c>
      <c r="J43">
        <v>0.72399513785637193</v>
      </c>
      <c r="L43">
        <v>6</v>
      </c>
      <c r="M43">
        <f t="shared" si="10"/>
        <v>0.7972011386843646</v>
      </c>
      <c r="N43">
        <f t="shared" si="11"/>
        <v>0.80355490458621492</v>
      </c>
      <c r="O43">
        <f t="shared" si="12"/>
        <v>0.80960210316671355</v>
      </c>
      <c r="P43">
        <f t="shared" si="13"/>
        <v>0.80345271547909769</v>
      </c>
      <c r="Q43" t="s">
        <v>638</v>
      </c>
      <c r="R43">
        <v>1</v>
      </c>
      <c r="S43">
        <v>0.98971352929247158</v>
      </c>
      <c r="T43">
        <v>0.84569470819013803</v>
      </c>
      <c r="U43">
        <v>0.80345271547909769</v>
      </c>
      <c r="V43">
        <v>0.73351965241443562</v>
      </c>
      <c r="W43">
        <v>0.69801524348205468</v>
      </c>
    </row>
    <row r="44" spans="6:23">
      <c r="F44">
        <v>8</v>
      </c>
      <c r="G44">
        <v>1.0049175937549881</v>
      </c>
      <c r="H44">
        <v>0.73586506032293897</v>
      </c>
      <c r="I44">
        <v>0.747296471866434</v>
      </c>
      <c r="J44">
        <v>0.7282188800395567</v>
      </c>
      <c r="L44">
        <v>8</v>
      </c>
      <c r="M44">
        <f t="shared" si="10"/>
        <v>0.73226408304117363</v>
      </c>
      <c r="N44">
        <f t="shared" si="11"/>
        <v>0.74363955463659093</v>
      </c>
      <c r="O44">
        <f t="shared" si="12"/>
        <v>0.7246553195655423</v>
      </c>
      <c r="P44">
        <f t="shared" si="13"/>
        <v>0.73351965241443562</v>
      </c>
    </row>
    <row r="45" spans="6:23">
      <c r="F45">
        <v>10</v>
      </c>
      <c r="G45">
        <v>0.7766594773514035</v>
      </c>
      <c r="H45">
        <v>0.54201918395752746</v>
      </c>
      <c r="I45">
        <v>0.55155365198894479</v>
      </c>
      <c r="J45">
        <v>0.53278762661178347</v>
      </c>
      <c r="L45">
        <v>10</v>
      </c>
      <c r="M45">
        <f t="shared" si="10"/>
        <v>0.69788523769251343</v>
      </c>
      <c r="N45">
        <f t="shared" si="11"/>
        <v>0.71016149042547716</v>
      </c>
      <c r="O45">
        <f t="shared" si="12"/>
        <v>0.68599900232817346</v>
      </c>
      <c r="P45">
        <f t="shared" si="13"/>
        <v>0.69801524348205468</v>
      </c>
    </row>
  </sheetData>
  <phoneticPr fontId="2" type="noConversion"/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3527D2-B53C-BF42-B889-52DCCBB7CC2F}">
  <dimension ref="A1"/>
  <sheetViews>
    <sheetView topLeftCell="A5" zoomScale="83" workbookViewId="0">
      <selection activeCell="J9" sqref="J9"/>
    </sheetView>
  </sheetViews>
  <sheetFormatPr baseColWidth="10" defaultRowHeight="16"/>
  <sheetData>
    <row r="1" spans="1:1">
      <c r="A1" t="s">
        <v>397</v>
      </c>
    </row>
  </sheetData>
  <phoneticPr fontId="2" type="noConversion"/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1DDD19-4D20-9146-B46A-89628FFFDE9D}">
  <dimension ref="A1"/>
  <sheetViews>
    <sheetView topLeftCell="A3" workbookViewId="0">
      <selection activeCell="A2" sqref="A2"/>
    </sheetView>
  </sheetViews>
  <sheetFormatPr baseColWidth="10" defaultRowHeight="16"/>
  <sheetData>
    <row r="1" spans="1:1">
      <c r="A1" s="34" t="s">
        <v>398</v>
      </c>
    </row>
  </sheetData>
  <phoneticPr fontId="2" type="noConversion"/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255AD8-1078-F641-86D6-A84A136A9EE5}">
  <dimension ref="A1:AC43"/>
  <sheetViews>
    <sheetView topLeftCell="N3" zoomScale="85" workbookViewId="0">
      <selection activeCell="W12" sqref="W12:AC14"/>
    </sheetView>
  </sheetViews>
  <sheetFormatPr baseColWidth="10" defaultRowHeight="16"/>
  <sheetData>
    <row r="1" spans="1:29">
      <c r="A1" s="34" t="s">
        <v>614</v>
      </c>
    </row>
    <row r="5" spans="1:29">
      <c r="C5" t="s">
        <v>615</v>
      </c>
      <c r="D5" t="s">
        <v>616</v>
      </c>
      <c r="E5">
        <f>LOG(100,2)</f>
        <v>6.6438561897747253</v>
      </c>
    </row>
    <row r="7" spans="1:29">
      <c r="F7" t="s">
        <v>617</v>
      </c>
      <c r="I7" t="s">
        <v>618</v>
      </c>
      <c r="J7" t="s">
        <v>619</v>
      </c>
      <c r="M7" t="s">
        <v>620</v>
      </c>
    </row>
    <row r="8" spans="1:29">
      <c r="C8" t="s">
        <v>621</v>
      </c>
      <c r="D8" t="s">
        <v>152</v>
      </c>
      <c r="E8">
        <v>26.850999999999999</v>
      </c>
      <c r="F8">
        <f>E8-6.64385619</f>
        <v>20.207143809999998</v>
      </c>
    </row>
    <row r="9" spans="1:29">
      <c r="C9" t="s">
        <v>621</v>
      </c>
      <c r="D9" t="s">
        <v>152</v>
      </c>
      <c r="E9">
        <v>26.939</v>
      </c>
      <c r="F9">
        <f>E9-6.64385619</f>
        <v>20.295143809999999</v>
      </c>
    </row>
    <row r="10" spans="1:29">
      <c r="C10" t="s">
        <v>621</v>
      </c>
      <c r="D10" t="s">
        <v>622</v>
      </c>
      <c r="E10">
        <v>26.905000000000001</v>
      </c>
      <c r="F10">
        <f>E10-6.64385619</f>
        <v>20.26114381</v>
      </c>
      <c r="G10">
        <f t="shared" ref="G10" si="0">AVERAGE(F8:F10)</f>
        <v>20.254477143333332</v>
      </c>
      <c r="H10">
        <v>20.254477143333332</v>
      </c>
    </row>
    <row r="11" spans="1:29">
      <c r="C11" t="s">
        <v>623</v>
      </c>
      <c r="D11" t="s">
        <v>622</v>
      </c>
      <c r="E11">
        <v>33.872999999999998</v>
      </c>
      <c r="I11">
        <f>20.25447714-E11</f>
        <v>-13.618522859999999</v>
      </c>
      <c r="J11">
        <f>100*2^I11</f>
        <v>7.9508969099957964E-3</v>
      </c>
      <c r="M11">
        <f>J11/0.008165562</f>
        <v>0.973710922774917</v>
      </c>
    </row>
    <row r="12" spans="1:29">
      <c r="C12" t="s">
        <v>623</v>
      </c>
      <c r="D12" t="s">
        <v>622</v>
      </c>
      <c r="E12">
        <v>33.677999999999997</v>
      </c>
      <c r="I12">
        <f t="shared" ref="I12:I13" si="1">20.25447714-E12</f>
        <v>-13.423522859999999</v>
      </c>
      <c r="J12">
        <f t="shared" ref="J12:J43" si="2">100*2^I12</f>
        <v>9.1015837913016265E-3</v>
      </c>
      <c r="M12">
        <f t="shared" ref="M12:M16" si="3">J12/0.008165562</f>
        <v>1.114630418739289</v>
      </c>
      <c r="O12" s="90"/>
      <c r="P12" s="90"/>
      <c r="Q12" s="90" t="s">
        <v>624</v>
      </c>
      <c r="R12" s="90"/>
      <c r="S12" s="90"/>
      <c r="T12" s="90" t="s">
        <v>95</v>
      </c>
      <c r="U12" s="90"/>
      <c r="V12" s="90"/>
      <c r="W12" s="101" t="s">
        <v>663</v>
      </c>
      <c r="X12" s="101" t="s">
        <v>396</v>
      </c>
      <c r="Y12" s="101" t="s">
        <v>664</v>
      </c>
      <c r="Z12" s="101" t="s">
        <v>663</v>
      </c>
      <c r="AA12" s="101" t="s">
        <v>396</v>
      </c>
      <c r="AB12" s="101" t="s">
        <v>664</v>
      </c>
      <c r="AC12" s="90" t="s">
        <v>690</v>
      </c>
    </row>
    <row r="13" spans="1:29">
      <c r="C13" t="s">
        <v>623</v>
      </c>
      <c r="D13" t="s">
        <v>622</v>
      </c>
      <c r="E13">
        <v>33.968000000000004</v>
      </c>
      <c r="I13">
        <f t="shared" si="1"/>
        <v>-13.713522860000005</v>
      </c>
      <c r="J13">
        <f t="shared" si="2"/>
        <v>7.4442041190416952E-3</v>
      </c>
      <c r="K13">
        <f>AVERAGE(J11:J13)</f>
        <v>8.1655616067797063E-3</v>
      </c>
      <c r="L13">
        <v>8.1655616067797063E-3</v>
      </c>
      <c r="M13">
        <f t="shared" si="3"/>
        <v>0.91165851401798137</v>
      </c>
      <c r="O13" s="90" t="s">
        <v>625</v>
      </c>
      <c r="P13" s="90" t="s">
        <v>97</v>
      </c>
      <c r="Q13" s="90">
        <v>0.973710922774917</v>
      </c>
      <c r="R13" s="90">
        <v>1.114630418739289</v>
      </c>
      <c r="S13" s="90">
        <v>0.91165851401798137</v>
      </c>
      <c r="T13" s="90">
        <v>1.3393800930563347</v>
      </c>
      <c r="U13" s="90">
        <v>1.4088963029162076</v>
      </c>
      <c r="V13" s="90">
        <v>1.4985481405000896</v>
      </c>
      <c r="W13" s="101">
        <f>AVERAGE(Q13:S13)</f>
        <v>0.99999995184406243</v>
      </c>
      <c r="X13" s="101">
        <f>STDEV(Q13:S13)</f>
        <v>0.10400833290461721</v>
      </c>
      <c r="Y13" s="101">
        <f>X13/SQRT(3)</f>
        <v>6.0049239000444961E-2</v>
      </c>
      <c r="Z13" s="101">
        <f>AVERAGE(T13:V13)</f>
        <v>1.4156081788242105</v>
      </c>
      <c r="AA13" s="101">
        <f>STDEV(T13:V13)</f>
        <v>7.9796013624852696E-2</v>
      </c>
      <c r="AB13" s="101">
        <f>AA13/SQRT(3)</f>
        <v>4.6070249946567755E-2</v>
      </c>
      <c r="AC13" s="117">
        <v>0.32569999999999999</v>
      </c>
    </row>
    <row r="14" spans="1:29">
      <c r="C14" t="s">
        <v>626</v>
      </c>
      <c r="D14" t="s">
        <v>622</v>
      </c>
      <c r="E14">
        <v>33.798000000000002</v>
      </c>
      <c r="I14">
        <f>20.63947714-E14</f>
        <v>-13.158522860000001</v>
      </c>
      <c r="J14">
        <f t="shared" si="2"/>
        <v>1.0936791191417269E-2</v>
      </c>
      <c r="M14">
        <f t="shared" si="3"/>
        <v>1.3393800930563347</v>
      </c>
      <c r="O14" s="90" t="s">
        <v>625</v>
      </c>
      <c r="P14" s="90" t="s">
        <v>99</v>
      </c>
      <c r="Q14" s="90">
        <v>1.0184587487974435</v>
      </c>
      <c r="R14" s="90">
        <v>1.1292677161497762</v>
      </c>
      <c r="S14" s="90">
        <v>0.85227300808418993</v>
      </c>
      <c r="T14" s="90">
        <v>1.7992398842515216</v>
      </c>
      <c r="U14" s="90">
        <v>1.8782479754630339</v>
      </c>
      <c r="V14" s="90">
        <v>1.7744692170776926</v>
      </c>
      <c r="W14" s="101">
        <f t="shared" ref="W14:W16" si="4">AVERAGE(Q14:S14)</f>
        <v>0.9999998243438033</v>
      </c>
      <c r="X14" s="101">
        <f t="shared" ref="X14:X16" si="5">STDEV(Q14:S14)</f>
        <v>0.13941687843684269</v>
      </c>
      <c r="Y14" s="101">
        <f t="shared" ref="Y14:Y16" si="6">X14/SQRT(3)</f>
        <v>8.049237229508846E-2</v>
      </c>
      <c r="Z14" s="101">
        <f t="shared" ref="Z14:Z16" si="7">AVERAGE(T14:V14)</f>
        <v>1.8173190255974161</v>
      </c>
      <c r="AA14" s="101">
        <f t="shared" ref="AA14:AA16" si="8">STDEV(T14:V14)</f>
        <v>5.4200084749512947E-2</v>
      </c>
      <c r="AB14" s="101">
        <f t="shared" ref="AB14:AB16" si="9">AA14/SQRT(3)</f>
        <v>3.1292433520231831E-2</v>
      </c>
      <c r="AC14" s="117"/>
    </row>
    <row r="15" spans="1:29">
      <c r="C15" t="s">
        <v>626</v>
      </c>
      <c r="D15" t="s">
        <v>622</v>
      </c>
      <c r="E15">
        <v>33.725000000000001</v>
      </c>
      <c r="I15">
        <f t="shared" ref="I15:I16" si="10">20.63947714-E15</f>
        <v>-13.085522860000001</v>
      </c>
      <c r="J15">
        <f t="shared" si="2"/>
        <v>1.1504430113033074E-2</v>
      </c>
      <c r="M15">
        <f t="shared" si="3"/>
        <v>1.4088963029162076</v>
      </c>
      <c r="O15" s="90" t="s">
        <v>627</v>
      </c>
      <c r="P15" s="90" t="s">
        <v>97</v>
      </c>
      <c r="Q15" s="90">
        <v>1.0511765557642945</v>
      </c>
      <c r="R15" s="90">
        <v>1.161512761373845</v>
      </c>
      <c r="S15" s="90">
        <v>0.78731070785873747</v>
      </c>
      <c r="T15" s="90">
        <v>2.814746515395036</v>
      </c>
      <c r="U15" s="90">
        <v>2.7644740033991204</v>
      </c>
      <c r="V15" s="90">
        <v>2.8838677474557879</v>
      </c>
      <c r="W15" s="101">
        <f t="shared" si="4"/>
        <v>1.0000000083322924</v>
      </c>
      <c r="X15" s="101">
        <f t="shared" si="5"/>
        <v>0.19227863497805892</v>
      </c>
      <c r="Y15" s="101">
        <f t="shared" si="6"/>
        <v>0.11101212166399611</v>
      </c>
      <c r="Z15" s="101">
        <f t="shared" si="7"/>
        <v>2.8210294220833148</v>
      </c>
      <c r="AA15" s="101">
        <f t="shared" si="8"/>
        <v>5.9944330151461937E-2</v>
      </c>
      <c r="AB15" s="101">
        <f t="shared" si="9"/>
        <v>3.4608875149338351E-2</v>
      </c>
      <c r="AC15" s="117" t="s">
        <v>666</v>
      </c>
    </row>
    <row r="16" spans="1:29">
      <c r="C16" t="s">
        <v>626</v>
      </c>
      <c r="D16" t="s">
        <v>622</v>
      </c>
      <c r="E16">
        <v>33.636000000000003</v>
      </c>
      <c r="I16">
        <f t="shared" si="10"/>
        <v>-12.996522860000002</v>
      </c>
      <c r="J16">
        <f t="shared" si="2"/>
        <v>1.2236487751238192E-2</v>
      </c>
      <c r="M16">
        <f t="shared" si="3"/>
        <v>1.4985481405000896</v>
      </c>
      <c r="O16" s="90" t="s">
        <v>627</v>
      </c>
      <c r="P16" s="90" t="s">
        <v>99</v>
      </c>
      <c r="Q16" s="90">
        <v>0.96462290044241206</v>
      </c>
      <c r="R16" s="90">
        <v>0.94936644590332098</v>
      </c>
      <c r="S16" s="90">
        <v>1.0860096823892278</v>
      </c>
      <c r="T16" s="90">
        <v>4.8737659317982915</v>
      </c>
      <c r="U16" s="90">
        <v>3.969719212083672</v>
      </c>
      <c r="V16" s="90">
        <v>3.9973307927744504</v>
      </c>
      <c r="W16" s="101">
        <f t="shared" si="4"/>
        <v>0.99999967624498698</v>
      </c>
      <c r="X16" s="101">
        <f t="shared" si="5"/>
        <v>7.4876436339980146E-2</v>
      </c>
      <c r="Y16" s="101">
        <f t="shared" si="6"/>
        <v>4.3229930676847418E-2</v>
      </c>
      <c r="Z16" s="101">
        <f t="shared" si="7"/>
        <v>4.2802719788854713</v>
      </c>
      <c r="AA16" s="101">
        <f t="shared" si="8"/>
        <v>0.51416622210635787</v>
      </c>
      <c r="AB16" s="101">
        <f t="shared" si="9"/>
        <v>0.29685400674131862</v>
      </c>
      <c r="AC16" s="117"/>
    </row>
    <row r="17" spans="3:28">
      <c r="C17" t="s">
        <v>628</v>
      </c>
      <c r="D17" t="s">
        <v>622</v>
      </c>
      <c r="E17">
        <v>24.488</v>
      </c>
      <c r="F17">
        <f>E17-6.64385619</f>
        <v>17.844143809999998</v>
      </c>
      <c r="W17" s="101"/>
      <c r="X17" s="101"/>
      <c r="Y17" s="101"/>
      <c r="Z17" s="101"/>
      <c r="AA17" s="101"/>
      <c r="AB17" s="101"/>
    </row>
    <row r="18" spans="3:28">
      <c r="C18" t="s">
        <v>628</v>
      </c>
      <c r="D18" t="s">
        <v>622</v>
      </c>
      <c r="E18">
        <v>24.538</v>
      </c>
      <c r="F18">
        <f>E18-6.64385619</f>
        <v>17.894143809999999</v>
      </c>
      <c r="W18" s="101"/>
      <c r="X18" s="101"/>
      <c r="Y18" s="101"/>
      <c r="Z18" s="101"/>
      <c r="AA18" s="101"/>
      <c r="AB18" s="101"/>
    </row>
    <row r="19" spans="3:28">
      <c r="C19" t="s">
        <v>628</v>
      </c>
      <c r="D19" t="s">
        <v>622</v>
      </c>
      <c r="E19">
        <v>24.734000000000002</v>
      </c>
      <c r="F19">
        <f>E19-6.64385619</f>
        <v>18.090143810000001</v>
      </c>
      <c r="G19">
        <f t="shared" ref="G19:G37" si="11">AVERAGE(F17:F19)</f>
        <v>17.942810476666665</v>
      </c>
      <c r="H19">
        <v>17.942810476666665</v>
      </c>
    </row>
    <row r="20" spans="3:28">
      <c r="C20" t="s">
        <v>629</v>
      </c>
      <c r="D20" t="s">
        <v>622</v>
      </c>
      <c r="E20">
        <v>33.213999999999999</v>
      </c>
      <c r="I20">
        <f>17.94281048-E20</f>
        <v>-15.27118952</v>
      </c>
      <c r="J20">
        <f t="shared" si="2"/>
        <v>2.5287965190241598E-3</v>
      </c>
      <c r="M20">
        <f>J20/0.002405682</f>
        <v>1.0511765557642945</v>
      </c>
    </row>
    <row r="21" spans="3:28">
      <c r="C21" t="s">
        <v>629</v>
      </c>
      <c r="D21" t="s">
        <v>622</v>
      </c>
      <c r="E21">
        <v>33.069999999999993</v>
      </c>
      <c r="I21">
        <f t="shared" ref="I21:I25" si="12">17.94281048-E21</f>
        <v>-15.127189519999995</v>
      </c>
      <c r="J21">
        <f t="shared" si="2"/>
        <v>2.7942303428073541E-3</v>
      </c>
      <c r="M21">
        <f t="shared" ref="M21:M25" si="13">J21/0.002405682</f>
        <v>1.161512761373845</v>
      </c>
    </row>
    <row r="22" spans="3:28">
      <c r="C22" t="s">
        <v>629</v>
      </c>
      <c r="D22" t="s">
        <v>622</v>
      </c>
      <c r="E22">
        <v>33.631</v>
      </c>
      <c r="I22">
        <f t="shared" si="12"/>
        <v>-15.688189520000002</v>
      </c>
      <c r="J22">
        <f t="shared" si="2"/>
        <v>1.8940191983030233E-3</v>
      </c>
      <c r="K22">
        <v>2.4056820200448466E-3</v>
      </c>
      <c r="L22">
        <v>2.4056820200448466E-3</v>
      </c>
      <c r="M22">
        <f t="shared" si="13"/>
        <v>0.78731070785873747</v>
      </c>
    </row>
    <row r="23" spans="3:28">
      <c r="C23" t="s">
        <v>630</v>
      </c>
      <c r="D23" t="s">
        <v>622</v>
      </c>
      <c r="E23">
        <v>31.792999999999999</v>
      </c>
      <c r="I23">
        <f t="shared" si="12"/>
        <v>-13.850189520000001</v>
      </c>
      <c r="J23">
        <f t="shared" si="2"/>
        <v>6.7713850266485614E-3</v>
      </c>
      <c r="M23">
        <f t="shared" si="13"/>
        <v>2.814746515395036</v>
      </c>
    </row>
    <row r="24" spans="3:28">
      <c r="C24" t="s">
        <v>630</v>
      </c>
      <c r="D24" t="s">
        <v>622</v>
      </c>
      <c r="E24">
        <v>31.818999999999999</v>
      </c>
      <c r="I24">
        <f t="shared" si="12"/>
        <v>-13.87618952</v>
      </c>
      <c r="J24">
        <f t="shared" si="2"/>
        <v>6.6504453494452033E-3</v>
      </c>
      <c r="M24">
        <f t="shared" si="13"/>
        <v>2.7644740033991204</v>
      </c>
    </row>
    <row r="25" spans="3:28">
      <c r="C25" t="s">
        <v>630</v>
      </c>
      <c r="D25" t="s">
        <v>622</v>
      </c>
      <c r="E25">
        <v>31.757999999999999</v>
      </c>
      <c r="I25">
        <f t="shared" si="12"/>
        <v>-13.815189520000001</v>
      </c>
      <c r="J25">
        <f t="shared" si="2"/>
        <v>6.9376687304349349E-3</v>
      </c>
      <c r="M25">
        <f t="shared" si="13"/>
        <v>2.8838677474557879</v>
      </c>
    </row>
    <row r="26" spans="3:28">
      <c r="C26" t="s">
        <v>631</v>
      </c>
      <c r="D26" t="s">
        <v>622</v>
      </c>
      <c r="E26">
        <v>25.731000000000002</v>
      </c>
      <c r="F26">
        <f t="shared" ref="F26:F28" si="14">E26-6.64385619</f>
        <v>19.087143810000001</v>
      </c>
    </row>
    <row r="27" spans="3:28">
      <c r="C27" t="s">
        <v>631</v>
      </c>
      <c r="D27" t="s">
        <v>622</v>
      </c>
      <c r="E27">
        <v>25.797999999999998</v>
      </c>
      <c r="F27">
        <f t="shared" si="14"/>
        <v>19.154143809999997</v>
      </c>
    </row>
    <row r="28" spans="3:28">
      <c r="C28" t="s">
        <v>631</v>
      </c>
      <c r="D28" t="s">
        <v>622</v>
      </c>
      <c r="E28">
        <v>25.777999999999999</v>
      </c>
      <c r="F28">
        <f t="shared" si="14"/>
        <v>19.134143809999998</v>
      </c>
      <c r="G28">
        <f t="shared" si="11"/>
        <v>19.125143809999997</v>
      </c>
      <c r="H28">
        <v>19.125143809999997</v>
      </c>
    </row>
    <row r="29" spans="3:28">
      <c r="C29" t="s">
        <v>632</v>
      </c>
      <c r="D29" t="s">
        <v>622</v>
      </c>
      <c r="E29">
        <v>35.424999999999997</v>
      </c>
      <c r="I29">
        <f>19.12514381-E29</f>
        <v>-16.299856189999996</v>
      </c>
      <c r="J29">
        <f t="shared" si="2"/>
        <v>1.2395223494351701E-3</v>
      </c>
      <c r="M29">
        <f>J29/0.001217057</f>
        <v>1.0184587487974435</v>
      </c>
    </row>
    <row r="30" spans="3:28">
      <c r="C30" t="s">
        <v>632</v>
      </c>
      <c r="D30" t="s">
        <v>622</v>
      </c>
      <c r="E30">
        <v>35.276000000000003</v>
      </c>
      <c r="I30">
        <f t="shared" ref="I30:I31" si="15">19.12514381-E30</f>
        <v>-16.150856190000002</v>
      </c>
      <c r="J30">
        <f t="shared" si="2"/>
        <v>1.3743831788140981E-3</v>
      </c>
      <c r="M30">
        <f t="shared" ref="M30:M34" si="16">J30/0.001217057</f>
        <v>1.1292677161497762</v>
      </c>
    </row>
    <row r="31" spans="3:28">
      <c r="C31" t="s">
        <v>632</v>
      </c>
      <c r="D31" t="s">
        <v>622</v>
      </c>
      <c r="E31">
        <v>35.682000000000002</v>
      </c>
      <c r="I31">
        <f t="shared" si="15"/>
        <v>-16.556856190000001</v>
      </c>
      <c r="J31">
        <f t="shared" si="2"/>
        <v>1.0372648303999198E-3</v>
      </c>
      <c r="K31">
        <f t="shared" ref="K31" si="17">AVERAGE(J29:J31)</f>
        <v>1.217056786216396E-3</v>
      </c>
      <c r="L31">
        <v>1.217056786216396E-3</v>
      </c>
      <c r="M31">
        <f t="shared" si="16"/>
        <v>0.85227300808418993</v>
      </c>
    </row>
    <row r="32" spans="3:28">
      <c r="C32" t="s">
        <v>633</v>
      </c>
      <c r="D32" t="s">
        <v>622</v>
      </c>
      <c r="E32">
        <v>34.603999999999999</v>
      </c>
      <c r="I32">
        <f>19.12514381-E32</f>
        <v>-15.478856189999998</v>
      </c>
      <c r="J32">
        <f t="shared" si="2"/>
        <v>2.189777495807504E-3</v>
      </c>
      <c r="M32">
        <f t="shared" si="16"/>
        <v>1.7992398842515216</v>
      </c>
    </row>
    <row r="33" spans="3:13">
      <c r="C33" t="s">
        <v>633</v>
      </c>
      <c r="D33" t="s">
        <v>622</v>
      </c>
      <c r="E33">
        <v>34.542000000000002</v>
      </c>
      <c r="I33">
        <f>19.12514381-E33</f>
        <v>-15.416856190000001</v>
      </c>
      <c r="J33">
        <f t="shared" si="2"/>
        <v>2.2859348462731135E-3</v>
      </c>
      <c r="M33">
        <f t="shared" si="16"/>
        <v>1.8782479754630339</v>
      </c>
    </row>
    <row r="34" spans="3:13">
      <c r="C34" t="s">
        <v>633</v>
      </c>
      <c r="D34" t="s">
        <v>622</v>
      </c>
      <c r="E34">
        <v>34.624000000000002</v>
      </c>
      <c r="I34">
        <f>19.12514381-E34</f>
        <v>-15.498856190000001</v>
      </c>
      <c r="J34">
        <f t="shared" si="2"/>
        <v>2.1596301819289251E-3</v>
      </c>
      <c r="M34">
        <f t="shared" si="16"/>
        <v>1.7744692170776926</v>
      </c>
    </row>
    <row r="35" spans="3:13">
      <c r="C35" t="s">
        <v>634</v>
      </c>
      <c r="D35" t="s">
        <v>622</v>
      </c>
      <c r="E35">
        <v>25.081</v>
      </c>
      <c r="F35">
        <f t="shared" ref="F35:F37" si="18">E35-6.64385619</f>
        <v>18.437143809999998</v>
      </c>
    </row>
    <row r="36" spans="3:13">
      <c r="C36" t="s">
        <v>634</v>
      </c>
      <c r="D36" t="s">
        <v>622</v>
      </c>
      <c r="E36">
        <v>24.978999999999999</v>
      </c>
      <c r="F36">
        <f t="shared" si="18"/>
        <v>18.335143809999998</v>
      </c>
    </row>
    <row r="37" spans="3:13">
      <c r="C37" t="s">
        <v>634</v>
      </c>
      <c r="D37" t="s">
        <v>622</v>
      </c>
      <c r="E37">
        <v>25.073</v>
      </c>
      <c r="F37">
        <f t="shared" si="18"/>
        <v>18.429143809999999</v>
      </c>
      <c r="G37">
        <f t="shared" si="11"/>
        <v>18.400477143333333</v>
      </c>
      <c r="H37">
        <v>18.400477143333333</v>
      </c>
    </row>
    <row r="38" spans="3:13">
      <c r="C38" t="s">
        <v>635</v>
      </c>
      <c r="D38" t="s">
        <v>622</v>
      </c>
      <c r="E38">
        <v>34.988</v>
      </c>
      <c r="I38">
        <f>18.40047714-E38</f>
        <v>-16.58752286</v>
      </c>
      <c r="J38">
        <f t="shared" si="2"/>
        <v>1.0154488810667228E-3</v>
      </c>
      <c r="M38">
        <f>J38/0.00105269</f>
        <v>0.96462290044241206</v>
      </c>
    </row>
    <row r="39" spans="3:13">
      <c r="C39" t="s">
        <v>635</v>
      </c>
      <c r="D39" t="s">
        <v>622</v>
      </c>
      <c r="E39">
        <v>35.011000000000003</v>
      </c>
      <c r="I39">
        <f t="shared" ref="I39:I40" si="19">18.40047714-E39</f>
        <v>-16.610522860000003</v>
      </c>
      <c r="J39">
        <f t="shared" si="2"/>
        <v>9.99388563937967E-4</v>
      </c>
      <c r="M39">
        <f t="shared" ref="M39:M43" si="20">J39/0.00105269</f>
        <v>0.94936644590332098</v>
      </c>
    </row>
    <row r="40" spans="3:13">
      <c r="C40" t="s">
        <v>635</v>
      </c>
      <c r="D40" t="s">
        <v>622</v>
      </c>
      <c r="E40">
        <v>34.817</v>
      </c>
      <c r="I40">
        <f t="shared" si="19"/>
        <v>-16.416522860000001</v>
      </c>
      <c r="J40">
        <f t="shared" si="2"/>
        <v>1.1432315325543162E-3</v>
      </c>
      <c r="K40">
        <f t="shared" ref="K40" si="21">AVERAGE(J38:J40)</f>
        <v>1.0526896591863354E-3</v>
      </c>
      <c r="L40">
        <v>1.0526896591863354E-3</v>
      </c>
      <c r="M40">
        <f t="shared" si="20"/>
        <v>1.0860096823892278</v>
      </c>
    </row>
    <row r="41" spans="3:13">
      <c r="C41" t="s">
        <v>636</v>
      </c>
      <c r="D41" t="s">
        <v>622</v>
      </c>
      <c r="E41">
        <v>32.651000000000003</v>
      </c>
      <c r="I41">
        <f>18.40047714-E41</f>
        <v>-14.250522860000004</v>
      </c>
      <c r="J41">
        <f t="shared" si="2"/>
        <v>5.1305646587447434E-3</v>
      </c>
      <c r="M41">
        <f t="shared" si="20"/>
        <v>4.8737659317982915</v>
      </c>
    </row>
    <row r="42" spans="3:13">
      <c r="C42" t="s">
        <v>636</v>
      </c>
      <c r="D42" t="s">
        <v>622</v>
      </c>
      <c r="E42">
        <v>32.947000000000003</v>
      </c>
      <c r="I42">
        <f t="shared" ref="I42:I43" si="22">18.40047714-E42</f>
        <v>-14.546522860000003</v>
      </c>
      <c r="J42">
        <f t="shared" si="2"/>
        <v>4.1788837173683605E-3</v>
      </c>
      <c r="M42">
        <f t="shared" si="20"/>
        <v>3.969719212083672</v>
      </c>
    </row>
    <row r="43" spans="3:13">
      <c r="C43" t="s">
        <v>636</v>
      </c>
      <c r="D43" t="s">
        <v>622</v>
      </c>
      <c r="E43">
        <v>32.936999999999998</v>
      </c>
      <c r="I43">
        <f t="shared" si="22"/>
        <v>-14.536522859999998</v>
      </c>
      <c r="J43">
        <f t="shared" si="2"/>
        <v>4.2079501522457362E-3</v>
      </c>
      <c r="M43">
        <f t="shared" si="20"/>
        <v>3.9973307927744504</v>
      </c>
    </row>
  </sheetData>
  <mergeCells count="2">
    <mergeCell ref="AC13:AC14"/>
    <mergeCell ref="AC15:AC16"/>
  </mergeCells>
  <phoneticPr fontId="2" type="noConversion"/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A1625E-3065-1E42-8216-0EE407CA0C2E}">
  <dimension ref="A1:J2"/>
  <sheetViews>
    <sheetView topLeftCell="A2" zoomScale="66" workbookViewId="0">
      <selection activeCell="A2" sqref="A2"/>
    </sheetView>
  </sheetViews>
  <sheetFormatPr baseColWidth="10" defaultRowHeight="16"/>
  <sheetData>
    <row r="1" spans="1:10">
      <c r="A1" t="s">
        <v>612</v>
      </c>
    </row>
    <row r="2" spans="1:10" ht="35">
      <c r="J2" s="15"/>
    </row>
  </sheetData>
  <phoneticPr fontId="2" type="noConversion"/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2AED2A-B2BC-4C46-83DA-CFC005986C4A}">
  <dimension ref="A1"/>
  <sheetViews>
    <sheetView workbookViewId="0"/>
  </sheetViews>
  <sheetFormatPr baseColWidth="10" defaultRowHeight="16"/>
  <sheetData>
    <row r="1" spans="1:1">
      <c r="A1" t="s">
        <v>613</v>
      </c>
    </row>
  </sheetData>
  <phoneticPr fontId="2" type="noConversion"/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F73591-94B2-2E4B-9B0B-D70AF3037709}">
  <dimension ref="A1"/>
  <sheetViews>
    <sheetView workbookViewId="0">
      <selection activeCell="B12" sqref="B12"/>
    </sheetView>
  </sheetViews>
  <sheetFormatPr baseColWidth="10" defaultRowHeight="16"/>
  <cols>
    <col min="1" max="1" width="24.33203125" bestFit="1" customWidth="1"/>
  </cols>
  <sheetData>
    <row r="1" spans="1:1">
      <c r="A1" t="s">
        <v>639</v>
      </c>
    </row>
  </sheetData>
  <phoneticPr fontId="2" type="noConversion"/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0FFD57-4B99-BC46-976B-5581B6B6C1C2}">
  <dimension ref="A1"/>
  <sheetViews>
    <sheetView workbookViewId="0">
      <selection activeCell="D12" sqref="D12"/>
    </sheetView>
  </sheetViews>
  <sheetFormatPr baseColWidth="10" defaultRowHeight="16"/>
  <sheetData>
    <row r="1" spans="1:1">
      <c r="A1" t="s">
        <v>637</v>
      </c>
    </row>
  </sheetData>
  <phoneticPr fontId="2" type="noConversion"/>
  <pageMargins left="0.7" right="0.7" top="0.75" bottom="0.75" header="0.3" footer="0.3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D057A-4EB3-2F47-9D9F-8F93102C754A}">
  <dimension ref="A1:Q16"/>
  <sheetViews>
    <sheetView tabSelected="1" workbookViewId="0">
      <selection activeCell="G18" sqref="G18"/>
    </sheetView>
  </sheetViews>
  <sheetFormatPr baseColWidth="10" defaultRowHeight="16"/>
  <sheetData>
    <row r="1" spans="1:17">
      <c r="A1" t="s">
        <v>399</v>
      </c>
    </row>
    <row r="8" spans="1:17">
      <c r="E8" t="s">
        <v>186</v>
      </c>
      <c r="I8" t="s">
        <v>195</v>
      </c>
    </row>
    <row r="9" spans="1:17">
      <c r="E9" s="16">
        <v>1660000</v>
      </c>
      <c r="F9" s="16">
        <v>1200000</v>
      </c>
      <c r="G9" s="16">
        <v>1000000</v>
      </c>
      <c r="I9" s="16">
        <v>260000</v>
      </c>
      <c r="J9" s="16">
        <v>200000</v>
      </c>
    </row>
    <row r="10" spans="1:17">
      <c r="D10" t="s">
        <v>402</v>
      </c>
      <c r="E10">
        <f>LOG10(E9)</f>
        <v>6.220108088040055</v>
      </c>
      <c r="F10">
        <f t="shared" ref="F10:G10" si="0">LOG10(F9)</f>
        <v>6.0791812460476251</v>
      </c>
      <c r="G10">
        <f t="shared" si="0"/>
        <v>6</v>
      </c>
      <c r="I10">
        <f>LOG10(I9)</f>
        <v>5.4149733479708182</v>
      </c>
      <c r="J10">
        <f>LOG10(J9)</f>
        <v>5.3010299956639813</v>
      </c>
    </row>
    <row r="13" spans="1:17">
      <c r="E13" s="90"/>
      <c r="F13" s="90"/>
      <c r="G13" s="90"/>
      <c r="H13" s="90"/>
      <c r="I13" s="90"/>
      <c r="J13" s="90"/>
      <c r="K13" s="90"/>
      <c r="L13" s="90"/>
      <c r="M13" s="90"/>
      <c r="N13" s="90"/>
      <c r="O13" s="90"/>
      <c r="P13" s="90"/>
      <c r="Q13" s="90"/>
    </row>
    <row r="14" spans="1:17">
      <c r="E14" s="90" t="s">
        <v>186</v>
      </c>
      <c r="F14" s="90"/>
      <c r="G14" s="90"/>
      <c r="H14" s="90" t="s">
        <v>195</v>
      </c>
      <c r="I14" s="90"/>
      <c r="J14" s="90"/>
      <c r="K14" s="101" t="s">
        <v>663</v>
      </c>
      <c r="L14" s="101" t="s">
        <v>396</v>
      </c>
      <c r="M14" s="101" t="s">
        <v>664</v>
      </c>
      <c r="N14" s="101" t="s">
        <v>663</v>
      </c>
      <c r="O14" s="101" t="s">
        <v>396</v>
      </c>
      <c r="P14" s="101" t="s">
        <v>664</v>
      </c>
      <c r="Q14" s="90" t="s">
        <v>690</v>
      </c>
    </row>
    <row r="15" spans="1:17">
      <c r="E15" s="90">
        <v>6.220108088040055</v>
      </c>
      <c r="F15" s="90">
        <v>6.0791812460476251</v>
      </c>
      <c r="G15" s="90">
        <v>6</v>
      </c>
      <c r="H15" s="90"/>
      <c r="I15" s="90">
        <v>5.4149733479708182</v>
      </c>
      <c r="J15" s="90">
        <v>5.3010299956639813</v>
      </c>
      <c r="K15" s="101">
        <f>AVERAGE(E15:G15)</f>
        <v>6.0997631113625603</v>
      </c>
      <c r="L15" s="101">
        <f>STDEV(E15:G15)</f>
        <v>0.11148812712591301</v>
      </c>
      <c r="M15" s="101">
        <f>L15/SQRT(3)</f>
        <v>6.4367700207593095E-2</v>
      </c>
      <c r="N15" s="101">
        <f>AVERAGE(H15:J15)</f>
        <v>5.3580016718173997</v>
      </c>
      <c r="O15" s="101">
        <f>STDEV(H15:J15)</f>
        <v>8.057011708729224E-2</v>
      </c>
      <c r="P15" s="101">
        <f>O15/SQRT(2)</f>
        <v>5.6971676153418464E-2</v>
      </c>
      <c r="Q15" s="94">
        <v>4.1999999999999997E-3</v>
      </c>
    </row>
    <row r="16" spans="1:17">
      <c r="E16" s="90"/>
      <c r="F16" s="90"/>
      <c r="G16" s="90"/>
      <c r="H16" s="90"/>
      <c r="I16" s="90"/>
      <c r="J16" s="90"/>
      <c r="K16" s="101"/>
      <c r="L16" s="101"/>
      <c r="M16" s="101"/>
      <c r="N16" s="101"/>
      <c r="O16" s="101"/>
      <c r="P16" s="101"/>
      <c r="Q16" s="94"/>
    </row>
  </sheetData>
  <phoneticPr fontId="2" type="noConversion"/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EBD8AE-BA4A-2343-B528-526250835432}">
  <dimension ref="A1:R33"/>
  <sheetViews>
    <sheetView topLeftCell="A12" zoomScale="86" workbookViewId="0">
      <selection activeCell="I19" sqref="I19:O21"/>
    </sheetView>
  </sheetViews>
  <sheetFormatPr baseColWidth="10" defaultRowHeight="16"/>
  <sheetData>
    <row r="1" spans="1:18">
      <c r="A1" t="s">
        <v>400</v>
      </c>
    </row>
    <row r="4" spans="1:18">
      <c r="A4" s="86" t="s">
        <v>594</v>
      </c>
      <c r="B4" s="86" t="s">
        <v>23</v>
      </c>
      <c r="C4" s="86">
        <v>22.388000000000002</v>
      </c>
      <c r="D4" s="86" t="s">
        <v>595</v>
      </c>
      <c r="E4" s="86">
        <v>38.878999999999998</v>
      </c>
      <c r="F4" s="86" t="s">
        <v>445</v>
      </c>
      <c r="G4" s="86">
        <v>27.49</v>
      </c>
      <c r="H4" s="86"/>
      <c r="I4" s="86">
        <f>C4-E4</f>
        <v>-16.490999999999996</v>
      </c>
      <c r="J4" s="86">
        <f>C4-G4</f>
        <v>-5.1019999999999968</v>
      </c>
      <c r="K4" s="86"/>
      <c r="L4" s="86">
        <f>POWER(2,I4)</f>
        <v>1.0857112588764949E-5</v>
      </c>
      <c r="M4" s="86">
        <f>POWER(2,J4)</f>
        <v>2.9116888415774235E-2</v>
      </c>
      <c r="N4" s="86"/>
      <c r="O4" s="86">
        <f>AVERAGE(L4:L6)</f>
        <v>1.2855925520381347E-5</v>
      </c>
      <c r="P4" s="86">
        <f>L4/0.0000128559255203813</f>
        <v>0.84452205106139511</v>
      </c>
      <c r="Q4" s="86">
        <f>AVERAGE(M4:M6)</f>
        <v>3.0717270751708197E-2</v>
      </c>
      <c r="R4" s="86">
        <f>M4/0.0307172707517082</f>
        <v>0.94789959209364438</v>
      </c>
    </row>
    <row r="5" spans="1:18">
      <c r="A5" s="86" t="s">
        <v>594</v>
      </c>
      <c r="B5" s="86" t="s">
        <v>23</v>
      </c>
      <c r="C5" s="86">
        <v>22.367999999999999</v>
      </c>
      <c r="D5" s="86" t="s">
        <v>595</v>
      </c>
      <c r="E5" s="86">
        <v>38.427999999999997</v>
      </c>
      <c r="F5" s="86" t="s">
        <v>445</v>
      </c>
      <c r="G5" s="86">
        <v>27.02</v>
      </c>
      <c r="H5" s="86"/>
      <c r="I5" s="86">
        <f>C5-E5</f>
        <v>-16.059999999999999</v>
      </c>
      <c r="J5" s="86">
        <f t="shared" ref="J5:J6" si="0">C5-G5</f>
        <v>-4.652000000000001</v>
      </c>
      <c r="K5" s="86"/>
      <c r="L5" s="86">
        <f t="shared" ref="L5:M6" si="1">POWER(2,I5)</f>
        <v>1.4637208852009049E-5</v>
      </c>
      <c r="M5" s="86">
        <f t="shared" si="1"/>
        <v>3.9774841727373195E-2</v>
      </c>
      <c r="N5" s="86"/>
      <c r="O5" s="86">
        <v>1.2855925520381347E-5</v>
      </c>
      <c r="P5" s="86">
        <f t="shared" ref="P5:P6" si="2">L5/0.0000128559255203813</f>
        <v>1.1385573779813651</v>
      </c>
      <c r="Q5" s="86">
        <v>3.0717270751708197E-2</v>
      </c>
      <c r="R5" s="86">
        <f t="shared" ref="R5:R6" si="3">M5/0.0307172707517082</f>
        <v>1.2948690021609846</v>
      </c>
    </row>
    <row r="6" spans="1:18">
      <c r="A6" s="86" t="s">
        <v>594</v>
      </c>
      <c r="B6" s="86" t="s">
        <v>23</v>
      </c>
      <c r="C6" s="86">
        <v>22.161999999999999</v>
      </c>
      <c r="D6" s="86" t="s">
        <v>595</v>
      </c>
      <c r="E6" s="86">
        <v>38.384999999999998</v>
      </c>
      <c r="F6" s="86" t="s">
        <v>445</v>
      </c>
      <c r="G6" s="86">
        <v>27.588000000000001</v>
      </c>
      <c r="H6" s="86"/>
      <c r="I6" s="86">
        <f t="shared" ref="I6" si="4">C6-E6</f>
        <v>-16.222999999999999</v>
      </c>
      <c r="J6" s="86">
        <f t="shared" si="0"/>
        <v>-5.4260000000000019</v>
      </c>
      <c r="K6" s="86"/>
      <c r="L6" s="86">
        <f t="shared" si="1"/>
        <v>1.3073455120370044E-5</v>
      </c>
      <c r="M6" s="86">
        <f t="shared" si="1"/>
        <v>2.3260082111977158E-2</v>
      </c>
      <c r="N6" s="86"/>
      <c r="O6" s="86"/>
      <c r="P6" s="86">
        <f t="shared" si="2"/>
        <v>1.0169205709572509</v>
      </c>
      <c r="Q6" s="86"/>
      <c r="R6" s="86">
        <f t="shared" si="3"/>
        <v>0.75723140574537062</v>
      </c>
    </row>
    <row r="7" spans="1:18">
      <c r="A7" s="86" t="s">
        <v>597</v>
      </c>
      <c r="B7" s="86" t="s">
        <v>23</v>
      </c>
      <c r="C7" s="86">
        <v>22.695</v>
      </c>
      <c r="D7" s="86" t="s">
        <v>595</v>
      </c>
      <c r="E7" s="86">
        <v>35.905999999999999</v>
      </c>
      <c r="F7" s="86" t="s">
        <v>445</v>
      </c>
      <c r="G7" s="86">
        <v>22.349</v>
      </c>
      <c r="H7" s="86"/>
      <c r="I7" s="86">
        <f t="shared" ref="I7:I15" si="5">C7-E7</f>
        <v>-13.210999999999999</v>
      </c>
      <c r="J7" s="86">
        <f t="shared" ref="J7:J15" si="6">C7-G7</f>
        <v>0.34600000000000009</v>
      </c>
      <c r="K7" s="86"/>
      <c r="L7" s="86">
        <f t="shared" ref="L7:L15" si="7">POWER(2,I7)</f>
        <v>1.0546120451663559E-4</v>
      </c>
      <c r="M7" s="86">
        <f t="shared" ref="M7:M15" si="8">POWER(2,J7)</f>
        <v>1.2710316893056666</v>
      </c>
      <c r="N7" s="86"/>
      <c r="O7" s="86"/>
      <c r="P7" s="86">
        <f t="shared" ref="P7:P15" si="9">L7/0.0000128559255203813</f>
        <v>8.2033148332604586</v>
      </c>
      <c r="Q7" s="86"/>
      <c r="R7" s="86">
        <f t="shared" ref="R7:R15" si="10">M7/0.0307172707517082</f>
        <v>41.378405639602079</v>
      </c>
    </row>
    <row r="8" spans="1:18">
      <c r="A8" s="86" t="s">
        <v>597</v>
      </c>
      <c r="B8" s="86" t="s">
        <v>23</v>
      </c>
      <c r="C8" s="86">
        <v>22.73</v>
      </c>
      <c r="D8" s="86" t="s">
        <v>595</v>
      </c>
      <c r="E8" s="86">
        <v>35.247999999999998</v>
      </c>
      <c r="F8" s="86" t="s">
        <v>445</v>
      </c>
      <c r="G8" s="86">
        <v>22.199000000000002</v>
      </c>
      <c r="H8" s="86"/>
      <c r="I8" s="86">
        <f t="shared" si="5"/>
        <v>-12.517999999999997</v>
      </c>
      <c r="J8" s="86">
        <f t="shared" si="6"/>
        <v>0.53099999999999881</v>
      </c>
      <c r="K8" s="86"/>
      <c r="L8" s="86">
        <f t="shared" si="7"/>
        <v>1.7049298492033692E-4</v>
      </c>
      <c r="M8" s="86">
        <f t="shared" si="8"/>
        <v>1.4449303979235244</v>
      </c>
      <c r="N8" s="86"/>
      <c r="O8" s="86"/>
      <c r="P8" s="86">
        <f t="shared" si="9"/>
        <v>13.261821146213375</v>
      </c>
      <c r="Q8" s="86"/>
      <c r="R8" s="86">
        <f t="shared" si="10"/>
        <v>47.039673856544404</v>
      </c>
    </row>
    <row r="9" spans="1:18">
      <c r="A9" s="86" t="s">
        <v>597</v>
      </c>
      <c r="B9" s="86" t="s">
        <v>23</v>
      </c>
      <c r="C9" s="86">
        <v>22.747</v>
      </c>
      <c r="D9" s="86" t="s">
        <v>595</v>
      </c>
      <c r="E9" s="86">
        <v>35.293999999999997</v>
      </c>
      <c r="F9" s="86" t="s">
        <v>445</v>
      </c>
      <c r="G9" s="86">
        <v>22.125</v>
      </c>
      <c r="H9" s="86"/>
      <c r="I9" s="86">
        <f t="shared" si="5"/>
        <v>-12.546999999999997</v>
      </c>
      <c r="J9" s="86">
        <f t="shared" si="6"/>
        <v>0.62199999999999989</v>
      </c>
      <c r="K9" s="86"/>
      <c r="L9" s="86">
        <f t="shared" si="7"/>
        <v>1.6710007484031279E-4</v>
      </c>
      <c r="M9" s="86">
        <f t="shared" si="8"/>
        <v>1.5390072201608622</v>
      </c>
      <c r="N9" s="86"/>
      <c r="O9" s="86"/>
      <c r="P9" s="86">
        <f t="shared" si="9"/>
        <v>12.997903151772203</v>
      </c>
      <c r="Q9" s="86"/>
      <c r="R9" s="86">
        <f t="shared" si="10"/>
        <v>50.102342509556365</v>
      </c>
    </row>
    <row r="10" spans="1:18">
      <c r="A10" s="86" t="s">
        <v>596</v>
      </c>
      <c r="B10" s="86" t="s">
        <v>23</v>
      </c>
      <c r="C10" s="86">
        <v>23.265999999999998</v>
      </c>
      <c r="D10" s="86" t="s">
        <v>595</v>
      </c>
      <c r="E10" s="86">
        <v>37.215000000000003</v>
      </c>
      <c r="F10" s="86" t="s">
        <v>445</v>
      </c>
      <c r="G10" s="86">
        <v>28.126000000000001</v>
      </c>
      <c r="H10" s="86"/>
      <c r="I10" s="86">
        <f t="shared" si="5"/>
        <v>-13.949000000000005</v>
      </c>
      <c r="J10" s="86">
        <f t="shared" si="6"/>
        <v>-4.860000000000003</v>
      </c>
      <c r="K10" s="86"/>
      <c r="L10" s="86">
        <f t="shared" si="7"/>
        <v>6.3231369846192346E-5</v>
      </c>
      <c r="M10" s="86">
        <f t="shared" si="8"/>
        <v>3.4434534871144014E-2</v>
      </c>
      <c r="N10" s="86"/>
      <c r="O10" s="86"/>
      <c r="P10" s="86">
        <f t="shared" si="9"/>
        <v>4.9184611209786269</v>
      </c>
      <c r="Q10" s="86"/>
      <c r="R10" s="86">
        <f t="shared" si="10"/>
        <v>1.1210154427287162</v>
      </c>
    </row>
    <row r="11" spans="1:18">
      <c r="A11" s="86" t="s">
        <v>596</v>
      </c>
      <c r="B11" s="86" t="s">
        <v>23</v>
      </c>
      <c r="C11" s="86">
        <v>22.795999999999999</v>
      </c>
      <c r="D11" s="86" t="s">
        <v>595</v>
      </c>
      <c r="E11" s="86">
        <v>37.997999999999998</v>
      </c>
      <c r="F11" s="86" t="s">
        <v>445</v>
      </c>
      <c r="G11" s="86">
        <v>28.501000000000001</v>
      </c>
      <c r="H11" s="86"/>
      <c r="I11" s="86">
        <f t="shared" si="5"/>
        <v>-15.201999999999998</v>
      </c>
      <c r="J11" s="86">
        <f t="shared" si="6"/>
        <v>-5.7050000000000018</v>
      </c>
      <c r="K11" s="86"/>
      <c r="L11" s="86">
        <f t="shared" si="7"/>
        <v>2.6530290530091035E-5</v>
      </c>
      <c r="M11" s="86">
        <f t="shared" si="8"/>
        <v>1.9170077769590666E-2</v>
      </c>
      <c r="N11" s="86"/>
      <c r="O11" s="86"/>
      <c r="P11" s="86">
        <f t="shared" si="9"/>
        <v>2.0636624323959341</v>
      </c>
      <c r="Q11" s="86"/>
      <c r="R11" s="86">
        <f t="shared" si="10"/>
        <v>0.62408141415117779</v>
      </c>
    </row>
    <row r="12" spans="1:18">
      <c r="A12" s="86" t="s">
        <v>596</v>
      </c>
      <c r="B12" s="86" t="s">
        <v>23</v>
      </c>
      <c r="C12" s="86">
        <v>22.370999999999999</v>
      </c>
      <c r="D12" s="86" t="s">
        <v>595</v>
      </c>
      <c r="E12" s="86">
        <v>36.069000000000003</v>
      </c>
      <c r="F12" s="86" t="s">
        <v>445</v>
      </c>
      <c r="G12" s="86">
        <v>28.943000000000001</v>
      </c>
      <c r="H12" s="86"/>
      <c r="I12" s="86">
        <f t="shared" si="5"/>
        <v>-13.698000000000004</v>
      </c>
      <c r="J12" s="86">
        <f t="shared" si="6"/>
        <v>-6.5720000000000027</v>
      </c>
      <c r="K12" s="86"/>
      <c r="L12" s="86">
        <f t="shared" si="7"/>
        <v>7.5247334317859047E-5</v>
      </c>
      <c r="M12" s="86">
        <f t="shared" si="8"/>
        <v>1.0510681316576745E-2</v>
      </c>
      <c r="N12" s="86"/>
      <c r="O12" s="86"/>
      <c r="P12" s="86">
        <f t="shared" si="9"/>
        <v>5.8531246310166285</v>
      </c>
      <c r="Q12" s="86"/>
      <c r="R12" s="86">
        <f t="shared" si="10"/>
        <v>0.34217497386196793</v>
      </c>
    </row>
    <row r="13" spans="1:18">
      <c r="A13" s="86" t="s">
        <v>598</v>
      </c>
      <c r="B13" s="86" t="s">
        <v>23</v>
      </c>
      <c r="C13" s="86">
        <v>23.23</v>
      </c>
      <c r="D13" s="86" t="s">
        <v>595</v>
      </c>
      <c r="E13" s="86">
        <v>33.252000000000002</v>
      </c>
      <c r="F13" s="86" t="s">
        <v>445</v>
      </c>
      <c r="G13" s="86">
        <v>20.146999999999998</v>
      </c>
      <c r="H13" s="86"/>
      <c r="I13" s="86">
        <f t="shared" si="5"/>
        <v>-10.022000000000002</v>
      </c>
      <c r="J13" s="86">
        <f t="shared" si="6"/>
        <v>3.083000000000002</v>
      </c>
      <c r="K13" s="86"/>
      <c r="L13" s="86">
        <f t="shared" si="7"/>
        <v>9.6178363564018504E-4</v>
      </c>
      <c r="M13" s="86">
        <f t="shared" si="8"/>
        <v>8.4737466774710235</v>
      </c>
      <c r="N13" s="86"/>
      <c r="O13" s="86"/>
      <c r="P13" s="86">
        <f t="shared" si="9"/>
        <v>74.812477259253683</v>
      </c>
      <c r="Q13" s="86"/>
      <c r="R13" s="86">
        <f t="shared" si="10"/>
        <v>275.86261637518021</v>
      </c>
    </row>
    <row r="14" spans="1:18">
      <c r="A14" s="86" t="s">
        <v>599</v>
      </c>
      <c r="B14" s="86" t="s">
        <v>23</v>
      </c>
      <c r="C14" s="86">
        <v>23.411999999999999</v>
      </c>
      <c r="D14" s="86" t="s">
        <v>595</v>
      </c>
      <c r="E14" s="86">
        <v>34.116</v>
      </c>
      <c r="F14" s="87" t="s">
        <v>445</v>
      </c>
      <c r="G14" s="86">
        <v>20.669</v>
      </c>
      <c r="H14" s="86"/>
      <c r="I14" s="86">
        <f t="shared" si="5"/>
        <v>-10.704000000000001</v>
      </c>
      <c r="J14" s="86">
        <f t="shared" si="6"/>
        <v>2.7429999999999986</v>
      </c>
      <c r="K14" s="86"/>
      <c r="L14" s="86">
        <f t="shared" si="7"/>
        <v>5.9948031441165036E-4</v>
      </c>
      <c r="M14" s="86">
        <f t="shared" si="8"/>
        <v>6.6946099414671236</v>
      </c>
      <c r="N14" s="86"/>
      <c r="O14" s="86"/>
      <c r="P14" s="86">
        <f t="shared" si="9"/>
        <v>46.630661749032136</v>
      </c>
      <c r="Q14" s="86"/>
      <c r="R14" s="86">
        <f t="shared" si="10"/>
        <v>217.94286333511039</v>
      </c>
    </row>
    <row r="15" spans="1:18">
      <c r="A15" s="86" t="s">
        <v>600</v>
      </c>
      <c r="B15" s="86" t="s">
        <v>23</v>
      </c>
      <c r="C15" s="86">
        <v>22.969000000000001</v>
      </c>
      <c r="D15" s="86" t="s">
        <v>595</v>
      </c>
      <c r="E15" s="86">
        <v>33.747999999999998</v>
      </c>
      <c r="F15" s="86" t="s">
        <v>445</v>
      </c>
      <c r="G15" s="86">
        <v>20.645</v>
      </c>
      <c r="H15" s="86"/>
      <c r="I15" s="86">
        <f t="shared" si="5"/>
        <v>-10.778999999999996</v>
      </c>
      <c r="J15" s="86">
        <f t="shared" si="6"/>
        <v>2.3240000000000016</v>
      </c>
      <c r="K15" s="86"/>
      <c r="L15" s="86">
        <f t="shared" si="7"/>
        <v>5.6911191315164194E-4</v>
      </c>
      <c r="M15" s="86">
        <f t="shared" si="8"/>
        <v>5.0071858346159823</v>
      </c>
      <c r="N15" s="86"/>
      <c r="O15" s="86"/>
      <c r="P15" s="86">
        <f t="shared" si="9"/>
        <v>44.268451326152551</v>
      </c>
      <c r="Q15" s="86"/>
      <c r="R15" s="86">
        <f t="shared" si="10"/>
        <v>163.00881269985649</v>
      </c>
    </row>
    <row r="16" spans="1:18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</row>
    <row r="17" spans="1:18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</row>
    <row r="19" spans="1:18">
      <c r="B19" s="90" t="s">
        <v>152</v>
      </c>
      <c r="C19" s="90" t="s">
        <v>186</v>
      </c>
      <c r="D19" s="90"/>
      <c r="E19" s="90"/>
      <c r="F19" s="90" t="s">
        <v>195</v>
      </c>
      <c r="G19" s="90"/>
      <c r="H19" s="90"/>
      <c r="I19" s="101" t="s">
        <v>663</v>
      </c>
      <c r="J19" s="101" t="s">
        <v>396</v>
      </c>
      <c r="K19" s="101" t="s">
        <v>664</v>
      </c>
      <c r="L19" s="101" t="s">
        <v>663</v>
      </c>
      <c r="M19" s="101" t="s">
        <v>396</v>
      </c>
      <c r="N19" s="101" t="s">
        <v>664</v>
      </c>
      <c r="O19" s="90" t="s">
        <v>690</v>
      </c>
    </row>
    <row r="20" spans="1:18">
      <c r="B20" s="90" t="s">
        <v>601</v>
      </c>
      <c r="C20" s="91">
        <v>0.84452205106139511</v>
      </c>
      <c r="D20" s="91">
        <v>1.1385573779813651</v>
      </c>
      <c r="E20" s="91">
        <v>1.0169205709572509</v>
      </c>
      <c r="F20" s="91">
        <v>8.2033148332604586</v>
      </c>
      <c r="G20" s="91">
        <v>13.261821146213375</v>
      </c>
      <c r="H20" s="91">
        <v>12.997903151772203</v>
      </c>
      <c r="I20" s="101">
        <f>AVERAGE(C20:E20)</f>
        <v>1.0000000000000038</v>
      </c>
      <c r="J20" s="101">
        <f>STDEV(C20:E20)</f>
        <v>0.14774614262434232</v>
      </c>
      <c r="K20" s="101">
        <f>J20/SQRT(3)</f>
        <v>8.5301275215892883E-2</v>
      </c>
      <c r="L20" s="101">
        <f>AVERAGE(F20:H20)</f>
        <v>11.487679710415344</v>
      </c>
      <c r="M20" s="101">
        <f>STDEV(F20:H20)</f>
        <v>2.8474027923116143</v>
      </c>
      <c r="N20" s="101">
        <f>M20/SQRT(3)</f>
        <v>1.6439487686324026</v>
      </c>
      <c r="O20" s="94">
        <v>0.32240000000000002</v>
      </c>
    </row>
    <row r="21" spans="1:18">
      <c r="A21" s="1"/>
      <c r="B21" s="91" t="s">
        <v>20</v>
      </c>
      <c r="C21" s="91">
        <v>4.9184611209786269</v>
      </c>
      <c r="D21" s="91">
        <v>2.0636624323959341</v>
      </c>
      <c r="E21" s="91">
        <v>5.8531246310166285</v>
      </c>
      <c r="F21" s="91">
        <v>74.812477259253683</v>
      </c>
      <c r="G21" s="91">
        <v>46.630661749032136</v>
      </c>
      <c r="H21" s="91">
        <v>44.268451326152551</v>
      </c>
      <c r="I21" s="101">
        <f>AVERAGE(C21:E21)</f>
        <v>4.2784160614637301</v>
      </c>
      <c r="J21" s="101">
        <f>STDEV(C21:E21)</f>
        <v>1.9741451814268531</v>
      </c>
      <c r="K21" s="101">
        <f>J21/SQRT(3)</f>
        <v>1.1397732519161963</v>
      </c>
      <c r="L21" s="101">
        <f>AVERAGE(F21:H21)</f>
        <v>55.237196778146121</v>
      </c>
      <c r="M21" s="101">
        <f>STDEV(F21:H21)</f>
        <v>16.993784568365385</v>
      </c>
      <c r="N21" s="101">
        <f>M21/SQRT(3)</f>
        <v>9.8113660950962629</v>
      </c>
      <c r="O21" s="94">
        <v>2.0000000000000001E-4</v>
      </c>
    </row>
    <row r="22" spans="1:18">
      <c r="A22" s="1"/>
      <c r="B22" s="1"/>
      <c r="C22" s="1"/>
      <c r="D22" s="1"/>
      <c r="E22" s="1"/>
      <c r="F22" s="1"/>
      <c r="G22" s="1"/>
      <c r="H22" s="1"/>
      <c r="I22" s="1"/>
      <c r="Q22" s="1"/>
      <c r="R22" s="1"/>
    </row>
    <row r="23" spans="1:18">
      <c r="A23" s="1"/>
      <c r="B23" s="1"/>
      <c r="O23" s="1"/>
      <c r="P23" s="1"/>
      <c r="Q23" s="1"/>
      <c r="R23" s="1"/>
    </row>
    <row r="27" spans="1:18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</row>
    <row r="28" spans="1:18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</row>
    <row r="29" spans="1:18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</row>
    <row r="30" spans="1:18">
      <c r="A30" s="1"/>
      <c r="B30" s="90" t="s">
        <v>534</v>
      </c>
      <c r="C30" s="90" t="s">
        <v>186</v>
      </c>
      <c r="D30" s="90"/>
      <c r="E30" s="90"/>
      <c r="F30" s="90" t="s">
        <v>195</v>
      </c>
      <c r="G30" s="90"/>
      <c r="H30" s="90"/>
      <c r="I30" s="101" t="s">
        <v>663</v>
      </c>
      <c r="J30" s="101" t="s">
        <v>396</v>
      </c>
      <c r="K30" s="101" t="s">
        <v>664</v>
      </c>
      <c r="L30" s="101" t="s">
        <v>663</v>
      </c>
      <c r="M30" s="101" t="s">
        <v>396</v>
      </c>
      <c r="N30" s="101" t="s">
        <v>664</v>
      </c>
      <c r="O30" s="90" t="s">
        <v>690</v>
      </c>
      <c r="P30" s="1"/>
      <c r="Q30" s="1"/>
      <c r="R30" s="1"/>
    </row>
    <row r="31" spans="1:18">
      <c r="A31" s="1"/>
      <c r="B31" s="90" t="s">
        <v>601</v>
      </c>
      <c r="C31" s="90">
        <v>0.94789959209364438</v>
      </c>
      <c r="D31" s="90">
        <v>1.2948690021609846</v>
      </c>
      <c r="E31" s="90">
        <v>0.75723140574537062</v>
      </c>
      <c r="F31" s="90">
        <v>41.378405639602079</v>
      </c>
      <c r="G31" s="90">
        <v>47.039673856544404</v>
      </c>
      <c r="H31" s="90">
        <v>50.102342509556365</v>
      </c>
      <c r="I31" s="101">
        <f>AVERAGE(C31:E31)</f>
        <v>0.99999999999999989</v>
      </c>
      <c r="J31" s="101">
        <f>STDEV(C31:E31)</f>
        <v>0.27257913648681215</v>
      </c>
      <c r="K31" s="101">
        <f>J31/SQRT(3)</f>
        <v>0.15737363782613675</v>
      </c>
      <c r="L31" s="101">
        <f>AVERAGE(F31:H31)</f>
        <v>46.173474001900949</v>
      </c>
      <c r="M31" s="101">
        <f>STDEV(F31:H31)</f>
        <v>4.4260021767815712</v>
      </c>
      <c r="N31" s="101">
        <f>M31/SQRT(3)</f>
        <v>2.5553535481987097</v>
      </c>
      <c r="O31" s="94">
        <v>0.1653</v>
      </c>
      <c r="P31" s="1"/>
      <c r="Q31" s="1"/>
      <c r="R31" s="1"/>
    </row>
    <row r="32" spans="1:18">
      <c r="B32" s="91" t="s">
        <v>20</v>
      </c>
      <c r="C32" s="90">
        <v>1.1210154427287162</v>
      </c>
      <c r="D32" s="90">
        <v>0.62408141415117779</v>
      </c>
      <c r="E32" s="90">
        <v>0.34217497386196793</v>
      </c>
      <c r="F32" s="90">
        <v>275.86261637518021</v>
      </c>
      <c r="G32" s="90">
        <v>217.94286333511039</v>
      </c>
      <c r="H32" s="90">
        <v>163.00881269985649</v>
      </c>
      <c r="I32" s="101">
        <f>AVERAGE(C32:E32)</f>
        <v>0.69575727691395395</v>
      </c>
      <c r="J32" s="101">
        <f>STDEV(C32:E32)</f>
        <v>0.39433639315086738</v>
      </c>
      <c r="K32" s="101">
        <f>J32/SQRT(3)</f>
        <v>0.22767022273691939</v>
      </c>
      <c r="L32" s="101">
        <f>AVERAGE(F32:H32)</f>
        <v>218.93809747004903</v>
      </c>
      <c r="M32" s="101">
        <f>STDEV(F32:H32)</f>
        <v>56.4334840253075</v>
      </c>
      <c r="N32" s="101">
        <f>M32/SQRT(3)</f>
        <v>32.58188719331973</v>
      </c>
      <c r="O32" s="94" t="s">
        <v>666</v>
      </c>
    </row>
    <row r="33" spans="2:4">
      <c r="B33" s="1"/>
      <c r="C33" s="1"/>
      <c r="D33" s="1"/>
    </row>
  </sheetData>
  <phoneticPr fontId="2" type="noConversion"/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577067-C0A3-7E44-979F-BB27C23AD257}">
  <dimension ref="A1:BE62"/>
  <sheetViews>
    <sheetView topLeftCell="AH16" zoomScale="75" workbookViewId="0">
      <selection activeCell="AL28" sqref="AL28:BE30"/>
    </sheetView>
  </sheetViews>
  <sheetFormatPr baseColWidth="10" defaultRowHeight="16"/>
  <sheetData>
    <row r="1" spans="1:57">
      <c r="A1" t="s">
        <v>401</v>
      </c>
    </row>
    <row r="3" spans="1:57">
      <c r="A3" s="70"/>
      <c r="B3" s="70"/>
      <c r="C3" s="70"/>
      <c r="D3" s="70"/>
      <c r="E3" s="70"/>
      <c r="F3" s="70"/>
      <c r="G3" s="70"/>
      <c r="H3" s="70"/>
      <c r="I3" s="70"/>
      <c r="J3" s="70"/>
      <c r="K3" s="70"/>
      <c r="L3" s="70"/>
      <c r="M3" s="70"/>
      <c r="N3" s="70"/>
      <c r="O3" s="70"/>
      <c r="P3" s="70"/>
      <c r="Q3" s="70"/>
      <c r="R3" s="70"/>
      <c r="S3" s="70"/>
      <c r="T3" s="70"/>
      <c r="U3" s="70"/>
      <c r="V3" s="70"/>
      <c r="W3" s="70"/>
      <c r="X3" s="70"/>
      <c r="Y3" s="70"/>
      <c r="Z3" s="70"/>
      <c r="AA3" s="70"/>
      <c r="AB3" s="70"/>
      <c r="AC3" s="70"/>
      <c r="AD3" s="70"/>
    </row>
    <row r="4" spans="1:57">
      <c r="A4" s="70"/>
      <c r="B4" s="70"/>
      <c r="C4" s="70"/>
      <c r="D4" s="70"/>
      <c r="E4" s="70"/>
      <c r="F4" s="70"/>
      <c r="G4" s="70"/>
      <c r="H4" s="70"/>
      <c r="I4" s="70"/>
      <c r="J4" s="70"/>
      <c r="K4" s="70"/>
      <c r="L4" s="70"/>
      <c r="M4" s="70"/>
      <c r="N4" s="70"/>
      <c r="O4" s="70"/>
      <c r="P4" s="70"/>
      <c r="Q4" s="70"/>
      <c r="R4" s="70"/>
      <c r="S4" s="70"/>
      <c r="T4" s="70"/>
      <c r="U4" s="70"/>
      <c r="V4" s="70"/>
      <c r="W4" s="70"/>
      <c r="X4" s="70"/>
      <c r="Y4" s="70"/>
      <c r="Z4" s="70"/>
      <c r="AA4" s="70"/>
      <c r="AB4" s="70"/>
      <c r="AC4" s="70"/>
      <c r="AD4" s="70"/>
    </row>
    <row r="5" spans="1:57">
      <c r="A5" s="70"/>
      <c r="B5" s="70"/>
      <c r="C5" s="70"/>
      <c r="D5" s="70"/>
      <c r="E5" s="70"/>
      <c r="F5" s="70"/>
      <c r="G5" s="70"/>
      <c r="H5" s="70"/>
      <c r="I5" s="70"/>
      <c r="J5" s="70"/>
      <c r="K5" s="70"/>
      <c r="L5" s="70"/>
      <c r="M5" s="70"/>
      <c r="N5" s="70"/>
      <c r="O5" s="70"/>
      <c r="P5" s="70"/>
      <c r="Q5" s="70"/>
      <c r="R5" s="70"/>
      <c r="S5" s="70"/>
      <c r="T5" s="70"/>
      <c r="U5" s="70"/>
      <c r="V5" s="70"/>
      <c r="W5" s="70"/>
      <c r="X5" s="70"/>
      <c r="Y5" s="70"/>
      <c r="Z5" s="70"/>
      <c r="AA5" s="70"/>
      <c r="AB5" s="70"/>
      <c r="AC5" s="70"/>
      <c r="AD5" s="70"/>
    </row>
    <row r="6" spans="1:57">
      <c r="A6" s="70"/>
      <c r="B6" s="70"/>
      <c r="C6" s="70"/>
      <c r="D6" s="70"/>
      <c r="E6" s="70"/>
      <c r="F6" s="70"/>
      <c r="G6" s="70"/>
      <c r="H6" s="70"/>
      <c r="I6" s="70"/>
      <c r="J6" s="70"/>
      <c r="K6" s="70"/>
      <c r="L6" s="70"/>
      <c r="M6" s="70"/>
      <c r="N6" s="70"/>
      <c r="O6" s="70"/>
      <c r="P6" s="70"/>
      <c r="Q6" s="70"/>
      <c r="R6" s="70"/>
      <c r="S6" s="70"/>
      <c r="T6" s="70"/>
      <c r="U6" s="70"/>
      <c r="V6" s="70"/>
      <c r="W6" s="70"/>
      <c r="X6" s="70"/>
      <c r="Y6" s="70"/>
      <c r="Z6" s="70"/>
      <c r="AA6" s="70"/>
      <c r="AB6" s="70"/>
      <c r="AC6" s="70"/>
      <c r="AD6" s="70"/>
    </row>
    <row r="7" spans="1:57">
      <c r="A7" s="70"/>
      <c r="B7" s="70"/>
      <c r="C7" s="70"/>
      <c r="D7" s="70"/>
      <c r="E7" s="70"/>
      <c r="F7" s="70"/>
      <c r="G7" s="70"/>
      <c r="H7" s="70"/>
      <c r="I7" s="70"/>
      <c r="J7" s="70"/>
      <c r="K7" s="70"/>
      <c r="L7" s="70"/>
      <c r="M7" s="70"/>
      <c r="N7" s="70"/>
      <c r="O7" s="70"/>
      <c r="P7" s="70"/>
      <c r="Q7" s="70"/>
      <c r="R7" s="70"/>
      <c r="S7" s="70"/>
      <c r="T7" s="70"/>
      <c r="U7" s="70"/>
      <c r="V7" s="70"/>
      <c r="W7" s="70"/>
      <c r="X7" s="70"/>
      <c r="Y7" s="70"/>
      <c r="Z7" s="70"/>
      <c r="AA7" s="70"/>
      <c r="AB7" s="70"/>
      <c r="AC7" s="70"/>
      <c r="AD7" s="70"/>
    </row>
    <row r="8" spans="1:57">
      <c r="A8" s="70"/>
      <c r="B8" s="70"/>
      <c r="C8" s="70"/>
      <c r="D8" s="70"/>
      <c r="E8" s="70"/>
      <c r="F8" s="70"/>
      <c r="G8" s="70"/>
      <c r="H8" s="70"/>
      <c r="I8" s="70"/>
      <c r="J8" s="70"/>
      <c r="K8" s="70"/>
      <c r="L8" s="70"/>
      <c r="M8" s="70"/>
      <c r="N8" s="70"/>
      <c r="O8" s="70"/>
      <c r="P8" s="70"/>
      <c r="Q8" s="70"/>
      <c r="R8" s="70"/>
      <c r="S8" s="70"/>
      <c r="T8" s="70"/>
      <c r="U8" s="70"/>
      <c r="V8" s="70"/>
      <c r="W8" s="70"/>
      <c r="X8" s="70"/>
      <c r="Y8" s="70"/>
      <c r="Z8" s="70"/>
      <c r="AA8" s="70"/>
      <c r="AB8" s="70"/>
      <c r="AC8" s="70"/>
      <c r="AD8" s="70"/>
    </row>
    <row r="9" spans="1:57">
      <c r="A9" s="70"/>
      <c r="B9" s="70"/>
      <c r="C9" s="70"/>
      <c r="D9" s="70"/>
      <c r="E9" s="70"/>
      <c r="F9" s="70"/>
      <c r="G9" s="70"/>
      <c r="H9" s="70"/>
      <c r="I9" s="70"/>
      <c r="J9" s="70"/>
      <c r="K9" s="70"/>
      <c r="L9" s="70"/>
      <c r="M9" s="70"/>
      <c r="N9" s="70"/>
      <c r="O9" s="70"/>
      <c r="P9" s="70"/>
      <c r="Q9" s="70"/>
      <c r="R9" s="70"/>
      <c r="S9" s="70"/>
      <c r="T9" s="70"/>
      <c r="U9" s="70"/>
      <c r="V9" s="70"/>
      <c r="W9" s="70"/>
      <c r="X9" s="70"/>
      <c r="Y9" s="70"/>
      <c r="Z9" s="70"/>
      <c r="AA9" s="70"/>
      <c r="AB9" s="70"/>
      <c r="AC9" s="70"/>
      <c r="AD9" s="70"/>
    </row>
    <row r="10" spans="1:57">
      <c r="A10" s="70"/>
      <c r="B10" s="70"/>
      <c r="C10" s="70"/>
      <c r="D10" s="70"/>
      <c r="E10" s="70"/>
      <c r="F10" s="70"/>
      <c r="G10" s="70"/>
      <c r="H10" s="70"/>
      <c r="I10" s="70"/>
      <c r="J10" s="70"/>
      <c r="K10" s="70"/>
      <c r="L10" s="70"/>
      <c r="M10" s="70"/>
      <c r="N10" s="70"/>
      <c r="O10" s="70"/>
      <c r="P10" s="70"/>
      <c r="Q10" s="70"/>
      <c r="R10" s="70"/>
      <c r="S10" s="70"/>
      <c r="T10" s="70"/>
      <c r="U10" s="70"/>
      <c r="V10" s="70"/>
      <c r="W10" s="70"/>
      <c r="X10" s="70"/>
      <c r="Y10" s="70"/>
      <c r="Z10" s="70"/>
      <c r="AA10" s="70"/>
      <c r="AB10" s="70"/>
      <c r="AC10" s="70"/>
      <c r="AD10" s="70"/>
    </row>
    <row r="11" spans="1:57">
      <c r="L11" t="s">
        <v>547</v>
      </c>
      <c r="P11" s="73"/>
    </row>
    <row r="13" spans="1:57">
      <c r="B13">
        <v>0</v>
      </c>
      <c r="C13">
        <v>23.44</v>
      </c>
      <c r="D13">
        <v>46.88</v>
      </c>
      <c r="E13">
        <v>93.75</v>
      </c>
      <c r="F13">
        <v>187.5</v>
      </c>
      <c r="G13">
        <v>375</v>
      </c>
      <c r="H13">
        <v>750</v>
      </c>
    </row>
    <row r="14" spans="1:57">
      <c r="A14" t="s">
        <v>76</v>
      </c>
      <c r="B14">
        <v>0</v>
      </c>
      <c r="C14">
        <v>6.0000000000000012E-2</v>
      </c>
      <c r="D14">
        <v>0.12100000000000001</v>
      </c>
      <c r="E14">
        <v>0.23149999999999998</v>
      </c>
      <c r="F14">
        <v>0.51500000000000001</v>
      </c>
      <c r="G14">
        <v>1.165</v>
      </c>
      <c r="H14">
        <v>2.254</v>
      </c>
      <c r="O14" t="s">
        <v>548</v>
      </c>
      <c r="U14" t="s">
        <v>549</v>
      </c>
      <c r="AA14" t="s">
        <v>550</v>
      </c>
      <c r="AG14" t="s">
        <v>551</v>
      </c>
    </row>
    <row r="15" spans="1:57">
      <c r="J15" t="s">
        <v>97</v>
      </c>
      <c r="K15">
        <v>1</v>
      </c>
      <c r="L15">
        <v>9.7000000000000003E-2</v>
      </c>
      <c r="M15">
        <v>9.4E-2</v>
      </c>
      <c r="N15">
        <v>0.109</v>
      </c>
      <c r="P15" t="s">
        <v>97</v>
      </c>
      <c r="Q15">
        <v>1</v>
      </c>
      <c r="R15">
        <f>L15-0.072</f>
        <v>2.5000000000000008E-2</v>
      </c>
      <c r="S15">
        <f t="shared" ref="S15:T30" si="0">M15-0.072</f>
        <v>2.2000000000000006E-2</v>
      </c>
      <c r="T15">
        <f t="shared" si="0"/>
        <v>3.7000000000000005E-2</v>
      </c>
      <c r="V15" t="s">
        <v>97</v>
      </c>
      <c r="W15">
        <v>1</v>
      </c>
      <c r="X15">
        <f>(R15+0.0277)/0.0031</f>
        <v>17.000000000000004</v>
      </c>
      <c r="Y15">
        <f t="shared" ref="Y15:Z30" si="1">(S15+0.0277)/0.0031</f>
        <v>16.032258064516132</v>
      </c>
      <c r="Z15">
        <f t="shared" si="1"/>
        <v>20.870967741935488</v>
      </c>
      <c r="AB15" t="s">
        <v>97</v>
      </c>
      <c r="AC15">
        <v>1</v>
      </c>
      <c r="AD15">
        <f>X15*6</f>
        <v>102.00000000000003</v>
      </c>
      <c r="AE15">
        <f t="shared" ref="AE15:AF30" si="2">Y15*6</f>
        <v>96.193548387096797</v>
      </c>
      <c r="AF15">
        <f t="shared" si="2"/>
        <v>125.22580645161293</v>
      </c>
      <c r="AH15" t="s">
        <v>97</v>
      </c>
      <c r="AI15">
        <v>1</v>
      </c>
      <c r="AJ15">
        <f>AVERAGE(AD15:AF15)</f>
        <v>107.80645161290325</v>
      </c>
      <c r="AL15" s="90"/>
      <c r="AM15" s="90" t="s">
        <v>97</v>
      </c>
      <c r="AN15" s="90"/>
      <c r="AO15" s="90"/>
      <c r="AP15" s="90"/>
      <c r="AQ15" s="90"/>
      <c r="AR15" s="90"/>
      <c r="AS15" s="90" t="s">
        <v>99</v>
      </c>
      <c r="AT15" s="90"/>
      <c r="AU15" s="90"/>
      <c r="AV15" s="90"/>
      <c r="AW15" s="90"/>
      <c r="AX15" s="90"/>
      <c r="AY15" s="101" t="s">
        <v>663</v>
      </c>
      <c r="AZ15" s="101" t="s">
        <v>396</v>
      </c>
      <c r="BA15" s="101" t="s">
        <v>664</v>
      </c>
      <c r="BB15" s="101" t="s">
        <v>663</v>
      </c>
      <c r="BC15" s="101" t="s">
        <v>396</v>
      </c>
      <c r="BD15" s="101" t="s">
        <v>664</v>
      </c>
      <c r="BE15" s="90" t="s">
        <v>690</v>
      </c>
    </row>
    <row r="16" spans="1:57">
      <c r="K16">
        <v>2</v>
      </c>
      <c r="L16">
        <v>8.6999999999999994E-2</v>
      </c>
      <c r="M16">
        <v>8.5999999999999993E-2</v>
      </c>
      <c r="Q16">
        <v>2</v>
      </c>
      <c r="R16">
        <f t="shared" ref="R16:T59" si="3">L16-0.072</f>
        <v>1.4999999999999999E-2</v>
      </c>
      <c r="S16">
        <f t="shared" si="0"/>
        <v>1.3999999999999999E-2</v>
      </c>
      <c r="W16">
        <v>2</v>
      </c>
      <c r="X16">
        <f t="shared" ref="X16:Y31" si="4">(R16+0.0277)/0.0031</f>
        <v>13.774193548387098</v>
      </c>
      <c r="Y16">
        <f t="shared" si="1"/>
        <v>13.451612903225808</v>
      </c>
      <c r="AC16">
        <v>2</v>
      </c>
      <c r="AD16">
        <f t="shared" ref="AD16:AE31" si="5">X16*6</f>
        <v>82.645161290322591</v>
      </c>
      <c r="AE16">
        <f t="shared" si="2"/>
        <v>80.709677419354847</v>
      </c>
      <c r="AI16">
        <v>2</v>
      </c>
      <c r="AJ16">
        <f>AVERAGE(AD16:AE16)</f>
        <v>81.677419354838719</v>
      </c>
      <c r="AL16" s="90" t="s">
        <v>237</v>
      </c>
      <c r="AM16" s="90">
        <v>107.80645161290325</v>
      </c>
      <c r="AN16" s="90">
        <v>81.677419354838719</v>
      </c>
      <c r="AO16" s="90">
        <v>70.064516129032285</v>
      </c>
      <c r="AP16" s="90">
        <v>96.193548387096797</v>
      </c>
      <c r="AQ16" s="90">
        <v>92.32258064516131</v>
      </c>
      <c r="AR16" s="90">
        <v>76.838709677419388</v>
      </c>
      <c r="AS16" s="90">
        <v>105.8709677419355</v>
      </c>
      <c r="AT16" s="90">
        <v>97.161290322580669</v>
      </c>
      <c r="AU16" s="90">
        <v>153.29032258064518</v>
      </c>
      <c r="AV16" s="90">
        <v>113.61290322580648</v>
      </c>
      <c r="AW16" s="90">
        <v>90.387096774193566</v>
      </c>
      <c r="AX16" s="90">
        <v>131.03225806451616</v>
      </c>
      <c r="AY16" s="101">
        <f>AVERAGE(AM16:AR16)</f>
        <v>87.483870967741964</v>
      </c>
      <c r="AZ16" s="101">
        <f>STDEV(AM16:AR16)</f>
        <v>13.876218061110828</v>
      </c>
      <c r="BA16" s="101">
        <f>AZ16/SQRT(6)</f>
        <v>5.6649423015522755</v>
      </c>
      <c r="BB16" s="101">
        <f>AVERAGE(AS16:AX16)</f>
        <v>115.22580645161293</v>
      </c>
      <c r="BC16" s="101">
        <f>STDEV(AS16:AX16)</f>
        <v>23.375859369201784</v>
      </c>
      <c r="BD16" s="101">
        <f>BC16/SQRT(6)</f>
        <v>9.5431546256003053</v>
      </c>
      <c r="BE16" s="94">
        <v>0.70509999999999995</v>
      </c>
    </row>
    <row r="17" spans="10:57">
      <c r="K17">
        <v>3</v>
      </c>
      <c r="L17">
        <v>0.08</v>
      </c>
      <c r="M17">
        <v>8.1000000000000003E-2</v>
      </c>
      <c r="Q17">
        <v>3</v>
      </c>
      <c r="R17">
        <f t="shared" si="3"/>
        <v>8.0000000000000071E-3</v>
      </c>
      <c r="S17">
        <f t="shared" si="0"/>
        <v>9.000000000000008E-3</v>
      </c>
      <c r="W17">
        <v>3</v>
      </c>
      <c r="X17">
        <f t="shared" si="4"/>
        <v>11.516129032258068</v>
      </c>
      <c r="Y17">
        <f t="shared" si="1"/>
        <v>11.838709677419359</v>
      </c>
      <c r="AC17">
        <v>3</v>
      </c>
      <c r="AD17">
        <f t="shared" si="5"/>
        <v>69.096774193548413</v>
      </c>
      <c r="AE17">
        <f t="shared" si="2"/>
        <v>71.032258064516157</v>
      </c>
      <c r="AI17">
        <v>3</v>
      </c>
      <c r="AJ17">
        <f t="shared" ref="AJ17:AJ19" si="6">AVERAGE(AD17:AE17)</f>
        <v>70.064516129032285</v>
      </c>
      <c r="AL17" s="90" t="s">
        <v>238</v>
      </c>
      <c r="AM17" s="90">
        <v>412.32258064516128</v>
      </c>
      <c r="AN17" s="90">
        <v>345.22580645161298</v>
      </c>
      <c r="AO17" s="90">
        <v>318.77419354838713</v>
      </c>
      <c r="AP17" s="90">
        <v>276.83870967741939</v>
      </c>
      <c r="AQ17" s="90">
        <v>227.80645161290326</v>
      </c>
      <c r="AR17" s="90">
        <v>198.12903225806454</v>
      </c>
      <c r="AS17" s="90">
        <v>609.09677419354841</v>
      </c>
      <c r="AT17" s="90">
        <v>655.54838709677415</v>
      </c>
      <c r="AU17" s="90">
        <v>591.67741935483866</v>
      </c>
      <c r="AV17" s="90">
        <v>597.48387096774195</v>
      </c>
      <c r="AW17" s="90">
        <v>419.41935483870969</v>
      </c>
      <c r="AX17" s="90">
        <v>698.77419354838696</v>
      </c>
      <c r="AY17" s="90">
        <f>AVERAGE(AM17:AR17)</f>
        <v>296.51612903225811</v>
      </c>
      <c r="AZ17" s="90">
        <f>STDEV(AM17:AR17)</f>
        <v>78.825668104578554</v>
      </c>
      <c r="BA17" s="101">
        <f>AZ17/SQRT(6)</f>
        <v>32.180444248366051</v>
      </c>
      <c r="BB17" s="90">
        <f>AVERAGE(AS17:AX17)</f>
        <v>595.33333333333326</v>
      </c>
      <c r="BC17" s="101">
        <f>STDEV(AS17:AX17)</f>
        <v>95.371919258258899</v>
      </c>
      <c r="BD17" s="101">
        <f>BC17/SQRT(6)</f>
        <v>38.935422995441776</v>
      </c>
      <c r="BE17" s="94" t="s">
        <v>666</v>
      </c>
    </row>
    <row r="18" spans="10:57">
      <c r="K18">
        <v>4</v>
      </c>
      <c r="L18">
        <v>9.8000000000000004E-2</v>
      </c>
      <c r="M18">
        <v>0.09</v>
      </c>
      <c r="Q18">
        <v>4</v>
      </c>
      <c r="R18">
        <f t="shared" si="3"/>
        <v>2.6000000000000009E-2</v>
      </c>
      <c r="S18">
        <f t="shared" si="0"/>
        <v>1.8000000000000002E-2</v>
      </c>
      <c r="W18">
        <v>4</v>
      </c>
      <c r="X18">
        <f t="shared" si="4"/>
        <v>17.322580645161295</v>
      </c>
      <c r="Y18">
        <f t="shared" si="1"/>
        <v>14.74193548387097</v>
      </c>
      <c r="AC18">
        <v>4</v>
      </c>
      <c r="AD18">
        <f t="shared" si="5"/>
        <v>103.93548387096777</v>
      </c>
      <c r="AE18">
        <f t="shared" si="2"/>
        <v>88.451612903225822</v>
      </c>
      <c r="AI18">
        <v>4</v>
      </c>
      <c r="AJ18">
        <f t="shared" si="6"/>
        <v>96.193548387096797</v>
      </c>
      <c r="AS18" s="52"/>
      <c r="AT18" s="52"/>
      <c r="AU18" s="52"/>
      <c r="AV18" s="52"/>
      <c r="AW18" s="52"/>
      <c r="AX18" s="52"/>
    </row>
    <row r="19" spans="10:57">
      <c r="K19">
        <v>5</v>
      </c>
      <c r="L19">
        <v>9.1999999999999998E-2</v>
      </c>
      <c r="M19">
        <v>9.1999999999999998E-2</v>
      </c>
      <c r="Q19">
        <v>5</v>
      </c>
      <c r="R19">
        <f t="shared" si="3"/>
        <v>2.0000000000000004E-2</v>
      </c>
      <c r="S19">
        <f t="shared" si="0"/>
        <v>2.0000000000000004E-2</v>
      </c>
      <c r="W19">
        <v>5</v>
      </c>
      <c r="X19">
        <f t="shared" si="4"/>
        <v>15.387096774193552</v>
      </c>
      <c r="Y19">
        <f t="shared" si="1"/>
        <v>15.387096774193552</v>
      </c>
      <c r="AC19">
        <v>5</v>
      </c>
      <c r="AD19">
        <f t="shared" si="5"/>
        <v>92.32258064516131</v>
      </c>
      <c r="AE19">
        <f t="shared" si="2"/>
        <v>92.32258064516131</v>
      </c>
      <c r="AI19">
        <v>5</v>
      </c>
      <c r="AJ19">
        <f t="shared" si="6"/>
        <v>92.32258064516131</v>
      </c>
    </row>
    <row r="20" spans="10:57">
      <c r="K20">
        <v>6</v>
      </c>
      <c r="L20">
        <v>8.6000000000000007E-2</v>
      </c>
      <c r="M20">
        <v>8.2000000000000003E-2</v>
      </c>
      <c r="Q20">
        <v>6</v>
      </c>
      <c r="R20">
        <f t="shared" si="3"/>
        <v>1.4000000000000012E-2</v>
      </c>
      <c r="S20">
        <f t="shared" si="0"/>
        <v>1.0000000000000009E-2</v>
      </c>
      <c r="W20">
        <v>6</v>
      </c>
      <c r="X20">
        <f t="shared" si="4"/>
        <v>13.451612903225811</v>
      </c>
      <c r="Y20">
        <f t="shared" si="1"/>
        <v>12.161290322580649</v>
      </c>
      <c r="AC20">
        <v>6</v>
      </c>
      <c r="AD20">
        <f t="shared" si="5"/>
        <v>80.709677419354875</v>
      </c>
      <c r="AE20">
        <f t="shared" si="2"/>
        <v>72.9677419354839</v>
      </c>
      <c r="AI20">
        <v>6</v>
      </c>
      <c r="AJ20">
        <f>AVERAGE(AD20:AE20)</f>
        <v>76.838709677419388</v>
      </c>
    </row>
    <row r="21" spans="10:57">
      <c r="J21" t="s">
        <v>99</v>
      </c>
      <c r="K21">
        <v>1</v>
      </c>
      <c r="L21">
        <v>9.6000000000000002E-2</v>
      </c>
      <c r="M21">
        <v>0.10200000000000001</v>
      </c>
      <c r="N21">
        <v>9.9000000000000005E-2</v>
      </c>
      <c r="P21" t="s">
        <v>99</v>
      </c>
      <c r="Q21">
        <v>1</v>
      </c>
      <c r="R21">
        <f t="shared" si="3"/>
        <v>2.4000000000000007E-2</v>
      </c>
      <c r="S21">
        <f t="shared" si="0"/>
        <v>3.0000000000000013E-2</v>
      </c>
      <c r="T21">
        <f t="shared" si="0"/>
        <v>2.700000000000001E-2</v>
      </c>
      <c r="V21" t="s">
        <v>99</v>
      </c>
      <c r="W21">
        <v>1</v>
      </c>
      <c r="X21">
        <f t="shared" si="4"/>
        <v>16.677419354838712</v>
      </c>
      <c r="Y21">
        <f t="shared" si="1"/>
        <v>18.612903225806456</v>
      </c>
      <c r="Z21">
        <f t="shared" si="1"/>
        <v>17.645161290322584</v>
      </c>
      <c r="AB21" t="s">
        <v>99</v>
      </c>
      <c r="AC21">
        <v>1</v>
      </c>
      <c r="AD21">
        <f t="shared" si="5"/>
        <v>100.06451612903227</v>
      </c>
      <c r="AE21">
        <f t="shared" si="2"/>
        <v>111.67741935483873</v>
      </c>
      <c r="AF21">
        <f t="shared" si="2"/>
        <v>105.8709677419355</v>
      </c>
      <c r="AH21" t="s">
        <v>99</v>
      </c>
      <c r="AI21">
        <v>1</v>
      </c>
      <c r="AJ21">
        <f>AVERAGE(AD21:AF21)</f>
        <v>105.8709677419355</v>
      </c>
    </row>
    <row r="22" spans="10:57">
      <c r="K22">
        <v>2</v>
      </c>
      <c r="L22">
        <v>9.6000000000000002E-2</v>
      </c>
      <c r="M22">
        <v>9.2999999999999999E-2</v>
      </c>
      <c r="Q22">
        <v>2</v>
      </c>
      <c r="R22">
        <f t="shared" si="3"/>
        <v>2.4000000000000007E-2</v>
      </c>
      <c r="S22">
        <f t="shared" si="0"/>
        <v>2.1000000000000005E-2</v>
      </c>
      <c r="W22">
        <v>2</v>
      </c>
      <c r="X22">
        <f t="shared" si="4"/>
        <v>16.677419354838712</v>
      </c>
      <c r="Y22">
        <f t="shared" si="1"/>
        <v>15.709677419354842</v>
      </c>
      <c r="AC22">
        <v>2</v>
      </c>
      <c r="AD22">
        <f t="shared" si="5"/>
        <v>100.06451612903227</v>
      </c>
      <c r="AE22">
        <f t="shared" si="2"/>
        <v>94.258064516129053</v>
      </c>
      <c r="AI22">
        <v>2</v>
      </c>
      <c r="AJ22">
        <f>AVERAGE(AD22:AE22)</f>
        <v>97.161290322580669</v>
      </c>
    </row>
    <row r="23" spans="10:57">
      <c r="K23">
        <v>3</v>
      </c>
      <c r="L23">
        <v>0.122</v>
      </c>
      <c r="M23">
        <v>0.125</v>
      </c>
      <c r="Q23">
        <v>3</v>
      </c>
      <c r="R23">
        <f t="shared" si="3"/>
        <v>0.05</v>
      </c>
      <c r="S23">
        <f t="shared" si="0"/>
        <v>5.3000000000000005E-2</v>
      </c>
      <c r="W23">
        <v>3</v>
      </c>
      <c r="X23">
        <f t="shared" si="4"/>
        <v>25.06451612903226</v>
      </c>
      <c r="Y23">
        <f t="shared" si="1"/>
        <v>26.032258064516132</v>
      </c>
      <c r="AC23">
        <v>3</v>
      </c>
      <c r="AD23">
        <f t="shared" si="5"/>
        <v>150.38709677419357</v>
      </c>
      <c r="AE23">
        <f t="shared" si="2"/>
        <v>156.1935483870968</v>
      </c>
      <c r="AI23">
        <v>3</v>
      </c>
      <c r="AJ23">
        <f>AVERAGE(AD23:AE23)</f>
        <v>153.29032258064518</v>
      </c>
    </row>
    <row r="24" spans="10:57">
      <c r="K24">
        <v>4</v>
      </c>
      <c r="L24">
        <v>0.10100000000000001</v>
      </c>
      <c r="M24">
        <v>0.105</v>
      </c>
      <c r="Q24">
        <v>4</v>
      </c>
      <c r="R24">
        <f t="shared" si="3"/>
        <v>2.9000000000000012E-2</v>
      </c>
      <c r="S24">
        <f t="shared" si="0"/>
        <v>3.3000000000000002E-2</v>
      </c>
      <c r="W24">
        <v>4</v>
      </c>
      <c r="X24">
        <f t="shared" si="4"/>
        <v>18.290322580645167</v>
      </c>
      <c r="Y24">
        <f t="shared" si="1"/>
        <v>19.580645161290324</v>
      </c>
      <c r="AC24">
        <v>4</v>
      </c>
      <c r="AD24">
        <f t="shared" si="5"/>
        <v>109.741935483871</v>
      </c>
      <c r="AE24">
        <f t="shared" si="2"/>
        <v>117.48387096774195</v>
      </c>
      <c r="AI24">
        <v>4</v>
      </c>
      <c r="AJ24">
        <f t="shared" ref="AJ24:AJ32" si="7">AVERAGE(AD24:AE24)</f>
        <v>113.61290322580648</v>
      </c>
    </row>
    <row r="25" spans="10:57">
      <c r="K25">
        <v>5</v>
      </c>
      <c r="L25">
        <v>9.1999999999999998E-2</v>
      </c>
      <c r="M25">
        <v>0.09</v>
      </c>
      <c r="Q25">
        <v>5</v>
      </c>
      <c r="R25">
        <f t="shared" si="3"/>
        <v>2.0000000000000004E-2</v>
      </c>
      <c r="S25">
        <f t="shared" si="0"/>
        <v>1.8000000000000002E-2</v>
      </c>
      <c r="W25">
        <v>5</v>
      </c>
      <c r="X25">
        <f t="shared" si="4"/>
        <v>15.387096774193552</v>
      </c>
      <c r="Y25">
        <f t="shared" si="1"/>
        <v>14.74193548387097</v>
      </c>
      <c r="AC25">
        <v>5</v>
      </c>
      <c r="AD25">
        <f t="shared" si="5"/>
        <v>92.32258064516131</v>
      </c>
      <c r="AE25">
        <f t="shared" si="2"/>
        <v>88.451612903225822</v>
      </c>
      <c r="AI25">
        <v>5</v>
      </c>
      <c r="AJ25">
        <f t="shared" si="7"/>
        <v>90.387096774193566</v>
      </c>
    </row>
    <row r="26" spans="10:57">
      <c r="K26">
        <v>6</v>
      </c>
      <c r="L26">
        <v>0.113</v>
      </c>
      <c r="M26">
        <v>0.111</v>
      </c>
      <c r="Q26">
        <v>6</v>
      </c>
      <c r="R26">
        <f t="shared" si="3"/>
        <v>4.1000000000000009E-2</v>
      </c>
      <c r="S26">
        <f t="shared" si="0"/>
        <v>3.9000000000000007E-2</v>
      </c>
      <c r="W26">
        <v>6</v>
      </c>
      <c r="X26">
        <f t="shared" si="4"/>
        <v>22.161290322580651</v>
      </c>
      <c r="Y26">
        <f t="shared" si="1"/>
        <v>21.516129032258068</v>
      </c>
      <c r="AC26">
        <v>6</v>
      </c>
      <c r="AD26">
        <f t="shared" si="5"/>
        <v>132.9677419354839</v>
      </c>
      <c r="AE26">
        <f t="shared" si="2"/>
        <v>129.09677419354841</v>
      </c>
      <c r="AI26">
        <v>6</v>
      </c>
      <c r="AJ26">
        <f t="shared" si="7"/>
        <v>131.03225806451616</v>
      </c>
    </row>
    <row r="27" spans="10:57">
      <c r="J27" t="s">
        <v>552</v>
      </c>
      <c r="K27">
        <v>1</v>
      </c>
      <c r="L27">
        <v>0.10199999999999999</v>
      </c>
      <c r="M27">
        <v>0.106</v>
      </c>
      <c r="P27" t="s">
        <v>552</v>
      </c>
      <c r="Q27">
        <v>1</v>
      </c>
      <c r="R27">
        <f t="shared" si="3"/>
        <v>0.03</v>
      </c>
      <c r="S27">
        <f t="shared" si="0"/>
        <v>3.4000000000000002E-2</v>
      </c>
      <c r="V27" t="s">
        <v>552</v>
      </c>
      <c r="W27">
        <v>1</v>
      </c>
      <c r="X27">
        <f t="shared" si="4"/>
        <v>18.612903225806452</v>
      </c>
      <c r="Y27">
        <f t="shared" si="1"/>
        <v>19.903225806451616</v>
      </c>
      <c r="AB27" t="s">
        <v>552</v>
      </c>
      <c r="AC27">
        <v>1</v>
      </c>
      <c r="AD27">
        <f t="shared" si="5"/>
        <v>111.67741935483872</v>
      </c>
      <c r="AE27">
        <f t="shared" si="2"/>
        <v>119.41935483870969</v>
      </c>
      <c r="AH27" t="s">
        <v>552</v>
      </c>
      <c r="AI27">
        <v>1</v>
      </c>
      <c r="AJ27">
        <f t="shared" si="7"/>
        <v>115.54838709677421</v>
      </c>
    </row>
    <row r="28" spans="10:57">
      <c r="K28">
        <v>2</v>
      </c>
      <c r="L28">
        <v>9.0999999999999998E-2</v>
      </c>
      <c r="M28">
        <v>9.2999999999999999E-2</v>
      </c>
      <c r="Q28">
        <v>2</v>
      </c>
      <c r="R28">
        <f t="shared" si="3"/>
        <v>1.9000000000000003E-2</v>
      </c>
      <c r="S28">
        <f t="shared" si="0"/>
        <v>2.1000000000000005E-2</v>
      </c>
      <c r="W28">
        <v>2</v>
      </c>
      <c r="X28">
        <f t="shared" si="4"/>
        <v>15.06451612903226</v>
      </c>
      <c r="Y28">
        <f t="shared" si="1"/>
        <v>15.709677419354842</v>
      </c>
      <c r="AC28">
        <v>2</v>
      </c>
      <c r="AD28">
        <f t="shared" si="5"/>
        <v>90.387096774193566</v>
      </c>
      <c r="AE28">
        <f t="shared" si="2"/>
        <v>94.258064516129053</v>
      </c>
      <c r="AI28">
        <v>2</v>
      </c>
      <c r="AJ28">
        <f t="shared" si="7"/>
        <v>92.32258064516131</v>
      </c>
      <c r="AL28" s="90"/>
      <c r="AM28" s="90" t="s">
        <v>235</v>
      </c>
      <c r="AN28" s="90"/>
      <c r="AO28" s="90"/>
      <c r="AP28" s="90"/>
      <c r="AQ28" s="90"/>
      <c r="AR28" s="90"/>
      <c r="AS28" s="90" t="s">
        <v>552</v>
      </c>
      <c r="AT28" s="90"/>
      <c r="AU28" s="90"/>
      <c r="AV28" s="90"/>
      <c r="AW28" s="90"/>
      <c r="AX28" s="90"/>
      <c r="AY28" s="101" t="s">
        <v>663</v>
      </c>
      <c r="AZ28" s="101" t="s">
        <v>396</v>
      </c>
      <c r="BA28" s="101" t="s">
        <v>664</v>
      </c>
      <c r="BB28" s="101" t="s">
        <v>663</v>
      </c>
      <c r="BC28" s="101" t="s">
        <v>396</v>
      </c>
      <c r="BD28" s="101" t="s">
        <v>664</v>
      </c>
      <c r="BE28" s="90" t="s">
        <v>690</v>
      </c>
    </row>
    <row r="29" spans="10:57">
      <c r="K29">
        <v>3</v>
      </c>
      <c r="L29">
        <v>9.4E-2</v>
      </c>
      <c r="M29">
        <v>9.6000000000000002E-2</v>
      </c>
      <c r="Q29">
        <v>3</v>
      </c>
      <c r="R29">
        <f t="shared" si="3"/>
        <v>2.2000000000000006E-2</v>
      </c>
      <c r="S29">
        <f t="shared" si="0"/>
        <v>2.4000000000000007E-2</v>
      </c>
      <c r="W29">
        <v>3</v>
      </c>
      <c r="X29">
        <f t="shared" si="4"/>
        <v>16.032258064516132</v>
      </c>
      <c r="Y29">
        <f t="shared" si="1"/>
        <v>16.677419354838712</v>
      </c>
      <c r="AC29">
        <v>3</v>
      </c>
      <c r="AD29">
        <f t="shared" si="5"/>
        <v>96.193548387096797</v>
      </c>
      <c r="AE29">
        <f t="shared" si="2"/>
        <v>100.06451612903227</v>
      </c>
      <c r="AI29">
        <v>3</v>
      </c>
      <c r="AJ29">
        <f t="shared" si="7"/>
        <v>98.129032258064541</v>
      </c>
      <c r="AL29" s="90" t="s">
        <v>237</v>
      </c>
      <c r="AM29" s="90">
        <v>107.80645161290325</v>
      </c>
      <c r="AN29" s="90">
        <v>81.677419354838719</v>
      </c>
      <c r="AO29" s="90">
        <v>70.064516129032285</v>
      </c>
      <c r="AP29" s="90">
        <v>96.193548387096797</v>
      </c>
      <c r="AQ29" s="90">
        <v>92.32258064516131</v>
      </c>
      <c r="AR29" s="90">
        <v>76.838709677419388</v>
      </c>
      <c r="AS29" s="90">
        <v>115.54838709677421</v>
      </c>
      <c r="AT29" s="90">
        <v>92.32258064516131</v>
      </c>
      <c r="AU29" s="90">
        <v>98.129032258064541</v>
      </c>
      <c r="AV29" s="90">
        <v>128.12903225806454</v>
      </c>
      <c r="AW29" s="90">
        <v>133.93548387096777</v>
      </c>
      <c r="AX29" s="90">
        <v>154.25806451612905</v>
      </c>
      <c r="AY29" s="101">
        <f>AVERAGE(AM29:AR29)</f>
        <v>87.483870967741964</v>
      </c>
      <c r="AZ29" s="101">
        <f>STDEV(AM29:AR29)</f>
        <v>13.876218061110828</v>
      </c>
      <c r="BA29" s="101">
        <f>AZ29/SQRT(6)</f>
        <v>5.6649423015522755</v>
      </c>
      <c r="BB29" s="101">
        <f>AVERAGE(AS29:AX29)</f>
        <v>120.38709677419358</v>
      </c>
      <c r="BC29" s="101">
        <f>STDEV(AS29:AX29)</f>
        <v>23.2258064516129</v>
      </c>
      <c r="BD29" s="101">
        <f>BC29/SQRT(6)</f>
        <v>9.4818957785155273</v>
      </c>
      <c r="BE29" s="94">
        <v>0.85309999999999997</v>
      </c>
    </row>
    <row r="30" spans="10:57">
      <c r="K30">
        <v>4</v>
      </c>
      <c r="L30">
        <v>0.105</v>
      </c>
      <c r="M30">
        <v>0.11600000000000001</v>
      </c>
      <c r="Q30">
        <v>4</v>
      </c>
      <c r="R30">
        <f t="shared" si="3"/>
        <v>3.3000000000000002E-2</v>
      </c>
      <c r="S30">
        <f t="shared" si="0"/>
        <v>4.4000000000000011E-2</v>
      </c>
      <c r="W30">
        <v>4</v>
      </c>
      <c r="X30">
        <f t="shared" si="4"/>
        <v>19.580645161290324</v>
      </c>
      <c r="Y30">
        <f t="shared" si="1"/>
        <v>23.129032258064523</v>
      </c>
      <c r="AC30">
        <v>4</v>
      </c>
      <c r="AD30">
        <f t="shared" si="5"/>
        <v>117.48387096774195</v>
      </c>
      <c r="AE30">
        <f t="shared" si="2"/>
        <v>138.77419354838713</v>
      </c>
      <c r="AI30">
        <v>4</v>
      </c>
      <c r="AJ30">
        <f t="shared" si="7"/>
        <v>128.12903225806454</v>
      </c>
      <c r="AL30" s="90" t="s">
        <v>238</v>
      </c>
      <c r="AM30" s="90">
        <v>224.58064516129033</v>
      </c>
      <c r="AN30" s="90">
        <v>394.9032258064517</v>
      </c>
      <c r="AO30" s="90">
        <v>363.29032258064518</v>
      </c>
      <c r="AP30" s="90">
        <v>297.48387096774195</v>
      </c>
      <c r="AQ30" s="90">
        <v>371.67741935483878</v>
      </c>
      <c r="AR30" s="90">
        <v>234.90322580645167</v>
      </c>
      <c r="AS30" s="90">
        <v>874.90322580645159</v>
      </c>
      <c r="AT30" s="90">
        <v>732.32258064516134</v>
      </c>
      <c r="AU30" s="90">
        <v>508.45161290322585</v>
      </c>
      <c r="AV30" s="90">
        <v>375.54838709677421</v>
      </c>
      <c r="AW30" s="90">
        <v>349.74193548387103</v>
      </c>
      <c r="AX30" s="90">
        <v>451.67741935483872</v>
      </c>
      <c r="AY30" s="90">
        <f>AVERAGE(AM30:AR30)</f>
        <v>314.47311827956997</v>
      </c>
      <c r="AZ30" s="90">
        <f>STDEV(AM30:AR30)</f>
        <v>73.246314214157252</v>
      </c>
      <c r="BA30" s="101">
        <f>AZ30/SQRT(6)</f>
        <v>29.902682560708651</v>
      </c>
      <c r="BB30" s="90">
        <f>AVERAGE(AS30:AX30)</f>
        <v>548.77419354838719</v>
      </c>
      <c r="BC30" s="101">
        <f>STDEV(AS30:AX30)</f>
        <v>210.10705363083773</v>
      </c>
      <c r="BD30" s="101">
        <f>BC30/SQRT(6)</f>
        <v>85.775845459188687</v>
      </c>
      <c r="BE30" s="94">
        <v>3.3999999999999998E-3</v>
      </c>
    </row>
    <row r="31" spans="10:57">
      <c r="K31">
        <v>5</v>
      </c>
      <c r="L31">
        <v>0.114</v>
      </c>
      <c r="M31">
        <v>0.113</v>
      </c>
      <c r="Q31">
        <v>5</v>
      </c>
      <c r="R31">
        <f t="shared" si="3"/>
        <v>4.200000000000001E-2</v>
      </c>
      <c r="S31">
        <f t="shared" si="3"/>
        <v>4.1000000000000009E-2</v>
      </c>
      <c r="W31">
        <v>5</v>
      </c>
      <c r="X31">
        <f t="shared" si="4"/>
        <v>22.483870967741939</v>
      </c>
      <c r="Y31">
        <f t="shared" si="4"/>
        <v>22.161290322580651</v>
      </c>
      <c r="AC31">
        <v>5</v>
      </c>
      <c r="AD31">
        <f t="shared" si="5"/>
        <v>134.90322580645164</v>
      </c>
      <c r="AE31">
        <f t="shared" si="5"/>
        <v>132.9677419354839</v>
      </c>
      <c r="AI31">
        <v>5</v>
      </c>
      <c r="AJ31">
        <f t="shared" si="7"/>
        <v>133.93548387096777</v>
      </c>
      <c r="AX31" s="52"/>
    </row>
    <row r="32" spans="10:57">
      <c r="K32">
        <v>6</v>
      </c>
      <c r="L32">
        <v>0.125</v>
      </c>
      <c r="M32">
        <v>0.123</v>
      </c>
      <c r="Q32">
        <v>6</v>
      </c>
      <c r="R32">
        <f t="shared" si="3"/>
        <v>5.3000000000000005E-2</v>
      </c>
      <c r="S32">
        <f t="shared" si="3"/>
        <v>5.1000000000000004E-2</v>
      </c>
      <c r="W32">
        <v>6</v>
      </c>
      <c r="X32">
        <f t="shared" ref="X32:Z38" si="8">(R32+0.0277)/0.0031</f>
        <v>26.032258064516132</v>
      </c>
      <c r="Y32">
        <f t="shared" si="8"/>
        <v>25.387096774193552</v>
      </c>
      <c r="AC32">
        <v>6</v>
      </c>
      <c r="AD32">
        <f t="shared" ref="AD32:AF38" si="9">X32*6</f>
        <v>156.1935483870968</v>
      </c>
      <c r="AE32">
        <f t="shared" si="9"/>
        <v>152.32258064516131</v>
      </c>
      <c r="AI32">
        <v>6</v>
      </c>
      <c r="AJ32">
        <f t="shared" si="7"/>
        <v>154.25806451612905</v>
      </c>
    </row>
    <row r="33" spans="10:36">
      <c r="J33" t="s">
        <v>553</v>
      </c>
      <c r="K33">
        <v>1</v>
      </c>
      <c r="L33">
        <v>0.25800000000000001</v>
      </c>
      <c r="M33">
        <v>0.26200000000000001</v>
      </c>
      <c r="N33">
        <v>0.252</v>
      </c>
      <c r="P33" t="s">
        <v>553</v>
      </c>
      <c r="Q33">
        <v>1</v>
      </c>
      <c r="R33">
        <f t="shared" si="3"/>
        <v>0.186</v>
      </c>
      <c r="S33">
        <f t="shared" si="3"/>
        <v>0.19</v>
      </c>
      <c r="T33">
        <f t="shared" si="3"/>
        <v>0.18</v>
      </c>
      <c r="V33" t="s">
        <v>553</v>
      </c>
      <c r="W33">
        <v>1</v>
      </c>
      <c r="X33">
        <f t="shared" si="8"/>
        <v>68.935483870967744</v>
      </c>
      <c r="Y33">
        <f t="shared" si="8"/>
        <v>70.225806451612911</v>
      </c>
      <c r="Z33">
        <f t="shared" si="8"/>
        <v>67</v>
      </c>
      <c r="AB33" t="s">
        <v>553</v>
      </c>
      <c r="AC33">
        <v>1</v>
      </c>
      <c r="AD33">
        <f t="shared" si="9"/>
        <v>413.61290322580646</v>
      </c>
      <c r="AE33">
        <f t="shared" si="9"/>
        <v>421.35483870967744</v>
      </c>
      <c r="AF33">
        <f t="shared" si="9"/>
        <v>402</v>
      </c>
      <c r="AH33" t="s">
        <v>553</v>
      </c>
      <c r="AI33">
        <v>1</v>
      </c>
      <c r="AJ33">
        <f>AVERAGE(AD33:AF33)</f>
        <v>412.32258064516128</v>
      </c>
    </row>
    <row r="34" spans="10:36">
      <c r="K34">
        <v>2</v>
      </c>
      <c r="L34">
        <v>0.20800000000000002</v>
      </c>
      <c r="M34">
        <v>0.224</v>
      </c>
      <c r="N34">
        <v>0.23600000000000002</v>
      </c>
      <c r="Q34">
        <v>2</v>
      </c>
      <c r="R34">
        <f t="shared" si="3"/>
        <v>0.13600000000000001</v>
      </c>
      <c r="S34">
        <f t="shared" si="3"/>
        <v>0.15200000000000002</v>
      </c>
      <c r="T34">
        <f t="shared" si="3"/>
        <v>0.16400000000000003</v>
      </c>
      <c r="W34">
        <v>2</v>
      </c>
      <c r="X34">
        <f t="shared" si="8"/>
        <v>52.806451612903231</v>
      </c>
      <c r="Y34">
        <f t="shared" si="8"/>
        <v>57.967741935483879</v>
      </c>
      <c r="Z34">
        <f t="shared" si="8"/>
        <v>61.838709677419367</v>
      </c>
      <c r="AC34">
        <v>2</v>
      </c>
      <c r="AD34">
        <f t="shared" si="9"/>
        <v>316.83870967741939</v>
      </c>
      <c r="AE34">
        <f t="shared" si="9"/>
        <v>347.80645161290329</v>
      </c>
      <c r="AF34">
        <f t="shared" si="9"/>
        <v>371.03225806451621</v>
      </c>
      <c r="AI34">
        <v>2</v>
      </c>
      <c r="AJ34">
        <f t="shared" ref="AJ34:AJ36" si="10">AVERAGE(AD34:AF34)</f>
        <v>345.22580645161298</v>
      </c>
    </row>
    <row r="35" spans="10:36">
      <c r="K35">
        <v>3</v>
      </c>
      <c r="L35">
        <v>0.19400000000000001</v>
      </c>
      <c r="M35">
        <v>0.22500000000000001</v>
      </c>
      <c r="N35">
        <v>0.20800000000000002</v>
      </c>
      <c r="Q35">
        <v>3</v>
      </c>
      <c r="R35">
        <f t="shared" si="3"/>
        <v>0.12200000000000001</v>
      </c>
      <c r="S35">
        <f t="shared" si="3"/>
        <v>0.15300000000000002</v>
      </c>
      <c r="T35">
        <f t="shared" si="3"/>
        <v>0.13600000000000001</v>
      </c>
      <c r="W35">
        <v>3</v>
      </c>
      <c r="X35">
        <f t="shared" si="8"/>
        <v>48.29032258064516</v>
      </c>
      <c r="Y35">
        <f t="shared" si="8"/>
        <v>58.290322580645174</v>
      </c>
      <c r="Z35">
        <f t="shared" si="8"/>
        <v>52.806451612903231</v>
      </c>
      <c r="AC35">
        <v>3</v>
      </c>
      <c r="AD35">
        <f t="shared" si="9"/>
        <v>289.74193548387098</v>
      </c>
      <c r="AE35">
        <f t="shared" si="9"/>
        <v>349.74193548387103</v>
      </c>
      <c r="AF35">
        <f t="shared" si="9"/>
        <v>316.83870967741939</v>
      </c>
      <c r="AI35">
        <v>3</v>
      </c>
      <c r="AJ35">
        <f t="shared" si="10"/>
        <v>318.77419354838713</v>
      </c>
    </row>
    <row r="36" spans="10:36">
      <c r="K36">
        <v>4</v>
      </c>
      <c r="L36">
        <v>0.2</v>
      </c>
      <c r="M36">
        <v>0.193</v>
      </c>
      <c r="N36">
        <v>0.16900000000000001</v>
      </c>
      <c r="Q36">
        <v>4</v>
      </c>
      <c r="R36">
        <f t="shared" si="3"/>
        <v>0.128</v>
      </c>
      <c r="S36">
        <f t="shared" si="3"/>
        <v>0.12100000000000001</v>
      </c>
      <c r="T36">
        <f t="shared" si="3"/>
        <v>9.7000000000000017E-2</v>
      </c>
      <c r="W36">
        <v>4</v>
      </c>
      <c r="X36">
        <f t="shared" si="8"/>
        <v>50.225806451612904</v>
      </c>
      <c r="Y36">
        <f t="shared" si="8"/>
        <v>47.967741935483872</v>
      </c>
      <c r="Z36">
        <f t="shared" si="8"/>
        <v>40.225806451612911</v>
      </c>
      <c r="AC36">
        <v>4</v>
      </c>
      <c r="AD36">
        <f t="shared" si="9"/>
        <v>301.35483870967744</v>
      </c>
      <c r="AE36">
        <f t="shared" si="9"/>
        <v>287.80645161290323</v>
      </c>
      <c r="AF36">
        <f t="shared" si="9"/>
        <v>241.35483870967747</v>
      </c>
      <c r="AI36">
        <v>4</v>
      </c>
      <c r="AJ36">
        <f t="shared" si="10"/>
        <v>276.83870967741939</v>
      </c>
    </row>
    <row r="37" spans="10:36">
      <c r="K37">
        <v>5</v>
      </c>
      <c r="L37">
        <v>0.18099999999999999</v>
      </c>
      <c r="M37">
        <v>0.152</v>
      </c>
      <c r="N37">
        <v>0.153</v>
      </c>
      <c r="Q37">
        <v>5</v>
      </c>
      <c r="R37">
        <f t="shared" si="3"/>
        <v>0.109</v>
      </c>
      <c r="S37">
        <f t="shared" si="3"/>
        <v>0.08</v>
      </c>
      <c r="T37">
        <f t="shared" si="3"/>
        <v>8.1000000000000003E-2</v>
      </c>
      <c r="W37">
        <v>5</v>
      </c>
      <c r="X37">
        <f t="shared" si="8"/>
        <v>44.096774193548384</v>
      </c>
      <c r="Y37">
        <f t="shared" si="8"/>
        <v>34.741935483870968</v>
      </c>
      <c r="Z37">
        <f t="shared" si="8"/>
        <v>35.064516129032263</v>
      </c>
      <c r="AC37">
        <v>5</v>
      </c>
      <c r="AD37">
        <f t="shared" si="9"/>
        <v>264.58064516129031</v>
      </c>
      <c r="AE37">
        <f t="shared" si="9"/>
        <v>208.45161290322579</v>
      </c>
      <c r="AF37">
        <f t="shared" si="9"/>
        <v>210.38709677419359</v>
      </c>
      <c r="AI37">
        <v>5</v>
      </c>
      <c r="AJ37">
        <f>AVERAGE(AD37:AF37)</f>
        <v>227.80645161290326</v>
      </c>
    </row>
    <row r="38" spans="10:36">
      <c r="K38">
        <v>6</v>
      </c>
      <c r="L38">
        <v>0.14399999999999999</v>
      </c>
      <c r="M38">
        <v>0.14799999999999999</v>
      </c>
      <c r="N38">
        <v>0.14799999999999999</v>
      </c>
      <c r="Q38">
        <v>6</v>
      </c>
      <c r="R38">
        <f t="shared" si="3"/>
        <v>7.1999999999999995E-2</v>
      </c>
      <c r="S38">
        <f t="shared" si="3"/>
        <v>7.5999999999999998E-2</v>
      </c>
      <c r="T38">
        <f t="shared" si="3"/>
        <v>7.5999999999999998E-2</v>
      </c>
      <c r="W38">
        <v>6</v>
      </c>
      <c r="X38">
        <f t="shared" si="8"/>
        <v>32.161290322580648</v>
      </c>
      <c r="Y38">
        <f t="shared" si="8"/>
        <v>33.451612903225808</v>
      </c>
      <c r="Z38">
        <f t="shared" si="8"/>
        <v>33.451612903225808</v>
      </c>
      <c r="AC38">
        <v>6</v>
      </c>
      <c r="AD38">
        <f t="shared" si="9"/>
        <v>192.9677419354839</v>
      </c>
      <c r="AE38">
        <f t="shared" si="9"/>
        <v>200.70967741935485</v>
      </c>
      <c r="AF38">
        <f t="shared" si="9"/>
        <v>200.70967741935485</v>
      </c>
      <c r="AI38">
        <v>6</v>
      </c>
      <c r="AJ38">
        <f t="shared" ref="AJ38:AJ59" si="11">AVERAGE(AD38:AF38)</f>
        <v>198.12903225806454</v>
      </c>
    </row>
    <row r="39" spans="10:36">
      <c r="J39" s="52"/>
      <c r="K39" s="52"/>
      <c r="L39" s="52"/>
      <c r="M39" s="52"/>
      <c r="N39" s="52"/>
      <c r="O39" s="52"/>
      <c r="P39" s="52"/>
      <c r="Q39" s="52"/>
      <c r="R39" s="52"/>
      <c r="S39" s="52"/>
      <c r="T39" s="52"/>
      <c r="U39" s="52"/>
      <c r="V39" s="52"/>
      <c r="W39" s="52"/>
      <c r="X39" s="52"/>
      <c r="Y39" s="52"/>
      <c r="Z39" s="52"/>
      <c r="AA39" s="52"/>
      <c r="AB39" s="52"/>
      <c r="AC39" s="52"/>
      <c r="AD39" s="52"/>
      <c r="AE39" s="52"/>
      <c r="AF39" s="52"/>
      <c r="AG39" s="52"/>
      <c r="AH39" s="52"/>
      <c r="AI39" s="52"/>
      <c r="AJ39" s="52"/>
    </row>
    <row r="40" spans="10:36">
      <c r="J40" s="52"/>
      <c r="K40" s="52"/>
      <c r="L40" s="52"/>
      <c r="M40" s="52"/>
      <c r="N40" s="52"/>
      <c r="O40" s="52"/>
      <c r="P40" s="52"/>
      <c r="Q40" s="52"/>
      <c r="R40" s="52"/>
      <c r="S40" s="52"/>
      <c r="T40" s="52"/>
      <c r="U40" s="52"/>
      <c r="V40" s="52"/>
      <c r="W40" s="52"/>
      <c r="X40" s="52"/>
      <c r="Y40" s="52"/>
      <c r="Z40" s="52"/>
      <c r="AA40" s="52"/>
      <c r="AB40" s="52"/>
      <c r="AC40" s="52"/>
      <c r="AD40" s="52"/>
      <c r="AE40" s="52"/>
      <c r="AF40" s="52"/>
      <c r="AG40" s="52"/>
      <c r="AH40" s="52"/>
      <c r="AI40" s="52"/>
      <c r="AJ40" s="52"/>
    </row>
    <row r="41" spans="10:36">
      <c r="J41" t="s">
        <v>554</v>
      </c>
      <c r="K41">
        <v>1</v>
      </c>
      <c r="L41">
        <v>0.37</v>
      </c>
      <c r="M41">
        <v>0.312</v>
      </c>
      <c r="N41">
        <v>0.39500000000000002</v>
      </c>
      <c r="P41" t="s">
        <v>554</v>
      </c>
      <c r="Q41">
        <v>1</v>
      </c>
      <c r="R41">
        <f t="shared" ref="R41:T46" si="12">L41-0.072</f>
        <v>0.29799999999999999</v>
      </c>
      <c r="S41">
        <f t="shared" si="12"/>
        <v>0.24</v>
      </c>
      <c r="T41">
        <f t="shared" si="12"/>
        <v>0.32300000000000001</v>
      </c>
      <c r="V41" t="s">
        <v>554</v>
      </c>
      <c r="W41">
        <v>1</v>
      </c>
      <c r="X41">
        <f t="shared" ref="X41:Z46" si="13">(R41+0.0277)/0.0031</f>
        <v>105.06451612903226</v>
      </c>
      <c r="Y41">
        <f t="shared" si="13"/>
        <v>86.354838709677423</v>
      </c>
      <c r="Z41">
        <f t="shared" si="13"/>
        <v>113.12903225806453</v>
      </c>
      <c r="AB41" t="s">
        <v>554</v>
      </c>
      <c r="AC41">
        <v>1</v>
      </c>
      <c r="AD41">
        <f t="shared" ref="AD41:AF46" si="14">X41*6</f>
        <v>630.38709677419354</v>
      </c>
      <c r="AE41">
        <f t="shared" si="14"/>
        <v>518.12903225806451</v>
      </c>
      <c r="AF41">
        <f t="shared" si="14"/>
        <v>678.77419354838719</v>
      </c>
      <c r="AH41" t="s">
        <v>554</v>
      </c>
      <c r="AI41">
        <v>1</v>
      </c>
      <c r="AJ41">
        <f t="shared" ref="AJ41:AJ46" si="15">AVERAGE(AD41:AF41)</f>
        <v>609.09677419354841</v>
      </c>
    </row>
    <row r="42" spans="10:36">
      <c r="K42">
        <v>2</v>
      </c>
      <c r="L42">
        <v>0.33100000000000002</v>
      </c>
      <c r="M42">
        <v>0.41300000000000003</v>
      </c>
      <c r="N42">
        <v>0.40500000000000003</v>
      </c>
      <c r="Q42">
        <v>2</v>
      </c>
      <c r="R42">
        <f t="shared" si="12"/>
        <v>0.25900000000000001</v>
      </c>
      <c r="S42">
        <f t="shared" si="12"/>
        <v>0.34100000000000003</v>
      </c>
      <c r="T42">
        <f t="shared" si="12"/>
        <v>0.33300000000000002</v>
      </c>
      <c r="W42">
        <v>2</v>
      </c>
      <c r="X42">
        <f t="shared" si="13"/>
        <v>92.483870967741936</v>
      </c>
      <c r="Y42">
        <f t="shared" si="13"/>
        <v>118.93548387096776</v>
      </c>
      <c r="Z42">
        <f t="shared" si="13"/>
        <v>116.35483870967742</v>
      </c>
      <c r="AC42">
        <v>2</v>
      </c>
      <c r="AD42">
        <f t="shared" si="14"/>
        <v>554.90322580645159</v>
      </c>
      <c r="AE42">
        <f t="shared" si="14"/>
        <v>713.61290322580658</v>
      </c>
      <c r="AF42">
        <f t="shared" si="14"/>
        <v>698.12903225806451</v>
      </c>
      <c r="AI42">
        <v>2</v>
      </c>
      <c r="AJ42">
        <f t="shared" si="15"/>
        <v>655.54838709677415</v>
      </c>
    </row>
    <row r="43" spans="10:36">
      <c r="K43">
        <v>3</v>
      </c>
      <c r="L43">
        <v>0.33</v>
      </c>
      <c r="M43">
        <v>0.39900000000000002</v>
      </c>
      <c r="N43">
        <v>0.32100000000000001</v>
      </c>
      <c r="Q43">
        <v>3</v>
      </c>
      <c r="R43">
        <f t="shared" si="12"/>
        <v>0.25800000000000001</v>
      </c>
      <c r="S43">
        <f t="shared" si="12"/>
        <v>0.32700000000000001</v>
      </c>
      <c r="T43">
        <f t="shared" si="12"/>
        <v>0.249</v>
      </c>
      <c r="W43">
        <v>3</v>
      </c>
      <c r="X43">
        <f t="shared" si="13"/>
        <v>92.161290322580655</v>
      </c>
      <c r="Y43">
        <f t="shared" si="13"/>
        <v>114.41935483870968</v>
      </c>
      <c r="Z43">
        <f t="shared" si="13"/>
        <v>89.258064516129039</v>
      </c>
      <c r="AC43">
        <v>3</v>
      </c>
      <c r="AD43">
        <f t="shared" si="14"/>
        <v>552.9677419354839</v>
      </c>
      <c r="AE43">
        <f t="shared" si="14"/>
        <v>686.51612903225805</v>
      </c>
      <c r="AF43">
        <f t="shared" si="14"/>
        <v>535.54838709677426</v>
      </c>
      <c r="AI43">
        <v>3</v>
      </c>
      <c r="AJ43">
        <f t="shared" si="15"/>
        <v>591.67741935483866</v>
      </c>
    </row>
    <row r="44" spans="10:36">
      <c r="K44">
        <v>4</v>
      </c>
      <c r="L44">
        <v>0.35100000000000003</v>
      </c>
      <c r="M44">
        <v>0.36</v>
      </c>
      <c r="N44">
        <v>0.34799999999999998</v>
      </c>
      <c r="Q44">
        <v>4</v>
      </c>
      <c r="R44">
        <f t="shared" si="12"/>
        <v>0.27900000000000003</v>
      </c>
      <c r="S44">
        <f t="shared" si="12"/>
        <v>0.28799999999999998</v>
      </c>
      <c r="T44">
        <f t="shared" si="12"/>
        <v>0.27599999999999997</v>
      </c>
      <c r="W44">
        <v>4</v>
      </c>
      <c r="X44">
        <f t="shared" si="13"/>
        <v>98.935483870967758</v>
      </c>
      <c r="Y44">
        <f t="shared" si="13"/>
        <v>101.83870967741935</v>
      </c>
      <c r="Z44">
        <f t="shared" si="13"/>
        <v>97.967741935483858</v>
      </c>
      <c r="AC44">
        <v>4</v>
      </c>
      <c r="AD44">
        <f t="shared" si="14"/>
        <v>593.61290322580658</v>
      </c>
      <c r="AE44">
        <f t="shared" si="14"/>
        <v>611.0322580645161</v>
      </c>
      <c r="AF44">
        <f t="shared" si="14"/>
        <v>587.80645161290317</v>
      </c>
      <c r="AI44">
        <v>4</v>
      </c>
      <c r="AJ44">
        <f t="shared" si="15"/>
        <v>597.48387096774195</v>
      </c>
    </row>
    <row r="45" spans="10:36">
      <c r="K45">
        <v>5</v>
      </c>
      <c r="L45">
        <v>0.25900000000000001</v>
      </c>
      <c r="M45">
        <v>0.26300000000000001</v>
      </c>
      <c r="N45">
        <v>0.26100000000000001</v>
      </c>
      <c r="Q45">
        <v>5</v>
      </c>
      <c r="R45">
        <f t="shared" si="12"/>
        <v>0.187</v>
      </c>
      <c r="S45">
        <f t="shared" si="12"/>
        <v>0.191</v>
      </c>
      <c r="T45">
        <f t="shared" si="12"/>
        <v>0.189</v>
      </c>
      <c r="W45">
        <v>5</v>
      </c>
      <c r="X45">
        <f t="shared" si="13"/>
        <v>69.258064516129039</v>
      </c>
      <c r="Y45">
        <f t="shared" si="13"/>
        <v>70.548387096774192</v>
      </c>
      <c r="Z45">
        <f t="shared" si="13"/>
        <v>69.903225806451616</v>
      </c>
      <c r="AC45">
        <v>5</v>
      </c>
      <c r="AD45">
        <f t="shared" si="14"/>
        <v>415.54838709677426</v>
      </c>
      <c r="AE45">
        <f t="shared" si="14"/>
        <v>423.29032258064512</v>
      </c>
      <c r="AF45">
        <f t="shared" si="14"/>
        <v>419.41935483870969</v>
      </c>
      <c r="AI45">
        <v>5</v>
      </c>
      <c r="AJ45">
        <f t="shared" si="15"/>
        <v>419.41935483870969</v>
      </c>
    </row>
    <row r="46" spans="10:36">
      <c r="K46">
        <v>6</v>
      </c>
      <c r="L46">
        <v>0.40899999999999997</v>
      </c>
      <c r="M46">
        <v>0.39700000000000002</v>
      </c>
      <c r="N46">
        <v>0.41</v>
      </c>
      <c r="Q46">
        <v>6</v>
      </c>
      <c r="R46">
        <f t="shared" si="12"/>
        <v>0.33699999999999997</v>
      </c>
      <c r="S46">
        <f t="shared" si="12"/>
        <v>0.32500000000000001</v>
      </c>
      <c r="T46">
        <f t="shared" si="12"/>
        <v>0.33799999999999997</v>
      </c>
      <c r="W46">
        <v>6</v>
      </c>
      <c r="X46">
        <f t="shared" si="13"/>
        <v>117.64516129032258</v>
      </c>
      <c r="Y46">
        <f t="shared" si="13"/>
        <v>113.7741935483871</v>
      </c>
      <c r="Z46">
        <f t="shared" si="13"/>
        <v>117.96774193548387</v>
      </c>
      <c r="AC46">
        <v>6</v>
      </c>
      <c r="AD46">
        <f t="shared" si="14"/>
        <v>705.87096774193549</v>
      </c>
      <c r="AE46">
        <f t="shared" si="14"/>
        <v>682.64516129032268</v>
      </c>
      <c r="AF46">
        <f t="shared" si="14"/>
        <v>707.80645161290317</v>
      </c>
      <c r="AI46">
        <v>6</v>
      </c>
      <c r="AJ46">
        <f t="shared" si="15"/>
        <v>698.77419354838696</v>
      </c>
    </row>
    <row r="49" spans="10:36">
      <c r="J49" t="s">
        <v>555</v>
      </c>
      <c r="K49">
        <v>1</v>
      </c>
      <c r="L49">
        <v>0.17</v>
      </c>
      <c r="M49">
        <v>0.158</v>
      </c>
      <c r="N49">
        <v>0.153</v>
      </c>
      <c r="P49" t="s">
        <v>555</v>
      </c>
      <c r="Q49">
        <v>1</v>
      </c>
      <c r="R49">
        <f t="shared" si="3"/>
        <v>9.8000000000000018E-2</v>
      </c>
      <c r="S49">
        <f t="shared" si="3"/>
        <v>8.6000000000000007E-2</v>
      </c>
      <c r="T49">
        <f t="shared" si="3"/>
        <v>8.1000000000000003E-2</v>
      </c>
      <c r="V49" t="s">
        <v>555</v>
      </c>
      <c r="W49">
        <v>1</v>
      </c>
      <c r="X49">
        <f t="shared" ref="X49:Z59" si="16">(R49+0.0277)/0.0031</f>
        <v>40.548387096774199</v>
      </c>
      <c r="Y49">
        <f t="shared" si="16"/>
        <v>36.677419354838712</v>
      </c>
      <c r="Z49">
        <f t="shared" si="16"/>
        <v>35.064516129032263</v>
      </c>
      <c r="AB49" t="s">
        <v>555</v>
      </c>
      <c r="AC49">
        <v>1</v>
      </c>
      <c r="AD49">
        <f t="shared" ref="AD49:AF59" si="17">X49*6</f>
        <v>243.29032258064518</v>
      </c>
      <c r="AE49">
        <f t="shared" si="17"/>
        <v>220.06451612903226</v>
      </c>
      <c r="AF49">
        <f t="shared" si="17"/>
        <v>210.38709677419359</v>
      </c>
      <c r="AH49" t="s">
        <v>555</v>
      </c>
      <c r="AI49">
        <v>1</v>
      </c>
      <c r="AJ49">
        <f t="shared" si="11"/>
        <v>224.58064516129033</v>
      </c>
    </row>
    <row r="50" spans="10:36">
      <c r="K50">
        <v>2</v>
      </c>
      <c r="L50">
        <v>0.23400000000000001</v>
      </c>
      <c r="M50">
        <v>0.22700000000000001</v>
      </c>
      <c r="N50">
        <v>0.28400000000000003</v>
      </c>
      <c r="Q50">
        <v>2</v>
      </c>
      <c r="R50">
        <f t="shared" si="3"/>
        <v>0.16200000000000003</v>
      </c>
      <c r="S50">
        <f t="shared" si="3"/>
        <v>0.15500000000000003</v>
      </c>
      <c r="T50">
        <f t="shared" si="3"/>
        <v>0.21200000000000002</v>
      </c>
      <c r="W50">
        <v>2</v>
      </c>
      <c r="X50">
        <f t="shared" si="16"/>
        <v>61.19354838709679</v>
      </c>
      <c r="Y50">
        <f t="shared" si="16"/>
        <v>58.935483870967751</v>
      </c>
      <c r="Z50">
        <f t="shared" si="16"/>
        <v>77.322580645161295</v>
      </c>
      <c r="AC50">
        <v>2</v>
      </c>
      <c r="AD50">
        <f t="shared" si="17"/>
        <v>367.16129032258073</v>
      </c>
      <c r="AE50">
        <f t="shared" si="17"/>
        <v>353.61290322580652</v>
      </c>
      <c r="AF50">
        <f t="shared" si="17"/>
        <v>463.9354838709678</v>
      </c>
      <c r="AI50">
        <v>2</v>
      </c>
      <c r="AJ50">
        <f t="shared" si="11"/>
        <v>394.9032258064517</v>
      </c>
    </row>
    <row r="51" spans="10:36">
      <c r="K51">
        <v>3</v>
      </c>
      <c r="L51">
        <v>0.23700000000000002</v>
      </c>
      <c r="M51">
        <v>0.221</v>
      </c>
      <c r="N51">
        <v>0.23800000000000002</v>
      </c>
      <c r="Q51">
        <v>3</v>
      </c>
      <c r="R51">
        <f t="shared" si="3"/>
        <v>0.16500000000000004</v>
      </c>
      <c r="S51">
        <f t="shared" si="3"/>
        <v>0.14900000000000002</v>
      </c>
      <c r="T51">
        <f t="shared" si="3"/>
        <v>0.16600000000000004</v>
      </c>
      <c r="W51">
        <v>3</v>
      </c>
      <c r="X51">
        <f t="shared" si="16"/>
        <v>62.161290322580662</v>
      </c>
      <c r="Y51">
        <f t="shared" si="16"/>
        <v>57.000000000000007</v>
      </c>
      <c r="Z51">
        <f t="shared" si="16"/>
        <v>62.48387096774195</v>
      </c>
      <c r="AC51">
        <v>3</v>
      </c>
      <c r="AD51">
        <f t="shared" si="17"/>
        <v>372.96774193548396</v>
      </c>
      <c r="AE51">
        <f t="shared" si="17"/>
        <v>342.00000000000006</v>
      </c>
      <c r="AF51">
        <f t="shared" si="17"/>
        <v>374.9032258064517</v>
      </c>
      <c r="AI51">
        <v>3</v>
      </c>
      <c r="AJ51">
        <f t="shared" si="11"/>
        <v>363.29032258064518</v>
      </c>
    </row>
    <row r="52" spans="10:36">
      <c r="K52">
        <v>4</v>
      </c>
      <c r="L52">
        <v>0.20300000000000001</v>
      </c>
      <c r="M52">
        <v>0.193</v>
      </c>
      <c r="N52">
        <v>0.19800000000000001</v>
      </c>
      <c r="Q52">
        <v>4</v>
      </c>
      <c r="R52">
        <f t="shared" si="3"/>
        <v>0.13100000000000001</v>
      </c>
      <c r="S52">
        <f t="shared" si="3"/>
        <v>0.12100000000000001</v>
      </c>
      <c r="T52">
        <f t="shared" si="3"/>
        <v>0.126</v>
      </c>
      <c r="W52">
        <v>4</v>
      </c>
      <c r="X52">
        <f t="shared" si="16"/>
        <v>51.193548387096776</v>
      </c>
      <c r="Y52">
        <f t="shared" si="16"/>
        <v>47.967741935483872</v>
      </c>
      <c r="Z52">
        <f t="shared" si="16"/>
        <v>49.580645161290327</v>
      </c>
      <c r="AC52">
        <v>4</v>
      </c>
      <c r="AD52">
        <f t="shared" si="17"/>
        <v>307.16129032258067</v>
      </c>
      <c r="AE52">
        <f t="shared" si="17"/>
        <v>287.80645161290323</v>
      </c>
      <c r="AF52">
        <f t="shared" si="17"/>
        <v>297.48387096774195</v>
      </c>
      <c r="AI52">
        <v>4</v>
      </c>
      <c r="AJ52">
        <f t="shared" si="11"/>
        <v>297.48387096774195</v>
      </c>
    </row>
    <row r="53" spans="10:36">
      <c r="K53">
        <v>5</v>
      </c>
      <c r="L53">
        <v>0.23400000000000001</v>
      </c>
      <c r="M53">
        <v>0.24199999999999999</v>
      </c>
      <c r="N53">
        <v>0.23300000000000001</v>
      </c>
      <c r="Q53">
        <v>5</v>
      </c>
      <c r="R53">
        <f t="shared" si="3"/>
        <v>0.16200000000000003</v>
      </c>
      <c r="S53">
        <f t="shared" si="3"/>
        <v>0.16999999999999998</v>
      </c>
      <c r="T53">
        <f t="shared" si="3"/>
        <v>0.16100000000000003</v>
      </c>
      <c r="W53">
        <v>5</v>
      </c>
      <c r="X53">
        <f t="shared" si="16"/>
        <v>61.19354838709679</v>
      </c>
      <c r="Y53">
        <f t="shared" si="16"/>
        <v>63.774193548387096</v>
      </c>
      <c r="Z53">
        <f t="shared" si="16"/>
        <v>60.870967741935495</v>
      </c>
      <c r="AC53">
        <v>5</v>
      </c>
      <c r="AD53">
        <f t="shared" si="17"/>
        <v>367.16129032258073</v>
      </c>
      <c r="AE53">
        <f t="shared" si="17"/>
        <v>382.64516129032256</v>
      </c>
      <c r="AF53">
        <f t="shared" si="17"/>
        <v>365.22580645161298</v>
      </c>
      <c r="AI53">
        <v>5</v>
      </c>
      <c r="AJ53">
        <f t="shared" si="11"/>
        <v>371.67741935483878</v>
      </c>
    </row>
    <row r="54" spans="10:36">
      <c r="K54">
        <v>6</v>
      </c>
      <c r="L54">
        <v>0.16300000000000001</v>
      </c>
      <c r="M54">
        <v>0.16900000000000001</v>
      </c>
      <c r="N54">
        <v>0.16500000000000001</v>
      </c>
      <c r="Q54">
        <v>6</v>
      </c>
      <c r="R54">
        <f t="shared" si="3"/>
        <v>9.1000000000000011E-2</v>
      </c>
      <c r="S54">
        <f t="shared" si="3"/>
        <v>9.7000000000000017E-2</v>
      </c>
      <c r="T54">
        <f t="shared" si="3"/>
        <v>9.3000000000000013E-2</v>
      </c>
      <c r="W54">
        <v>6</v>
      </c>
      <c r="X54">
        <f t="shared" si="16"/>
        <v>38.290322580645167</v>
      </c>
      <c r="Y54">
        <f t="shared" si="16"/>
        <v>40.225806451612911</v>
      </c>
      <c r="Z54">
        <f t="shared" si="16"/>
        <v>38.935483870967751</v>
      </c>
      <c r="AC54">
        <v>6</v>
      </c>
      <c r="AD54">
        <f t="shared" si="17"/>
        <v>229.741935483871</v>
      </c>
      <c r="AE54">
        <f t="shared" si="17"/>
        <v>241.35483870967747</v>
      </c>
      <c r="AF54">
        <f t="shared" si="17"/>
        <v>233.61290322580652</v>
      </c>
      <c r="AI54">
        <v>6</v>
      </c>
      <c r="AJ54">
        <f t="shared" si="11"/>
        <v>234.90322580645167</v>
      </c>
    </row>
    <row r="55" spans="10:36">
      <c r="J55" t="s">
        <v>556</v>
      </c>
      <c r="K55">
        <v>1</v>
      </c>
      <c r="L55">
        <v>0.59199999999999997</v>
      </c>
      <c r="M55">
        <v>0.434</v>
      </c>
      <c r="N55">
        <v>0.46300000000000002</v>
      </c>
      <c r="P55" t="s">
        <v>556</v>
      </c>
      <c r="Q55">
        <v>1</v>
      </c>
      <c r="R55">
        <f t="shared" si="3"/>
        <v>0.52</v>
      </c>
      <c r="S55">
        <f t="shared" si="3"/>
        <v>0.36199999999999999</v>
      </c>
      <c r="T55">
        <f t="shared" si="3"/>
        <v>0.39100000000000001</v>
      </c>
      <c r="V55" t="s">
        <v>556</v>
      </c>
      <c r="W55">
        <v>1</v>
      </c>
      <c r="X55">
        <f t="shared" si="16"/>
        <v>176.67741935483869</v>
      </c>
      <c r="Y55">
        <f t="shared" si="16"/>
        <v>125.70967741935485</v>
      </c>
      <c r="Z55">
        <f t="shared" si="16"/>
        <v>135.06451612903226</v>
      </c>
      <c r="AB55" t="s">
        <v>556</v>
      </c>
      <c r="AC55">
        <v>1</v>
      </c>
      <c r="AD55">
        <f t="shared" si="17"/>
        <v>1060.0645161290322</v>
      </c>
      <c r="AE55">
        <f t="shared" si="17"/>
        <v>754.25806451612902</v>
      </c>
      <c r="AF55">
        <f t="shared" si="17"/>
        <v>810.38709677419354</v>
      </c>
      <c r="AH55" t="s">
        <v>556</v>
      </c>
      <c r="AI55">
        <v>1</v>
      </c>
      <c r="AJ55">
        <f t="shared" si="11"/>
        <v>874.90322580645159</v>
      </c>
    </row>
    <row r="56" spans="10:36">
      <c r="K56">
        <v>2</v>
      </c>
      <c r="L56">
        <v>0.41899999999999998</v>
      </c>
      <c r="M56">
        <v>0.42599999999999999</v>
      </c>
      <c r="N56">
        <v>0.42299999999999999</v>
      </c>
      <c r="Q56">
        <v>2</v>
      </c>
      <c r="R56">
        <f t="shared" si="3"/>
        <v>0.34699999999999998</v>
      </c>
      <c r="S56">
        <f t="shared" si="3"/>
        <v>0.35399999999999998</v>
      </c>
      <c r="T56">
        <f t="shared" si="3"/>
        <v>0.35099999999999998</v>
      </c>
      <c r="W56">
        <v>2</v>
      </c>
      <c r="X56">
        <f t="shared" si="16"/>
        <v>120.87096774193549</v>
      </c>
      <c r="Y56">
        <f t="shared" si="16"/>
        <v>123.12903225806451</v>
      </c>
      <c r="Z56">
        <f t="shared" si="16"/>
        <v>122.16129032258064</v>
      </c>
      <c r="AC56">
        <v>2</v>
      </c>
      <c r="AD56">
        <f t="shared" si="17"/>
        <v>725.22580645161293</v>
      </c>
      <c r="AE56">
        <f t="shared" si="17"/>
        <v>738.77419354838707</v>
      </c>
      <c r="AF56">
        <f t="shared" si="17"/>
        <v>732.9677419354839</v>
      </c>
      <c r="AI56">
        <v>2</v>
      </c>
      <c r="AJ56">
        <f t="shared" si="11"/>
        <v>732.32258064516134</v>
      </c>
    </row>
    <row r="57" spans="10:36">
      <c r="K57">
        <v>3</v>
      </c>
      <c r="L57">
        <v>0.28500000000000003</v>
      </c>
      <c r="M57">
        <v>0.33800000000000002</v>
      </c>
      <c r="N57">
        <v>0.29799999999999999</v>
      </c>
      <c r="Q57">
        <v>3</v>
      </c>
      <c r="R57">
        <f t="shared" si="3"/>
        <v>0.21300000000000002</v>
      </c>
      <c r="S57">
        <f t="shared" si="3"/>
        <v>0.26600000000000001</v>
      </c>
      <c r="T57">
        <f t="shared" si="3"/>
        <v>0.22599999999999998</v>
      </c>
      <c r="W57">
        <v>3</v>
      </c>
      <c r="X57">
        <f t="shared" si="16"/>
        <v>77.645161290322591</v>
      </c>
      <c r="Y57">
        <f t="shared" si="16"/>
        <v>94.741935483870975</v>
      </c>
      <c r="Z57">
        <f t="shared" si="16"/>
        <v>81.838709677419345</v>
      </c>
      <c r="AC57">
        <v>3</v>
      </c>
      <c r="AD57">
        <f t="shared" si="17"/>
        <v>465.87096774193554</v>
      </c>
      <c r="AE57">
        <f t="shared" si="17"/>
        <v>568.45161290322585</v>
      </c>
      <c r="AF57">
        <f t="shared" si="17"/>
        <v>491.0322580645161</v>
      </c>
      <c r="AI57">
        <v>3</v>
      </c>
      <c r="AJ57">
        <f t="shared" si="11"/>
        <v>508.45161290322585</v>
      </c>
    </row>
    <row r="58" spans="10:36">
      <c r="K58">
        <v>4</v>
      </c>
      <c r="L58">
        <v>0.25</v>
      </c>
      <c r="M58">
        <v>0.224</v>
      </c>
      <c r="N58">
        <v>0.24099999999999999</v>
      </c>
      <c r="Q58">
        <v>4</v>
      </c>
      <c r="R58">
        <f t="shared" si="3"/>
        <v>0.17799999999999999</v>
      </c>
      <c r="S58">
        <f t="shared" si="3"/>
        <v>0.15200000000000002</v>
      </c>
      <c r="T58">
        <f t="shared" si="3"/>
        <v>0.16899999999999998</v>
      </c>
      <c r="W58">
        <v>4</v>
      </c>
      <c r="X58">
        <f t="shared" si="16"/>
        <v>66.354838709677423</v>
      </c>
      <c r="Y58">
        <f t="shared" si="16"/>
        <v>57.967741935483879</v>
      </c>
      <c r="Z58">
        <f t="shared" si="16"/>
        <v>63.451612903225801</v>
      </c>
      <c r="AC58">
        <v>4</v>
      </c>
      <c r="AD58">
        <f t="shared" si="17"/>
        <v>398.12903225806451</v>
      </c>
      <c r="AE58">
        <f t="shared" si="17"/>
        <v>347.80645161290329</v>
      </c>
      <c r="AF58">
        <f t="shared" si="17"/>
        <v>380.70967741935482</v>
      </c>
      <c r="AI58">
        <v>4</v>
      </c>
      <c r="AJ58">
        <f t="shared" si="11"/>
        <v>375.54838709677421</v>
      </c>
    </row>
    <row r="59" spans="10:36">
      <c r="K59">
        <v>5</v>
      </c>
      <c r="L59">
        <v>0.20100000000000001</v>
      </c>
      <c r="M59">
        <v>0.254</v>
      </c>
      <c r="N59">
        <v>0.22</v>
      </c>
      <c r="Q59">
        <v>5</v>
      </c>
      <c r="R59">
        <f t="shared" si="3"/>
        <v>0.129</v>
      </c>
      <c r="S59">
        <f t="shared" si="3"/>
        <v>0.182</v>
      </c>
      <c r="T59">
        <f t="shared" si="3"/>
        <v>0.14800000000000002</v>
      </c>
      <c r="W59">
        <v>5</v>
      </c>
      <c r="X59">
        <f t="shared" si="16"/>
        <v>50.548387096774199</v>
      </c>
      <c r="Y59">
        <f t="shared" si="16"/>
        <v>67.645161290322577</v>
      </c>
      <c r="Z59">
        <f t="shared" si="16"/>
        <v>56.677419354838719</v>
      </c>
      <c r="AC59">
        <v>5</v>
      </c>
      <c r="AD59">
        <f t="shared" si="17"/>
        <v>303.29032258064518</v>
      </c>
      <c r="AE59">
        <f t="shared" si="17"/>
        <v>405.87096774193549</v>
      </c>
      <c r="AF59">
        <f t="shared" si="17"/>
        <v>340.06451612903231</v>
      </c>
      <c r="AI59">
        <v>5</v>
      </c>
      <c r="AJ59">
        <f t="shared" si="11"/>
        <v>349.74193548387103</v>
      </c>
    </row>
    <row r="60" spans="10:36">
      <c r="Q60">
        <v>6</v>
      </c>
      <c r="R60">
        <f>L61-0.072</f>
        <v>0.19800000000000001</v>
      </c>
      <c r="S60">
        <f>M61-0.072</f>
        <v>0.20600000000000002</v>
      </c>
      <c r="T60">
        <f>N61-0.072</f>
        <v>0.21299999999999997</v>
      </c>
      <c r="W60">
        <v>6</v>
      </c>
      <c r="X60">
        <f>(R60+0.0277)/0.0031</f>
        <v>72.806451612903231</v>
      </c>
      <c r="Y60">
        <f>(S60+0.0277)/0.0031</f>
        <v>75.387096774193552</v>
      </c>
      <c r="Z60">
        <f>(T60+0.0277)/0.0031</f>
        <v>77.645161290322577</v>
      </c>
      <c r="AC60">
        <v>6</v>
      </c>
      <c r="AD60">
        <f>X60*6</f>
        <v>436.83870967741939</v>
      </c>
      <c r="AE60">
        <f>Y60*6</f>
        <v>452.32258064516134</v>
      </c>
      <c r="AF60">
        <f>Z60*6</f>
        <v>465.87096774193549</v>
      </c>
      <c r="AI60">
        <v>6</v>
      </c>
      <c r="AJ60">
        <f>AVERAGE(AD60:AF60)</f>
        <v>451.67741935483872</v>
      </c>
    </row>
    <row r="61" spans="10:36">
      <c r="K61">
        <v>7</v>
      </c>
      <c r="L61">
        <v>0.27</v>
      </c>
      <c r="M61">
        <v>0.27800000000000002</v>
      </c>
      <c r="N61">
        <v>0.28499999999999998</v>
      </c>
    </row>
    <row r="62" spans="10:36">
      <c r="AJ62" s="52"/>
    </row>
  </sheetData>
  <phoneticPr fontId="2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工作表</vt:lpstr>
      </vt:variant>
      <vt:variant>
        <vt:i4>85</vt:i4>
      </vt:variant>
    </vt:vector>
  </HeadingPairs>
  <TitlesOfParts>
    <vt:vector size="85" baseType="lpstr">
      <vt:lpstr>1a</vt:lpstr>
      <vt:lpstr>1b</vt:lpstr>
      <vt:lpstr>1c</vt:lpstr>
      <vt:lpstr>1d</vt:lpstr>
      <vt:lpstr>1e</vt:lpstr>
      <vt:lpstr>1f</vt:lpstr>
      <vt:lpstr>1g</vt:lpstr>
      <vt:lpstr>1h</vt:lpstr>
      <vt:lpstr>2b</vt:lpstr>
      <vt:lpstr>2c</vt:lpstr>
      <vt:lpstr>2d</vt:lpstr>
      <vt:lpstr>2e</vt:lpstr>
      <vt:lpstr>3a</vt:lpstr>
      <vt:lpstr>3b</vt:lpstr>
      <vt:lpstr>3d</vt:lpstr>
      <vt:lpstr>3f</vt:lpstr>
      <vt:lpstr>3g</vt:lpstr>
      <vt:lpstr>4a</vt:lpstr>
      <vt:lpstr>4b</vt:lpstr>
      <vt:lpstr>4c</vt:lpstr>
      <vt:lpstr>4d</vt:lpstr>
      <vt:lpstr>4e</vt:lpstr>
      <vt:lpstr>4f</vt:lpstr>
      <vt:lpstr>4g</vt:lpstr>
      <vt:lpstr>4i</vt:lpstr>
      <vt:lpstr>5a</vt:lpstr>
      <vt:lpstr>5d</vt:lpstr>
      <vt:lpstr>5e</vt:lpstr>
      <vt:lpstr>5g</vt:lpstr>
      <vt:lpstr>6c</vt:lpstr>
      <vt:lpstr>6d</vt:lpstr>
      <vt:lpstr>6e</vt:lpstr>
      <vt:lpstr>6f</vt:lpstr>
      <vt:lpstr>6g</vt:lpstr>
      <vt:lpstr>7b</vt:lpstr>
      <vt:lpstr>7c</vt:lpstr>
      <vt:lpstr>7f</vt:lpstr>
      <vt:lpstr>7g</vt:lpstr>
      <vt:lpstr>7h</vt:lpstr>
      <vt:lpstr>7i</vt:lpstr>
      <vt:lpstr>7j</vt:lpstr>
      <vt:lpstr>S1a</vt:lpstr>
      <vt:lpstr>S1c</vt:lpstr>
      <vt:lpstr>S1d</vt:lpstr>
      <vt:lpstr>S2a</vt:lpstr>
      <vt:lpstr>S2b</vt:lpstr>
      <vt:lpstr>S2c</vt:lpstr>
      <vt:lpstr>S2d</vt:lpstr>
      <vt:lpstr>S2e</vt:lpstr>
      <vt:lpstr>S2f</vt:lpstr>
      <vt:lpstr>S3a</vt:lpstr>
      <vt:lpstr>S3b</vt:lpstr>
      <vt:lpstr>S3c</vt:lpstr>
      <vt:lpstr>S3d</vt:lpstr>
      <vt:lpstr>S3g</vt:lpstr>
      <vt:lpstr>S3h</vt:lpstr>
      <vt:lpstr>S3i</vt:lpstr>
      <vt:lpstr>S3j</vt:lpstr>
      <vt:lpstr>S3l</vt:lpstr>
      <vt:lpstr>S4b</vt:lpstr>
      <vt:lpstr>S4c</vt:lpstr>
      <vt:lpstr>S4d</vt:lpstr>
      <vt:lpstr>S5a</vt:lpstr>
      <vt:lpstr>S5b</vt:lpstr>
      <vt:lpstr>S5c</vt:lpstr>
      <vt:lpstr>S5d</vt:lpstr>
      <vt:lpstr>S5g</vt:lpstr>
      <vt:lpstr>S5i</vt:lpstr>
      <vt:lpstr>S6a</vt:lpstr>
      <vt:lpstr>S6b</vt:lpstr>
      <vt:lpstr>S6c</vt:lpstr>
      <vt:lpstr>S6d</vt:lpstr>
      <vt:lpstr>S6e</vt:lpstr>
      <vt:lpstr>S6f</vt:lpstr>
      <vt:lpstr>S6g</vt:lpstr>
      <vt:lpstr>S6h</vt:lpstr>
      <vt:lpstr>S6i</vt:lpstr>
      <vt:lpstr>S6j</vt:lpstr>
      <vt:lpstr>S6k</vt:lpstr>
      <vt:lpstr>S6l</vt:lpstr>
      <vt:lpstr>S6m</vt:lpstr>
      <vt:lpstr>S7a</vt:lpstr>
      <vt:lpstr>S7b</vt:lpstr>
      <vt:lpstr>S7c</vt:lpstr>
      <vt:lpstr>S7d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2023-11-30T06:52:20Z</dcterms:created>
  <dcterms:modified xsi:type="dcterms:W3CDTF">2024-04-11T07:00:50Z</dcterms:modified>
</cp:coreProperties>
</file>