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mc:AlternateContent xmlns:mc="http://schemas.openxmlformats.org/markup-compatibility/2006">
    <mc:Choice Requires="x15">
      <x15ac:absPath xmlns:x15ac="http://schemas.microsoft.com/office/spreadsheetml/2010/11/ac" url="C:\Users\evanroij\Downloads\"/>
    </mc:Choice>
  </mc:AlternateContent>
  <xr:revisionPtr revIDLastSave="0" documentId="13_ncr:1_{77AD26F3-6872-42B9-9400-35ED21685FA8}" xr6:coauthVersionLast="47" xr6:coauthVersionMax="47" xr10:uidLastSave="{00000000-0000-0000-0000-000000000000}"/>
  <bookViews>
    <workbookView xWindow="-120" yWindow="-16320" windowWidth="29040" windowHeight="15840" tabRatio="957" xr2:uid="{00000000-000D-0000-FFFF-FFFF00000000}"/>
  </bookViews>
  <sheets>
    <sheet name="Outline" sheetId="17" r:id="rId1"/>
    <sheet name="SDS1" sheetId="9" r:id="rId2"/>
    <sheet name="SDS2" sheetId="34" r:id="rId3"/>
    <sheet name="SDS3" sheetId="19" r:id="rId4"/>
    <sheet name="SDS4" sheetId="16" r:id="rId5"/>
    <sheet name="SDS5" sheetId="15" r:id="rId6"/>
    <sheet name="SDS6" sheetId="14" r:id="rId7"/>
    <sheet name="SDS7" sheetId="12" r:id="rId8"/>
    <sheet name="SDS8" sheetId="13" r:id="rId9"/>
    <sheet name="SDS9" sheetId="20" r:id="rId10"/>
    <sheet name="SDS10" sheetId="21" r:id="rId11"/>
    <sheet name="SDS11" sheetId="23" r:id="rId12"/>
    <sheet name="SDS12" sheetId="25" r:id="rId13"/>
    <sheet name="SDS13" sheetId="26" r:id="rId14"/>
    <sheet name="SDS14" sheetId="27" r:id="rId15"/>
    <sheet name="SDS15" sheetId="28" r:id="rId16"/>
    <sheet name="SDS16" sheetId="31" r:id="rId17"/>
    <sheet name="SDS17" sheetId="37" r:id="rId18"/>
    <sheet name="SDS18" sheetId="38" r:id="rId19"/>
    <sheet name="SDS19" sheetId="32" r:id="rId20"/>
    <sheet name="SDS20" sheetId="29" r:id="rId21"/>
    <sheet name="SDS21" sheetId="36" r:id="rId22"/>
    <sheet name="SDS22" sheetId="39" r:id="rId23"/>
    <sheet name="SDS23" sheetId="24" r:id="rId24"/>
  </sheets>
  <definedNames>
    <definedName name="concrete_thickness_estimation" localSheetId="6">'SDS6'!$C$4:$C$34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 i="31" l="1"/>
  <c r="L6" i="31"/>
  <c r="L5" i="31"/>
  <c r="I7" i="38"/>
  <c r="I8" i="38"/>
  <c r="I9" i="38"/>
  <c r="I10" i="38"/>
  <c r="I11" i="38"/>
  <c r="I12" i="38"/>
  <c r="I13" i="38"/>
  <c r="I14" i="38"/>
  <c r="I6" i="38"/>
  <c r="G7" i="38"/>
  <c r="G8" i="38"/>
  <c r="G9" i="38"/>
  <c r="G10" i="38"/>
  <c r="G11" i="38"/>
  <c r="G12" i="38"/>
  <c r="G13" i="38"/>
  <c r="G14" i="38"/>
  <c r="G6" i="38"/>
  <c r="H14" i="38"/>
  <c r="F14" i="38"/>
  <c r="H13" i="38"/>
  <c r="H12" i="38"/>
  <c r="H11" i="38"/>
  <c r="H10" i="38"/>
  <c r="H9" i="38"/>
  <c r="H8" i="38"/>
  <c r="H7" i="38"/>
  <c r="H6" i="38"/>
  <c r="G4" i="19" l="1"/>
  <c r="P13" i="37" l="1"/>
  <c r="P14" i="37"/>
  <c r="P15" i="37"/>
  <c r="P16" i="37"/>
  <c r="M6" i="37"/>
  <c r="L6" i="37"/>
  <c r="K6" i="37"/>
  <c r="J6" i="37"/>
  <c r="H6" i="36"/>
  <c r="D18" i="36" s="1"/>
  <c r="B19" i="36"/>
  <c r="C5" i="36"/>
  <c r="C6" i="36"/>
  <c r="C7" i="36"/>
  <c r="C8" i="36"/>
  <c r="C9" i="36"/>
  <c r="C10" i="36"/>
  <c r="C11" i="36"/>
  <c r="C12" i="36"/>
  <c r="C13" i="36"/>
  <c r="C14" i="36"/>
  <c r="C15" i="36"/>
  <c r="C4" i="36"/>
  <c r="I5" i="27"/>
  <c r="I6" i="27"/>
  <c r="I7" i="27"/>
  <c r="I8" i="27"/>
  <c r="I4" i="27"/>
  <c r="G4" i="27"/>
  <c r="M31" i="9"/>
  <c r="M30" i="9"/>
  <c r="M29" i="9"/>
  <c r="M28" i="9"/>
  <c r="M27" i="9"/>
  <c r="G27" i="9" s="1"/>
  <c r="M26" i="9"/>
  <c r="G26" i="9" s="1"/>
  <c r="M25" i="9"/>
  <c r="G25" i="9" s="1"/>
  <c r="M24" i="9"/>
  <c r="G24" i="9" s="1"/>
  <c r="M23" i="9"/>
  <c r="G23" i="9" s="1"/>
  <c r="M22" i="9"/>
  <c r="G22" i="9" s="1"/>
  <c r="M21" i="9"/>
  <c r="M20" i="9"/>
  <c r="G20" i="9" s="1"/>
  <c r="M19" i="9"/>
  <c r="G19" i="9" s="1"/>
  <c r="M18" i="9"/>
  <c r="G18" i="9" s="1"/>
  <c r="M17" i="9"/>
  <c r="G17" i="9" s="1"/>
  <c r="M16" i="9"/>
  <c r="G16" i="9" s="1"/>
  <c r="M15" i="9"/>
  <c r="G15" i="9" s="1"/>
  <c r="M14" i="9"/>
  <c r="G14" i="9" s="1"/>
  <c r="M13" i="9"/>
  <c r="M12" i="9"/>
  <c r="G12" i="9" s="1"/>
  <c r="M11" i="9"/>
  <c r="G11" i="9" s="1"/>
  <c r="M10" i="9"/>
  <c r="G10" i="9" s="1"/>
  <c r="M9" i="9"/>
  <c r="G9" i="9" s="1"/>
  <c r="M8" i="9"/>
  <c r="G8" i="9" s="1"/>
  <c r="M7" i="9"/>
  <c r="G7" i="9"/>
  <c r="M6" i="9"/>
  <c r="G6" i="9" s="1"/>
  <c r="G13" i="9"/>
  <c r="G21" i="9"/>
  <c r="G28" i="9"/>
  <c r="G29" i="9"/>
  <c r="M5" i="9"/>
  <c r="G5" i="9" s="1"/>
  <c r="M4" i="9"/>
  <c r="G30" i="9"/>
  <c r="G31" i="9"/>
  <c r="G32"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4" i="9"/>
  <c r="F4" i="9"/>
  <c r="H34" i="25"/>
  <c r="H20" i="25"/>
  <c r="H5" i="25"/>
  <c r="D9" i="36" l="1"/>
  <c r="D4" i="36"/>
  <c r="D10" i="36"/>
  <c r="D17" i="36"/>
  <c r="D11" i="36"/>
  <c r="D8" i="36"/>
  <c r="D16" i="36"/>
  <c r="D15" i="36"/>
  <c r="D7" i="36"/>
  <c r="D14" i="36"/>
  <c r="D6" i="36"/>
  <c r="D13" i="36"/>
  <c r="C19" i="36"/>
  <c r="D12" i="36"/>
  <c r="D5" i="36"/>
  <c r="D19" i="36" l="1"/>
  <c r="M9" i="36" l="1"/>
  <c r="M12" i="36"/>
  <c r="M8" i="36"/>
  <c r="M10" i="36"/>
  <c r="M11" i="36"/>
  <c r="M13" i="36"/>
  <c r="M6" i="36"/>
  <c r="M5" i="36"/>
  <c r="M7" i="36"/>
  <c r="N5" i="36" l="1"/>
  <c r="N6" i="36"/>
  <c r="N13" i="36"/>
  <c r="N11" i="36"/>
  <c r="N10" i="36"/>
  <c r="N8" i="36"/>
  <c r="N12" i="36"/>
  <c r="N7" i="36"/>
  <c r="N9" i="36"/>
  <c r="E26" i="14" l="1"/>
  <c r="B34" i="25"/>
  <c r="B20" i="25"/>
  <c r="H6" i="23"/>
  <c r="D14" i="29"/>
  <c r="E14" i="29"/>
  <c r="F14" i="29" s="1"/>
  <c r="E26" i="29" l="1"/>
  <c r="C26" i="29"/>
  <c r="E25" i="29"/>
  <c r="C25" i="29"/>
  <c r="E21" i="29"/>
  <c r="C21" i="29"/>
  <c r="E24" i="29"/>
  <c r="C24" i="29"/>
  <c r="C22" i="29"/>
  <c r="E22" i="29"/>
  <c r="E20" i="29"/>
  <c r="C20" i="29"/>
  <c r="E19" i="29"/>
  <c r="E18" i="29"/>
  <c r="F15" i="29"/>
  <c r="D15" i="29"/>
  <c r="F10" i="29"/>
  <c r="D10" i="29"/>
  <c r="F11" i="29"/>
  <c r="D11" i="29"/>
  <c r="D12" i="29"/>
  <c r="F12" i="29"/>
  <c r="D21" i="29" l="1"/>
  <c r="F9" i="29"/>
  <c r="F13" i="29"/>
  <c r="F16" i="29"/>
  <c r="F22" i="29"/>
  <c r="F23" i="29"/>
  <c r="F24" i="29"/>
  <c r="D9" i="29"/>
  <c r="D13" i="29"/>
  <c r="D16" i="29"/>
  <c r="D17" i="29"/>
  <c r="D18" i="29"/>
  <c r="D19" i="29"/>
  <c r="D20" i="29"/>
  <c r="D23" i="29"/>
  <c r="D24" i="29"/>
  <c r="D25" i="29"/>
  <c r="D26" i="29"/>
  <c r="F26" i="29"/>
  <c r="F17" i="29"/>
  <c r="D8" i="29"/>
  <c r="F8" i="29" l="1"/>
  <c r="F21" i="29"/>
  <c r="F20" i="29"/>
  <c r="F19" i="29"/>
  <c r="D22" i="29"/>
  <c r="F18" i="29"/>
  <c r="F25" i="29"/>
  <c r="D5" i="27"/>
  <c r="D6" i="27"/>
  <c r="D7" i="27"/>
  <c r="D8" i="27"/>
  <c r="D4" i="27"/>
  <c r="B5" i="25"/>
  <c r="J125" i="31" l="1"/>
  <c r="J126" i="31"/>
  <c r="J127" i="31"/>
  <c r="J128" i="31"/>
  <c r="J129" i="31"/>
  <c r="J130" i="31"/>
  <c r="J131" i="31"/>
  <c r="J132" i="31"/>
  <c r="J133" i="31"/>
  <c r="J134" i="31"/>
  <c r="J135" i="31"/>
  <c r="J136" i="31"/>
  <c r="J137" i="31"/>
  <c r="J138" i="31"/>
  <c r="J139" i="31"/>
  <c r="J140" i="31"/>
  <c r="J141" i="31"/>
  <c r="J142" i="31"/>
  <c r="J143" i="31"/>
  <c r="J144" i="31"/>
  <c r="J145" i="31"/>
  <c r="J146" i="31"/>
  <c r="J147" i="31"/>
  <c r="J148" i="31"/>
  <c r="J149" i="31"/>
  <c r="J150" i="31"/>
  <c r="J151" i="31"/>
  <c r="J152" i="31"/>
  <c r="J153" i="31"/>
  <c r="J154" i="31"/>
  <c r="J155" i="31"/>
  <c r="J156" i="31"/>
  <c r="J157" i="31"/>
  <c r="J158" i="31"/>
  <c r="J159" i="31"/>
  <c r="J160" i="31"/>
  <c r="J161" i="31"/>
  <c r="J162" i="31"/>
  <c r="J163" i="31"/>
  <c r="J164" i="31"/>
  <c r="J165" i="31"/>
  <c r="J166" i="31"/>
  <c r="J167" i="31"/>
  <c r="J168" i="31"/>
  <c r="J169" i="31"/>
  <c r="J170" i="31"/>
  <c r="J171" i="31"/>
  <c r="J172" i="31"/>
  <c r="J173" i="31"/>
  <c r="J174" i="31"/>
  <c r="J175" i="31"/>
  <c r="J176" i="31"/>
  <c r="J177" i="31"/>
  <c r="J178" i="31"/>
  <c r="J179" i="31"/>
  <c r="J180" i="31"/>
  <c r="J181" i="31"/>
  <c r="J182" i="31"/>
  <c r="J183" i="31"/>
  <c r="J184" i="31"/>
  <c r="J185" i="31"/>
  <c r="J186" i="31"/>
  <c r="J187" i="31"/>
  <c r="J188" i="31"/>
  <c r="J189" i="31"/>
  <c r="J190" i="31"/>
  <c r="J191" i="31"/>
  <c r="J192" i="31"/>
  <c r="J193" i="31"/>
  <c r="J194" i="31"/>
  <c r="J195" i="31"/>
  <c r="J196" i="31"/>
  <c r="J197" i="31"/>
  <c r="J198" i="31"/>
  <c r="J199" i="31"/>
  <c r="J200" i="31"/>
  <c r="J201" i="31"/>
  <c r="J202" i="31"/>
  <c r="J203" i="31"/>
  <c r="J204" i="31"/>
  <c r="J205" i="31"/>
  <c r="J206" i="31"/>
  <c r="J207" i="31"/>
  <c r="J208" i="31"/>
  <c r="J209" i="31"/>
  <c r="J210" i="31"/>
  <c r="J211" i="31"/>
  <c r="J212" i="31"/>
  <c r="J213" i="31"/>
  <c r="J214" i="31"/>
  <c r="J215" i="31"/>
  <c r="J216" i="31"/>
  <c r="J217" i="31"/>
  <c r="J218" i="31"/>
  <c r="J219" i="31"/>
  <c r="J220" i="31"/>
  <c r="J221" i="31"/>
  <c r="J222" i="31"/>
  <c r="J223" i="31"/>
  <c r="K6" i="31"/>
  <c r="K7" i="31"/>
  <c r="K8" i="31"/>
  <c r="K9" i="31"/>
  <c r="K10" i="31"/>
  <c r="K11" i="31"/>
  <c r="K12" i="31"/>
  <c r="K13" i="31"/>
  <c r="K14" i="31"/>
  <c r="K15" i="31"/>
  <c r="K16" i="31"/>
  <c r="K17" i="31"/>
  <c r="K18" i="31"/>
  <c r="K19" i="31"/>
  <c r="K20" i="31"/>
  <c r="K21" i="31"/>
  <c r="K22" i="31"/>
  <c r="K23" i="31"/>
  <c r="K24" i="31"/>
  <c r="K25" i="31"/>
  <c r="K26" i="31"/>
  <c r="K27" i="31"/>
  <c r="K28" i="31"/>
  <c r="K29" i="31"/>
  <c r="K30" i="31"/>
  <c r="K31" i="31"/>
  <c r="K32" i="31"/>
  <c r="K33" i="31"/>
  <c r="K34" i="31"/>
  <c r="K35" i="31"/>
  <c r="K36" i="31"/>
  <c r="K37" i="31"/>
  <c r="K38" i="31"/>
  <c r="K39" i="31"/>
  <c r="K40" i="31"/>
  <c r="K41" i="31"/>
  <c r="K42" i="31"/>
  <c r="K43" i="31"/>
  <c r="K44" i="31"/>
  <c r="K45" i="31"/>
  <c r="K46" i="31"/>
  <c r="K47" i="31"/>
  <c r="K48" i="31"/>
  <c r="K49" i="31"/>
  <c r="K50" i="31"/>
  <c r="K51" i="31"/>
  <c r="K52" i="31"/>
  <c r="K53" i="31"/>
  <c r="K54" i="31"/>
  <c r="K55" i="31"/>
  <c r="K56" i="31"/>
  <c r="K57" i="31"/>
  <c r="K58" i="31"/>
  <c r="K59" i="31"/>
  <c r="K60" i="31"/>
  <c r="K61" i="31"/>
  <c r="K62" i="31"/>
  <c r="K63" i="31"/>
  <c r="K64" i="31"/>
  <c r="K65" i="31"/>
  <c r="K66" i="31"/>
  <c r="K67" i="31"/>
  <c r="K68" i="31"/>
  <c r="K69" i="31"/>
  <c r="K70" i="31"/>
  <c r="K71" i="31"/>
  <c r="K72" i="31"/>
  <c r="K73" i="31"/>
  <c r="K74" i="31"/>
  <c r="K75" i="31"/>
  <c r="K76" i="31"/>
  <c r="K77" i="31"/>
  <c r="K78" i="31"/>
  <c r="K79" i="31"/>
  <c r="K80" i="31"/>
  <c r="K81" i="31"/>
  <c r="K82" i="31"/>
  <c r="K83" i="31"/>
  <c r="K84" i="31"/>
  <c r="K85" i="31"/>
  <c r="K86" i="31"/>
  <c r="K87" i="31"/>
  <c r="K88" i="31"/>
  <c r="K89" i="31"/>
  <c r="K90" i="31"/>
  <c r="K91" i="31"/>
  <c r="K92" i="31"/>
  <c r="K93" i="31"/>
  <c r="K94" i="31"/>
  <c r="K95" i="31"/>
  <c r="K96" i="31"/>
  <c r="K97" i="31"/>
  <c r="K98" i="31"/>
  <c r="K99" i="31"/>
  <c r="K100" i="31"/>
  <c r="K101" i="31"/>
  <c r="K102" i="31"/>
  <c r="K103" i="31"/>
  <c r="K104" i="31"/>
  <c r="K105" i="31"/>
  <c r="K106" i="31"/>
  <c r="K107" i="31"/>
  <c r="K108" i="31"/>
  <c r="K109" i="31"/>
  <c r="K110" i="31"/>
  <c r="K111" i="31"/>
  <c r="K112" i="31"/>
  <c r="K113" i="31"/>
  <c r="K114" i="31"/>
  <c r="K115" i="31"/>
  <c r="K116" i="31"/>
  <c r="K117" i="31"/>
  <c r="K118" i="31"/>
  <c r="K119" i="31"/>
  <c r="K120" i="31"/>
  <c r="K121" i="31"/>
  <c r="K122" i="31"/>
  <c r="K123" i="31"/>
  <c r="K124" i="31"/>
  <c r="K125" i="31"/>
  <c r="K126" i="31"/>
  <c r="K127" i="31"/>
  <c r="K128" i="31"/>
  <c r="K129" i="31"/>
  <c r="K130" i="31"/>
  <c r="K131" i="31"/>
  <c r="K132" i="31"/>
  <c r="K133" i="31"/>
  <c r="K134" i="31"/>
  <c r="K135" i="31"/>
  <c r="K136" i="31"/>
  <c r="K137" i="31"/>
  <c r="K138" i="31"/>
  <c r="K139" i="31"/>
  <c r="K140" i="31"/>
  <c r="K141" i="31"/>
  <c r="K142" i="31"/>
  <c r="K143" i="31"/>
  <c r="K144" i="31"/>
  <c r="K145" i="31"/>
  <c r="K146" i="31"/>
  <c r="K147" i="31"/>
  <c r="K148" i="31"/>
  <c r="K149" i="31"/>
  <c r="K150" i="31"/>
  <c r="K151" i="31"/>
  <c r="K152" i="31"/>
  <c r="K153" i="31"/>
  <c r="K154" i="31"/>
  <c r="K155" i="31"/>
  <c r="K156" i="31"/>
  <c r="K157" i="31"/>
  <c r="K158" i="31"/>
  <c r="K159" i="31"/>
  <c r="K160" i="31"/>
  <c r="K161" i="31"/>
  <c r="K162" i="31"/>
  <c r="K163" i="31"/>
  <c r="K164" i="31"/>
  <c r="K165" i="31"/>
  <c r="K166" i="31"/>
  <c r="K167" i="31"/>
  <c r="K168" i="31"/>
  <c r="K169" i="31"/>
  <c r="K170" i="31"/>
  <c r="K171" i="31"/>
  <c r="K172" i="31"/>
  <c r="K173" i="31"/>
  <c r="K174" i="31"/>
  <c r="K175" i="31"/>
  <c r="K176" i="31"/>
  <c r="K177" i="31"/>
  <c r="K178" i="31"/>
  <c r="K179" i="31"/>
  <c r="K180" i="31"/>
  <c r="K181" i="31"/>
  <c r="K182" i="31"/>
  <c r="K183" i="31"/>
  <c r="K184" i="31"/>
  <c r="K185" i="31"/>
  <c r="K186" i="31"/>
  <c r="K187" i="31"/>
  <c r="K188" i="31"/>
  <c r="K189" i="31"/>
  <c r="K190" i="31"/>
  <c r="K191" i="31"/>
  <c r="K192" i="31"/>
  <c r="K193" i="31"/>
  <c r="K194" i="31"/>
  <c r="K195" i="31"/>
  <c r="K196" i="31"/>
  <c r="K197" i="31"/>
  <c r="K198" i="31"/>
  <c r="K199" i="31"/>
  <c r="K200" i="31"/>
  <c r="K201" i="31"/>
  <c r="K202" i="31"/>
  <c r="K203" i="31"/>
  <c r="K204" i="31"/>
  <c r="K205" i="31"/>
  <c r="K206" i="31"/>
  <c r="K207" i="31"/>
  <c r="K208" i="31"/>
  <c r="K209" i="31"/>
  <c r="K210" i="31"/>
  <c r="K211" i="31"/>
  <c r="K212" i="31"/>
  <c r="K213" i="31"/>
  <c r="K214" i="31"/>
  <c r="K215" i="31"/>
  <c r="K216" i="31"/>
  <c r="K217" i="31"/>
  <c r="K218" i="31"/>
  <c r="K219" i="31"/>
  <c r="K220" i="31"/>
  <c r="K221" i="31"/>
  <c r="K222" i="31"/>
  <c r="K223" i="31"/>
  <c r="K5" i="31"/>
  <c r="G96" i="19" l="1"/>
  <c r="H96" i="19" s="1"/>
  <c r="I96" i="19" s="1"/>
  <c r="G5" i="19" l="1"/>
  <c r="G6" i="19"/>
  <c r="G7" i="19"/>
  <c r="G8" i="19"/>
  <c r="G9" i="19"/>
  <c r="G10" i="19"/>
  <c r="G11" i="19"/>
  <c r="G12" i="19"/>
  <c r="G13" i="19"/>
  <c r="G14" i="19"/>
  <c r="G15" i="19"/>
  <c r="G16" i="19"/>
  <c r="G17" i="19"/>
  <c r="G18" i="19"/>
  <c r="G19" i="19"/>
  <c r="G20" i="19"/>
  <c r="G21" i="19"/>
  <c r="G22" i="19"/>
  <c r="G23" i="19"/>
  <c r="G24" i="19"/>
  <c r="G25" i="19"/>
  <c r="G26" i="19"/>
  <c r="G27" i="19"/>
  <c r="G28" i="19"/>
  <c r="G29" i="19"/>
  <c r="G30" i="19"/>
  <c r="G31" i="19"/>
  <c r="G32" i="19"/>
  <c r="G33" i="19"/>
  <c r="G34" i="19"/>
  <c r="G35" i="19"/>
  <c r="G36" i="19"/>
  <c r="G37" i="19"/>
  <c r="G38" i="19"/>
  <c r="G39" i="19"/>
  <c r="G40" i="19"/>
  <c r="G41" i="19"/>
  <c r="G42" i="19"/>
  <c r="G43" i="19"/>
  <c r="G44" i="19"/>
  <c r="G45" i="19"/>
  <c r="G46" i="19"/>
  <c r="G47" i="19"/>
  <c r="G48" i="19"/>
  <c r="G49" i="19"/>
  <c r="G50" i="19"/>
  <c r="G51" i="19"/>
  <c r="G52" i="19"/>
  <c r="G53" i="19"/>
  <c r="G54" i="19"/>
  <c r="G55" i="19"/>
  <c r="G56" i="19"/>
  <c r="G57" i="19"/>
  <c r="G58" i="19"/>
  <c r="G59" i="19"/>
  <c r="G60" i="19"/>
  <c r="G61" i="19"/>
  <c r="G62" i="19"/>
  <c r="G63" i="19"/>
  <c r="G64" i="19"/>
  <c r="G65" i="19"/>
  <c r="G66" i="19"/>
  <c r="G67" i="19"/>
  <c r="G68" i="19"/>
  <c r="G69" i="19"/>
  <c r="G70" i="19"/>
  <c r="G71" i="19"/>
  <c r="G72" i="19"/>
  <c r="G73" i="19"/>
  <c r="G74" i="19"/>
  <c r="G75" i="19"/>
  <c r="G76" i="19"/>
  <c r="G77" i="19"/>
  <c r="G78" i="19"/>
  <c r="G79" i="19"/>
  <c r="G80" i="19"/>
  <c r="G81" i="19"/>
  <c r="G82" i="19"/>
  <c r="G83" i="19"/>
  <c r="G84" i="19"/>
  <c r="G85" i="19"/>
  <c r="G86" i="19"/>
  <c r="G87" i="19"/>
  <c r="G88" i="19"/>
  <c r="G89" i="19"/>
  <c r="G90" i="19"/>
  <c r="G91" i="19"/>
  <c r="G92" i="19"/>
  <c r="G93" i="19"/>
  <c r="G94" i="19"/>
  <c r="G95" i="19"/>
  <c r="G97" i="19"/>
  <c r="G98" i="19"/>
  <c r="G99" i="19"/>
  <c r="G100" i="19"/>
  <c r="G101" i="19"/>
  <c r="G102" i="19"/>
  <c r="G103" i="19"/>
  <c r="G104" i="19"/>
  <c r="G105" i="19"/>
  <c r="G106" i="19"/>
  <c r="G107" i="19"/>
  <c r="G108" i="19"/>
  <c r="G109" i="19"/>
  <c r="G110" i="19"/>
  <c r="G111" i="19"/>
  <c r="G112" i="19"/>
  <c r="G113" i="19"/>
  <c r="G114" i="19"/>
  <c r="G115" i="19"/>
  <c r="G116" i="19"/>
  <c r="G117" i="19"/>
  <c r="G118" i="19"/>
  <c r="G119" i="19"/>
  <c r="G120" i="19"/>
  <c r="G121" i="19"/>
  <c r="G122" i="19"/>
  <c r="G123" i="19"/>
  <c r="G124" i="19"/>
  <c r="G125" i="19"/>
  <c r="G126" i="19"/>
  <c r="G127" i="19"/>
  <c r="G128" i="19"/>
  <c r="G129" i="19"/>
  <c r="G130" i="19"/>
  <c r="G131" i="19"/>
  <c r="G132" i="19"/>
  <c r="G133" i="19"/>
  <c r="G134" i="19"/>
  <c r="G135" i="19"/>
  <c r="G136" i="19"/>
  <c r="G137" i="19"/>
  <c r="G138" i="19"/>
  <c r="G139" i="19"/>
  <c r="G140" i="19"/>
  <c r="G141" i="19"/>
  <c r="G142" i="19"/>
  <c r="G143" i="19"/>
  <c r="G144" i="19"/>
  <c r="G145" i="19"/>
  <c r="G146" i="19"/>
  <c r="G147" i="19"/>
  <c r="G148" i="19"/>
  <c r="G149" i="19"/>
  <c r="G150" i="19"/>
  <c r="G151" i="19"/>
  <c r="G152" i="19"/>
  <c r="G153" i="19"/>
  <c r="G154" i="19"/>
  <c r="G155" i="19"/>
  <c r="G156" i="19"/>
  <c r="G157" i="19"/>
  <c r="G158" i="19"/>
  <c r="G159" i="19"/>
  <c r="G160" i="19"/>
  <c r="G161" i="19"/>
  <c r="G162" i="19"/>
  <c r="G163" i="19"/>
  <c r="G164" i="19"/>
  <c r="G165" i="19"/>
  <c r="G166" i="19"/>
  <c r="G167" i="19"/>
  <c r="G168" i="19"/>
  <c r="G169" i="19"/>
  <c r="G170" i="19"/>
  <c r="G171" i="19"/>
  <c r="G172" i="19"/>
  <c r="G173" i="19"/>
  <c r="J11" i="19"/>
  <c r="I173" i="19" l="1"/>
  <c r="I165" i="19"/>
  <c r="I157" i="19"/>
  <c r="I149" i="19"/>
  <c r="I131" i="19"/>
  <c r="I139" i="19"/>
  <c r="I163" i="19"/>
  <c r="I125" i="19"/>
  <c r="I141" i="19"/>
  <c r="I170" i="19"/>
  <c r="I162" i="19"/>
  <c r="I154" i="19"/>
  <c r="I146" i="19"/>
  <c r="I134" i="19"/>
  <c r="I142" i="19"/>
  <c r="I166" i="19"/>
  <c r="I172" i="19"/>
  <c r="I164" i="19"/>
  <c r="I156" i="19"/>
  <c r="I148" i="19"/>
  <c r="I124" i="19"/>
  <c r="I132" i="19"/>
  <c r="I140" i="19"/>
  <c r="I155" i="19"/>
  <c r="I147" i="19"/>
  <c r="I133" i="19"/>
  <c r="I137" i="19"/>
  <c r="I171" i="19"/>
  <c r="I126" i="19"/>
  <c r="I129" i="19"/>
  <c r="I158" i="19"/>
  <c r="I138" i="19"/>
  <c r="I169" i="19"/>
  <c r="I161" i="19"/>
  <c r="I153" i="19"/>
  <c r="I127" i="19"/>
  <c r="I135" i="19"/>
  <c r="I143" i="19"/>
  <c r="I168" i="19"/>
  <c r="I160" i="19"/>
  <c r="I152" i="19"/>
  <c r="I128" i="19"/>
  <c r="I136" i="19"/>
  <c r="I144" i="19"/>
  <c r="I167" i="19"/>
  <c r="I159" i="19"/>
  <c r="I151" i="19"/>
  <c r="I145" i="19"/>
  <c r="I150" i="19"/>
  <c r="I130" i="19"/>
  <c r="I7" i="32"/>
  <c r="I8" i="32"/>
  <c r="I9" i="32"/>
  <c r="I10" i="32"/>
  <c r="I11" i="32"/>
  <c r="I12" i="32"/>
  <c r="I13" i="32"/>
  <c r="I14" i="32"/>
  <c r="I15" i="32"/>
  <c r="I16" i="32"/>
  <c r="I17" i="32"/>
  <c r="I18" i="32"/>
  <c r="I19" i="32"/>
  <c r="I20" i="32"/>
  <c r="I21" i="32"/>
  <c r="I22" i="32"/>
  <c r="I23" i="32"/>
  <c r="I24" i="32"/>
  <c r="I25" i="32"/>
  <c r="I26" i="32"/>
  <c r="I27" i="32"/>
  <c r="I28" i="32"/>
  <c r="I29" i="32"/>
  <c r="I30" i="32"/>
  <c r="I31" i="32"/>
  <c r="I32" i="32"/>
  <c r="I33" i="32"/>
  <c r="I34" i="32"/>
  <c r="I35" i="32"/>
  <c r="I36" i="32"/>
  <c r="I37" i="32"/>
  <c r="I38" i="32"/>
  <c r="I39" i="32"/>
  <c r="I40" i="32"/>
  <c r="I41" i="32"/>
  <c r="I42" i="32"/>
  <c r="I43" i="32"/>
  <c r="I44" i="32"/>
  <c r="I45" i="32"/>
  <c r="I46" i="32"/>
  <c r="I47" i="32"/>
  <c r="I48" i="32"/>
  <c r="I49" i="32"/>
  <c r="I50" i="32"/>
  <c r="I51" i="32"/>
  <c r="I52" i="32"/>
  <c r="I53" i="32"/>
  <c r="I54" i="32"/>
  <c r="I55" i="32"/>
  <c r="I56" i="32"/>
  <c r="I57" i="32"/>
  <c r="I58" i="32"/>
  <c r="I59" i="32"/>
  <c r="I60" i="32"/>
  <c r="I61" i="32"/>
  <c r="I62" i="32"/>
  <c r="I63" i="32"/>
  <c r="I64" i="32"/>
  <c r="I65" i="32"/>
  <c r="I66" i="32"/>
  <c r="I67" i="32"/>
  <c r="I68" i="32"/>
  <c r="I69" i="32"/>
  <c r="I70" i="32"/>
  <c r="I71" i="32"/>
  <c r="I72" i="32"/>
  <c r="I73" i="32"/>
  <c r="I74" i="32"/>
  <c r="I75" i="32"/>
  <c r="I76" i="32"/>
  <c r="I77" i="32"/>
  <c r="I78" i="32"/>
  <c r="I79" i="32"/>
  <c r="I80" i="32"/>
  <c r="I81" i="32"/>
  <c r="I82" i="32"/>
  <c r="I83" i="32"/>
  <c r="I84" i="32"/>
  <c r="I85" i="32"/>
  <c r="I86" i="32"/>
  <c r="I87" i="32"/>
  <c r="I88" i="32"/>
  <c r="I89" i="32"/>
  <c r="I90" i="32"/>
  <c r="I91" i="32"/>
  <c r="I92" i="32"/>
  <c r="I93" i="32"/>
  <c r="I94" i="32"/>
  <c r="I95" i="32"/>
  <c r="I96" i="32"/>
  <c r="I97" i="32"/>
  <c r="I98" i="32"/>
  <c r="I99" i="32"/>
  <c r="I100" i="32"/>
  <c r="I101" i="32"/>
  <c r="I102" i="32"/>
  <c r="I103" i="32"/>
  <c r="I104" i="32"/>
  <c r="I105" i="32"/>
  <c r="I106" i="32"/>
  <c r="I107" i="32"/>
  <c r="I108" i="32"/>
  <c r="I109" i="32"/>
  <c r="I110" i="32"/>
  <c r="I111" i="32"/>
  <c r="I112" i="32"/>
  <c r="I113" i="32"/>
  <c r="I114" i="32"/>
  <c r="I115" i="32"/>
  <c r="I116" i="32"/>
  <c r="I117" i="32"/>
  <c r="I118" i="32"/>
  <c r="I119" i="32"/>
  <c r="I120" i="32"/>
  <c r="I121" i="32"/>
  <c r="I122" i="32"/>
  <c r="I123" i="32"/>
  <c r="I124" i="32"/>
  <c r="I125" i="32"/>
  <c r="I126" i="32"/>
  <c r="I127" i="32"/>
  <c r="I128" i="32"/>
  <c r="I129" i="32"/>
  <c r="I130" i="32"/>
  <c r="I131" i="32"/>
  <c r="I132" i="32"/>
  <c r="I133" i="32"/>
  <c r="I134" i="32"/>
  <c r="I135" i="32"/>
  <c r="I136" i="32"/>
  <c r="I137" i="32"/>
  <c r="I138" i="32"/>
  <c r="I139" i="32"/>
  <c r="I140" i="32"/>
  <c r="I141" i="32"/>
  <c r="I142" i="32"/>
  <c r="I143" i="32"/>
  <c r="I144" i="32"/>
  <c r="I145" i="32"/>
  <c r="I146" i="32"/>
  <c r="I147" i="32"/>
  <c r="I148" i="32"/>
  <c r="I149" i="32"/>
  <c r="I150" i="32"/>
  <c r="I151" i="32"/>
  <c r="I152" i="32"/>
  <c r="I153" i="32"/>
  <c r="I154" i="32"/>
  <c r="I155" i="32"/>
  <c r="I156" i="32"/>
  <c r="I157" i="32"/>
  <c r="I158" i="32"/>
  <c r="I159" i="32"/>
  <c r="I160" i="32"/>
  <c r="I161" i="32"/>
  <c r="I162" i="32"/>
  <c r="I163" i="32"/>
  <c r="I164" i="32"/>
  <c r="I165" i="32"/>
  <c r="I166" i="32"/>
  <c r="I167" i="32"/>
  <c r="I168" i="32"/>
  <c r="I169" i="32"/>
  <c r="I170" i="32"/>
  <c r="I171" i="32"/>
  <c r="I172" i="32"/>
  <c r="I173" i="32"/>
  <c r="I174" i="32"/>
  <c r="I175" i="32"/>
  <c r="I176" i="32"/>
  <c r="I177" i="32"/>
  <c r="I178" i="32"/>
  <c r="I179" i="32"/>
  <c r="I180" i="32"/>
  <c r="I181" i="32"/>
  <c r="I182" i="32"/>
  <c r="I183" i="32"/>
  <c r="I184" i="32"/>
  <c r="I185" i="32"/>
  <c r="I186" i="32"/>
  <c r="I187" i="32"/>
  <c r="I188" i="32"/>
  <c r="I189" i="32"/>
  <c r="I190" i="32"/>
  <c r="I191" i="32"/>
  <c r="I192" i="32"/>
  <c r="I193" i="32"/>
  <c r="I194" i="32"/>
  <c r="I195" i="32"/>
  <c r="I196" i="32"/>
  <c r="I197" i="32"/>
  <c r="I198" i="32"/>
  <c r="I199" i="32"/>
  <c r="I200" i="32"/>
  <c r="I201" i="32"/>
  <c r="I202" i="32"/>
  <c r="I203" i="32"/>
  <c r="I204" i="32"/>
  <c r="I205" i="32"/>
  <c r="I206" i="32"/>
  <c r="I207" i="32"/>
  <c r="I208" i="32"/>
  <c r="I209" i="32"/>
  <c r="I210" i="32"/>
  <c r="I211" i="32"/>
  <c r="I212" i="32"/>
  <c r="I213" i="32"/>
  <c r="I214" i="32"/>
  <c r="I215" i="32"/>
  <c r="I216" i="32"/>
  <c r="I217" i="32"/>
  <c r="I218" i="32"/>
  <c r="I219" i="32"/>
  <c r="I220" i="32"/>
  <c r="I221" i="32"/>
  <c r="I222" i="32"/>
  <c r="I223" i="32"/>
  <c r="I6" i="32"/>
  <c r="F6" i="32"/>
  <c r="F7" i="32"/>
  <c r="F8" i="32"/>
  <c r="F9" i="32"/>
  <c r="F10" i="32"/>
  <c r="F11" i="32"/>
  <c r="F12" i="32"/>
  <c r="F13" i="32"/>
  <c r="F14" i="32"/>
  <c r="F15" i="32"/>
  <c r="F16" i="32"/>
  <c r="F17" i="32"/>
  <c r="F18" i="32"/>
  <c r="F19" i="32"/>
  <c r="F20" i="32"/>
  <c r="F21" i="32"/>
  <c r="F22" i="32"/>
  <c r="F23" i="32"/>
  <c r="F24" i="32"/>
  <c r="F25" i="32"/>
  <c r="F26" i="32"/>
  <c r="F27" i="32"/>
  <c r="F28" i="32"/>
  <c r="F29" i="32"/>
  <c r="F30" i="32"/>
  <c r="F31" i="32"/>
  <c r="F32" i="32"/>
  <c r="F33" i="32"/>
  <c r="F34" i="32"/>
  <c r="F35" i="32"/>
  <c r="F36" i="32"/>
  <c r="F37" i="32"/>
  <c r="F38" i="32"/>
  <c r="F39" i="32"/>
  <c r="F40" i="32"/>
  <c r="F41" i="32"/>
  <c r="F42" i="32"/>
  <c r="F43" i="32"/>
  <c r="F44" i="32"/>
  <c r="F45" i="32"/>
  <c r="F46" i="32"/>
  <c r="F47" i="32"/>
  <c r="F48" i="32"/>
  <c r="F49" i="32"/>
  <c r="F50" i="32"/>
  <c r="F51" i="32"/>
  <c r="F52" i="32"/>
  <c r="F53" i="32"/>
  <c r="F54" i="32"/>
  <c r="F55" i="32"/>
  <c r="F56" i="32"/>
  <c r="F57" i="32"/>
  <c r="F58" i="32"/>
  <c r="F59" i="32"/>
  <c r="F60" i="32"/>
  <c r="F61" i="32"/>
  <c r="F62" i="32"/>
  <c r="F63" i="32"/>
  <c r="F64" i="32"/>
  <c r="F65" i="32"/>
  <c r="F66" i="32"/>
  <c r="F67" i="32"/>
  <c r="F68" i="32"/>
  <c r="F69" i="32"/>
  <c r="F70" i="32"/>
  <c r="F71" i="32"/>
  <c r="F72" i="32"/>
  <c r="F73" i="32"/>
  <c r="F74" i="32"/>
  <c r="F75" i="32"/>
  <c r="F76" i="32"/>
  <c r="F77" i="32"/>
  <c r="F78" i="32"/>
  <c r="F79" i="32"/>
  <c r="F80" i="32"/>
  <c r="F81" i="32"/>
  <c r="F82" i="32"/>
  <c r="F83" i="32"/>
  <c r="F84" i="32"/>
  <c r="F85" i="32"/>
  <c r="F86" i="32"/>
  <c r="F87" i="32"/>
  <c r="F88" i="32"/>
  <c r="F89" i="32"/>
  <c r="F90" i="32"/>
  <c r="F91" i="32"/>
  <c r="F92" i="32"/>
  <c r="F93" i="32"/>
  <c r="F94" i="32"/>
  <c r="F95" i="32"/>
  <c r="F96" i="32"/>
  <c r="F97" i="32"/>
  <c r="F98" i="32"/>
  <c r="F99" i="32"/>
  <c r="F100" i="32"/>
  <c r="F101" i="32"/>
  <c r="F102" i="32"/>
  <c r="F103" i="32"/>
  <c r="F104" i="32"/>
  <c r="F105" i="32"/>
  <c r="F106" i="32"/>
  <c r="F107" i="32"/>
  <c r="F108" i="32"/>
  <c r="F109" i="32"/>
  <c r="F110" i="32"/>
  <c r="F111" i="32"/>
  <c r="F112" i="32"/>
  <c r="F113" i="32"/>
  <c r="F114" i="32"/>
  <c r="F115" i="32"/>
  <c r="F116" i="32"/>
  <c r="F117" i="32"/>
  <c r="F118" i="32"/>
  <c r="F119" i="32"/>
  <c r="F120" i="32"/>
  <c r="F121" i="32"/>
  <c r="F122" i="32"/>
  <c r="F123" i="32"/>
  <c r="F124" i="32"/>
  <c r="F5" i="32"/>
  <c r="I119" i="19" l="1"/>
  <c r="I111" i="19"/>
  <c r="I103" i="19"/>
  <c r="I117" i="19"/>
  <c r="I109" i="19"/>
  <c r="I101" i="19"/>
  <c r="I113" i="19"/>
  <c r="I112" i="19"/>
  <c r="I118" i="19"/>
  <c r="I110" i="19"/>
  <c r="I102" i="19"/>
  <c r="I116" i="19"/>
  <c r="I100" i="19"/>
  <c r="I97" i="19"/>
  <c r="I108" i="19"/>
  <c r="I105" i="19"/>
  <c r="I104" i="19"/>
  <c r="I123" i="19"/>
  <c r="I115" i="19"/>
  <c r="I107" i="19"/>
  <c r="I99" i="19"/>
  <c r="I122" i="19"/>
  <c r="I114" i="19"/>
  <c r="I106" i="19"/>
  <c r="I98" i="19"/>
  <c r="I121" i="19"/>
  <c r="I120" i="19"/>
  <c r="F115" i="31"/>
  <c r="F91" i="31"/>
  <c r="F90" i="31"/>
  <c r="F83" i="31"/>
  <c r="F82" i="31"/>
  <c r="F75" i="31"/>
  <c r="F74" i="31"/>
  <c r="F67" i="31"/>
  <c r="F66" i="31"/>
  <c r="F59" i="31"/>
  <c r="F58" i="31"/>
  <c r="F51" i="31"/>
  <c r="F50" i="31"/>
  <c r="F43" i="31"/>
  <c r="F42" i="31"/>
  <c r="F35" i="31"/>
  <c r="F34" i="31"/>
  <c r="F27" i="31"/>
  <c r="F26" i="31"/>
  <c r="F19" i="31"/>
  <c r="F18" i="31"/>
  <c r="F11" i="31"/>
  <c r="F10" i="31"/>
  <c r="F6" i="31"/>
  <c r="F7" i="31"/>
  <c r="F8" i="31"/>
  <c r="F9" i="31"/>
  <c r="F12" i="31"/>
  <c r="F13" i="31"/>
  <c r="F14" i="31"/>
  <c r="F15" i="31"/>
  <c r="F16" i="31"/>
  <c r="F17" i="31"/>
  <c r="F20" i="31"/>
  <c r="F100" i="31" s="1"/>
  <c r="F21" i="31"/>
  <c r="F22" i="31"/>
  <c r="F23" i="31"/>
  <c r="F24" i="31"/>
  <c r="F25" i="31"/>
  <c r="F28" i="31"/>
  <c r="F29" i="31"/>
  <c r="F30" i="31"/>
  <c r="F110" i="31" s="1"/>
  <c r="F31" i="31"/>
  <c r="F32" i="31"/>
  <c r="F33" i="31"/>
  <c r="F36" i="31"/>
  <c r="F37" i="31"/>
  <c r="F38" i="31"/>
  <c r="F39" i="31"/>
  <c r="F119" i="31" s="1"/>
  <c r="F40" i="31"/>
  <c r="F41" i="31"/>
  <c r="F44" i="31"/>
  <c r="F45" i="31"/>
  <c r="F46" i="31"/>
  <c r="F47" i="31"/>
  <c r="F48" i="31"/>
  <c r="F49" i="31"/>
  <c r="F52" i="31"/>
  <c r="F53" i="31"/>
  <c r="F54" i="31"/>
  <c r="F55" i="31"/>
  <c r="F56" i="31"/>
  <c r="F57" i="31"/>
  <c r="F60" i="31"/>
  <c r="F61" i="31"/>
  <c r="F62" i="31"/>
  <c r="F63" i="31"/>
  <c r="F64" i="31"/>
  <c r="F65" i="31"/>
  <c r="F68" i="31"/>
  <c r="F69" i="31"/>
  <c r="F70" i="31"/>
  <c r="F71" i="31"/>
  <c r="F72" i="31"/>
  <c r="F73" i="31"/>
  <c r="F76" i="31"/>
  <c r="F77" i="31"/>
  <c r="F78" i="31"/>
  <c r="F79" i="31"/>
  <c r="F80" i="31"/>
  <c r="F81" i="31"/>
  <c r="F84" i="31"/>
  <c r="F85" i="31"/>
  <c r="F86" i="31"/>
  <c r="F87" i="31"/>
  <c r="F88" i="31"/>
  <c r="F89" i="31"/>
  <c r="F92" i="31"/>
  <c r="F93" i="31"/>
  <c r="F94" i="31"/>
  <c r="F95" i="31"/>
  <c r="F96" i="31"/>
  <c r="F97" i="31"/>
  <c r="F101" i="31"/>
  <c r="F103" i="31"/>
  <c r="F104" i="31"/>
  <c r="F105" i="31"/>
  <c r="F108" i="31"/>
  <c r="F109" i="31"/>
  <c r="F111" i="31"/>
  <c r="F113" i="31"/>
  <c r="F116" i="31"/>
  <c r="F117" i="31"/>
  <c r="F118" i="31"/>
  <c r="F120" i="31"/>
  <c r="F121" i="31"/>
  <c r="F5" i="31"/>
  <c r="F112" i="31" l="1"/>
  <c r="F102" i="31"/>
  <c r="F99" i="31"/>
  <c r="F106" i="31"/>
  <c r="F114" i="31"/>
  <c r="F122" i="31"/>
  <c r="F107" i="31"/>
  <c r="F123" i="31"/>
  <c r="F98" i="31"/>
  <c r="F124" i="31"/>
  <c r="C5" i="27"/>
  <c r="C6" i="27"/>
  <c r="C7" i="27"/>
  <c r="C8" i="27"/>
  <c r="C4" i="27"/>
  <c r="H4" i="19"/>
  <c r="I4" i="19" s="1"/>
  <c r="L8" i="31"/>
  <c r="L9" i="31" s="1"/>
  <c r="L10" i="31" s="1"/>
  <c r="L11" i="31" s="1"/>
  <c r="L12" i="31" s="1"/>
  <c r="L13" i="31" s="1"/>
  <c r="L14" i="31" s="1"/>
  <c r="L15" i="31" s="1"/>
  <c r="L16" i="31" s="1"/>
  <c r="L17" i="31" s="1"/>
  <c r="L18" i="31" s="1"/>
  <c r="L19" i="31" s="1"/>
  <c r="L20" i="31" s="1"/>
  <c r="L21" i="31" s="1"/>
  <c r="L22" i="31" s="1"/>
  <c r="L23" i="31" s="1"/>
  <c r="L24" i="31" s="1"/>
  <c r="L25" i="31" s="1"/>
  <c r="L26" i="31" s="1"/>
  <c r="L27" i="31" s="1"/>
  <c r="L28" i="31" s="1"/>
  <c r="L29" i="31" s="1"/>
  <c r="L30" i="31" s="1"/>
  <c r="L31" i="31" s="1"/>
  <c r="L32" i="31" s="1"/>
  <c r="L33" i="31" s="1"/>
  <c r="L34" i="31" s="1"/>
  <c r="L35" i="31" s="1"/>
  <c r="L36" i="31" s="1"/>
  <c r="L37" i="31" s="1"/>
  <c r="L38" i="31" s="1"/>
  <c r="L39" i="31" s="1"/>
  <c r="L40" i="31" s="1"/>
  <c r="L41" i="31" s="1"/>
  <c r="L42" i="31" s="1"/>
  <c r="L43" i="31" s="1"/>
  <c r="L44" i="31" s="1"/>
  <c r="L45" i="31" s="1"/>
  <c r="L46" i="31" s="1"/>
  <c r="L47" i="31" s="1"/>
  <c r="L48" i="31" s="1"/>
  <c r="L49" i="31" s="1"/>
  <c r="L50" i="31" s="1"/>
  <c r="L51" i="31" s="1"/>
  <c r="L52" i="31" s="1"/>
  <c r="L53" i="31" s="1"/>
  <c r="L54" i="31" s="1"/>
  <c r="L55" i="31" s="1"/>
  <c r="L56" i="31" s="1"/>
  <c r="L57" i="31" s="1"/>
  <c r="L58" i="31" s="1"/>
  <c r="L59" i="31" s="1"/>
  <c r="L60" i="31" s="1"/>
  <c r="L61" i="31" s="1"/>
  <c r="L62" i="31" s="1"/>
  <c r="L63" i="31" s="1"/>
  <c r="L64" i="31" s="1"/>
  <c r="L65" i="31" s="1"/>
  <c r="L66" i="31" s="1"/>
  <c r="L67" i="31" s="1"/>
  <c r="L68" i="31" s="1"/>
  <c r="L69" i="31" s="1"/>
  <c r="L70" i="31" s="1"/>
  <c r="L71" i="31" s="1"/>
  <c r="L72" i="31" s="1"/>
  <c r="L73" i="31" s="1"/>
  <c r="L74" i="31" s="1"/>
  <c r="L75" i="31" s="1"/>
  <c r="L76" i="31" s="1"/>
  <c r="L77" i="31" s="1"/>
  <c r="L78" i="31" s="1"/>
  <c r="L79" i="31" s="1"/>
  <c r="L80" i="31" s="1"/>
  <c r="L81" i="31" s="1"/>
  <c r="L82" i="31" s="1"/>
  <c r="L83" i="31" s="1"/>
  <c r="L84" i="31" s="1"/>
  <c r="L85" i="31" s="1"/>
  <c r="L86" i="31" s="1"/>
  <c r="L87" i="31" s="1"/>
  <c r="L88" i="31" s="1"/>
  <c r="L89" i="31" s="1"/>
  <c r="L90" i="31" l="1"/>
  <c r="L91" i="31" s="1"/>
  <c r="L92" i="31" s="1"/>
  <c r="L93" i="31" s="1"/>
  <c r="L94" i="31" s="1"/>
  <c r="L95" i="31" s="1"/>
  <c r="L96" i="31" s="1"/>
  <c r="L97" i="31" s="1"/>
  <c r="L98" i="31" s="1"/>
  <c r="L99" i="31" s="1"/>
  <c r="L100" i="31" s="1"/>
  <c r="L101" i="31" s="1"/>
  <c r="L102" i="31" s="1"/>
  <c r="L103" i="31" s="1"/>
  <c r="L104" i="31" s="1"/>
  <c r="L105" i="31" s="1"/>
  <c r="L106" i="31" s="1"/>
  <c r="L107" i="31" s="1"/>
  <c r="L108" i="31" s="1"/>
  <c r="L109" i="31" s="1"/>
  <c r="L110" i="31" s="1"/>
  <c r="L111" i="31" s="1"/>
  <c r="L112" i="31" s="1"/>
  <c r="L113" i="31" s="1"/>
  <c r="L114" i="31" s="1"/>
  <c r="L115" i="31" s="1"/>
  <c r="L116" i="31" s="1"/>
  <c r="L117" i="31" s="1"/>
  <c r="L118" i="31" s="1"/>
  <c r="L119" i="31" s="1"/>
  <c r="L120" i="31" s="1"/>
  <c r="L121" i="31" s="1"/>
  <c r="L122" i="31" s="1"/>
  <c r="L123" i="31" s="1"/>
  <c r="L124" i="31" s="1"/>
  <c r="H5" i="23" l="1"/>
  <c r="J77" i="31" l="1"/>
  <c r="J78" i="31"/>
  <c r="J79" i="31"/>
  <c r="J80" i="31"/>
  <c r="J81" i="31"/>
  <c r="J82" i="31"/>
  <c r="J83" i="31"/>
  <c r="J84" i="31"/>
  <c r="J85" i="31"/>
  <c r="J86" i="31"/>
  <c r="J87" i="31"/>
  <c r="J88" i="31"/>
  <c r="J89" i="31"/>
  <c r="J90" i="31"/>
  <c r="J91" i="31"/>
  <c r="J92" i="31"/>
  <c r="J93" i="31"/>
  <c r="J94" i="31"/>
  <c r="J95" i="31"/>
  <c r="J96" i="31"/>
  <c r="J97" i="31"/>
  <c r="J98" i="31"/>
  <c r="J99" i="31"/>
  <c r="J100" i="31"/>
  <c r="J101" i="31"/>
  <c r="J102" i="31"/>
  <c r="J103" i="31"/>
  <c r="J104" i="31"/>
  <c r="J105" i="31"/>
  <c r="J106" i="31"/>
  <c r="J107" i="31"/>
  <c r="J108" i="31"/>
  <c r="J109" i="31"/>
  <c r="J110" i="31"/>
  <c r="J111" i="31"/>
  <c r="J112" i="31"/>
  <c r="J113" i="31"/>
  <c r="J114" i="31"/>
  <c r="J115" i="31"/>
  <c r="J116" i="31"/>
  <c r="J117" i="31"/>
  <c r="J118" i="31"/>
  <c r="J119" i="31"/>
  <c r="J120" i="31"/>
  <c r="J121" i="31"/>
  <c r="J122" i="31"/>
  <c r="J123" i="31"/>
  <c r="J124" i="31"/>
  <c r="J7" i="31"/>
  <c r="J8" i="31"/>
  <c r="J9" i="31"/>
  <c r="J10" i="31"/>
  <c r="J11" i="31"/>
  <c r="J12" i="31"/>
  <c r="J13" i="31"/>
  <c r="J14" i="31"/>
  <c r="J15" i="31"/>
  <c r="J16" i="31"/>
  <c r="J17" i="31"/>
  <c r="J18" i="31"/>
  <c r="J19" i="31"/>
  <c r="J20" i="31"/>
  <c r="J21" i="31"/>
  <c r="J22" i="31"/>
  <c r="J23" i="31"/>
  <c r="J24" i="31"/>
  <c r="J25" i="31"/>
  <c r="J26" i="31"/>
  <c r="J27" i="31"/>
  <c r="J28" i="31"/>
  <c r="J29" i="31"/>
  <c r="J30" i="31"/>
  <c r="J31" i="31"/>
  <c r="J32" i="31"/>
  <c r="J33" i="31"/>
  <c r="J34" i="31"/>
  <c r="J35" i="31"/>
  <c r="J36" i="31"/>
  <c r="J37" i="31"/>
  <c r="J38" i="31"/>
  <c r="J39" i="31"/>
  <c r="J40" i="31"/>
  <c r="J41" i="31"/>
  <c r="J42" i="31"/>
  <c r="J43" i="31"/>
  <c r="J44" i="31"/>
  <c r="J45" i="31"/>
  <c r="J46" i="31"/>
  <c r="J47" i="31"/>
  <c r="J48" i="31"/>
  <c r="J49" i="31"/>
  <c r="J50" i="31"/>
  <c r="J51" i="31"/>
  <c r="J52" i="31"/>
  <c r="J53" i="31"/>
  <c r="J54" i="31"/>
  <c r="J55" i="31"/>
  <c r="J56" i="31"/>
  <c r="J57" i="31"/>
  <c r="J58" i="31"/>
  <c r="J59" i="31"/>
  <c r="J60" i="31"/>
  <c r="J61" i="31"/>
  <c r="J62" i="31"/>
  <c r="J63" i="31"/>
  <c r="J64" i="31"/>
  <c r="J65" i="31"/>
  <c r="J66" i="31"/>
  <c r="J67" i="31"/>
  <c r="J68" i="31"/>
  <c r="J69" i="31"/>
  <c r="J70" i="31"/>
  <c r="J71" i="31"/>
  <c r="J72" i="31"/>
  <c r="J73" i="31"/>
  <c r="J74" i="31"/>
  <c r="J75" i="31"/>
  <c r="J76" i="31"/>
  <c r="J6" i="31"/>
  <c r="L5" i="16" l="1"/>
  <c r="K5" i="14" l="1"/>
  <c r="K4" i="14"/>
  <c r="C7" i="13"/>
  <c r="F5" i="13"/>
  <c r="E5" i="13"/>
  <c r="D5" i="13"/>
  <c r="H7" i="23"/>
  <c r="H8" i="23"/>
  <c r="H9" i="23"/>
  <c r="D10" i="20"/>
  <c r="D4" i="20"/>
  <c r="D9" i="20"/>
  <c r="D8" i="20"/>
  <c r="D7" i="20"/>
  <c r="D6" i="20"/>
  <c r="D5" i="20"/>
  <c r="G5" i="12"/>
  <c r="U26" i="15"/>
  <c r="F4" i="19" l="1"/>
  <c r="D4" i="19" l="1"/>
  <c r="AB4" i="19"/>
  <c r="AF4" i="19" s="1"/>
  <c r="D5" i="19"/>
  <c r="F5" i="19"/>
  <c r="H5" i="19"/>
  <c r="I5" i="19" s="1"/>
  <c r="AB5" i="19"/>
  <c r="AF5" i="19" s="1"/>
  <c r="D6" i="19"/>
  <c r="F6" i="19"/>
  <c r="H6" i="19"/>
  <c r="I6" i="19" s="1"/>
  <c r="AB6" i="19"/>
  <c r="AF6" i="19" s="1"/>
  <c r="D7" i="19"/>
  <c r="F7" i="19"/>
  <c r="H7" i="19"/>
  <c r="I7" i="19" s="1"/>
  <c r="AB7" i="19"/>
  <c r="AF7" i="19" s="1"/>
  <c r="D8" i="19"/>
  <c r="F8" i="19"/>
  <c r="H8" i="19"/>
  <c r="I8" i="19" s="1"/>
  <c r="AB8" i="19"/>
  <c r="AH8" i="19" s="1"/>
  <c r="D9" i="19"/>
  <c r="F9" i="19"/>
  <c r="H9" i="19"/>
  <c r="I9" i="19" s="1"/>
  <c r="AB9" i="19"/>
  <c r="AF9" i="19" s="1"/>
  <c r="D10" i="19"/>
  <c r="F10" i="19"/>
  <c r="H10" i="19"/>
  <c r="I10" i="19" s="1"/>
  <c r="AB10" i="19"/>
  <c r="AF10" i="19" s="1"/>
  <c r="D11" i="19"/>
  <c r="F11" i="19"/>
  <c r="H11" i="19"/>
  <c r="I11" i="19" s="1"/>
  <c r="AB11" i="19"/>
  <c r="AF11" i="19" s="1"/>
  <c r="D12" i="19"/>
  <c r="F12" i="19"/>
  <c r="H12" i="19"/>
  <c r="I12" i="19" s="1"/>
  <c r="AB12" i="19"/>
  <c r="AG12" i="19" s="1"/>
  <c r="D13" i="19"/>
  <c r="F13" i="19"/>
  <c r="H13" i="19"/>
  <c r="I13" i="19" s="1"/>
  <c r="AB13" i="19"/>
  <c r="AF13" i="19" s="1"/>
  <c r="D14" i="19"/>
  <c r="F14" i="19"/>
  <c r="H14" i="19"/>
  <c r="I14" i="19" s="1"/>
  <c r="AB14" i="19"/>
  <c r="AF14" i="19" s="1"/>
  <c r="D15" i="19"/>
  <c r="F15" i="19"/>
  <c r="H15" i="19"/>
  <c r="I15" i="19" s="1"/>
  <c r="AB15" i="19"/>
  <c r="AF15" i="19" s="1"/>
  <c r="D16" i="19"/>
  <c r="F16" i="19"/>
  <c r="H16" i="19"/>
  <c r="I16" i="19" s="1"/>
  <c r="AB16" i="19"/>
  <c r="AG16" i="19" s="1"/>
  <c r="D17" i="19"/>
  <c r="F17" i="19"/>
  <c r="H17" i="19"/>
  <c r="I17" i="19" s="1"/>
  <c r="AB17" i="19"/>
  <c r="AF17" i="19" s="1"/>
  <c r="D18" i="19"/>
  <c r="F18" i="19"/>
  <c r="H18" i="19"/>
  <c r="I18" i="19" s="1"/>
  <c r="AB18" i="19"/>
  <c r="AF18" i="19" s="1"/>
  <c r="D19" i="19"/>
  <c r="F19" i="19"/>
  <c r="H19" i="19"/>
  <c r="I19" i="19" s="1"/>
  <c r="AB19" i="19"/>
  <c r="AF19" i="19" s="1"/>
  <c r="D20" i="19"/>
  <c r="F20" i="19"/>
  <c r="H20" i="19"/>
  <c r="I20" i="19" s="1"/>
  <c r="AB20" i="19"/>
  <c r="AG20" i="19" s="1"/>
  <c r="D21" i="19"/>
  <c r="F21" i="19"/>
  <c r="H21" i="19"/>
  <c r="I21" i="19" s="1"/>
  <c r="AB21" i="19"/>
  <c r="AF21" i="19" s="1"/>
  <c r="D22" i="19"/>
  <c r="F22" i="19"/>
  <c r="H22" i="19"/>
  <c r="I22" i="19" s="1"/>
  <c r="AB22" i="19"/>
  <c r="AF22" i="19" s="1"/>
  <c r="D23" i="19"/>
  <c r="F23" i="19"/>
  <c r="H23" i="19"/>
  <c r="I23" i="19" s="1"/>
  <c r="AB23" i="19"/>
  <c r="AF23" i="19" s="1"/>
  <c r="D24" i="19"/>
  <c r="F24" i="19"/>
  <c r="H24" i="19"/>
  <c r="I24" i="19" s="1"/>
  <c r="AB24" i="19"/>
  <c r="AH24" i="19" s="1"/>
  <c r="D25" i="19"/>
  <c r="F25" i="19"/>
  <c r="H25" i="19"/>
  <c r="I25" i="19" s="1"/>
  <c r="AB25" i="19"/>
  <c r="AF25" i="19" s="1"/>
  <c r="D26" i="19"/>
  <c r="F26" i="19"/>
  <c r="H26" i="19"/>
  <c r="I26" i="19" s="1"/>
  <c r="AB26" i="19"/>
  <c r="AF26" i="19" s="1"/>
  <c r="D27" i="19"/>
  <c r="F27" i="19"/>
  <c r="H27" i="19"/>
  <c r="I27" i="19" s="1"/>
  <c r="AB27" i="19"/>
  <c r="AF27" i="19" s="1"/>
  <c r="D28" i="19"/>
  <c r="F28" i="19"/>
  <c r="H28" i="19"/>
  <c r="I28" i="19" s="1"/>
  <c r="AB28" i="19"/>
  <c r="AG28" i="19" s="1"/>
  <c r="D29" i="19"/>
  <c r="F29" i="19"/>
  <c r="H29" i="19"/>
  <c r="I29" i="19" s="1"/>
  <c r="AB29" i="19"/>
  <c r="AF29" i="19" s="1"/>
  <c r="D30" i="19"/>
  <c r="F30" i="19"/>
  <c r="H30" i="19"/>
  <c r="I30" i="19" s="1"/>
  <c r="AB30" i="19"/>
  <c r="AF30" i="19" s="1"/>
  <c r="D31" i="19"/>
  <c r="F31" i="19"/>
  <c r="H31" i="19"/>
  <c r="I31" i="19" s="1"/>
  <c r="AB31" i="19"/>
  <c r="AF31" i="19" s="1"/>
  <c r="D32" i="19"/>
  <c r="F32" i="19"/>
  <c r="H32" i="19"/>
  <c r="I32" i="19" s="1"/>
  <c r="AB32" i="19"/>
  <c r="AG32" i="19" s="1"/>
  <c r="D33" i="19"/>
  <c r="F33" i="19"/>
  <c r="H33" i="19"/>
  <c r="I33" i="19" s="1"/>
  <c r="AB33" i="19"/>
  <c r="AF33" i="19" s="1"/>
  <c r="D34" i="19"/>
  <c r="F34" i="19"/>
  <c r="H34" i="19"/>
  <c r="I34" i="19" s="1"/>
  <c r="AB34" i="19"/>
  <c r="AF34" i="19" s="1"/>
  <c r="D35" i="19"/>
  <c r="F35" i="19"/>
  <c r="H35" i="19"/>
  <c r="I35" i="19" s="1"/>
  <c r="AB35" i="19"/>
  <c r="AF35" i="19" s="1"/>
  <c r="D36" i="19"/>
  <c r="F36" i="19"/>
  <c r="H36" i="19"/>
  <c r="I36" i="19" s="1"/>
  <c r="AB36" i="19"/>
  <c r="AF36" i="19" s="1"/>
  <c r="D37" i="19"/>
  <c r="F37" i="19"/>
  <c r="H37" i="19"/>
  <c r="I37" i="19" s="1"/>
  <c r="AB37" i="19"/>
  <c r="AF37" i="19" s="1"/>
  <c r="D38" i="19"/>
  <c r="F38" i="19"/>
  <c r="H38" i="19"/>
  <c r="I38" i="19" s="1"/>
  <c r="AB38" i="19"/>
  <c r="AF38" i="19" s="1"/>
  <c r="D39" i="19"/>
  <c r="F39" i="19"/>
  <c r="H39" i="19"/>
  <c r="I39" i="19" s="1"/>
  <c r="AB39" i="19"/>
  <c r="AF39" i="19" s="1"/>
  <c r="D40" i="19"/>
  <c r="F40" i="19"/>
  <c r="H40" i="19"/>
  <c r="I40" i="19" s="1"/>
  <c r="AB40" i="19"/>
  <c r="AH40" i="19" s="1"/>
  <c r="D41" i="19"/>
  <c r="F41" i="19"/>
  <c r="H41" i="19"/>
  <c r="I41" i="19" s="1"/>
  <c r="AB41" i="19"/>
  <c r="AF41" i="19" s="1"/>
  <c r="D42" i="19"/>
  <c r="F42" i="19"/>
  <c r="H42" i="19"/>
  <c r="I42" i="19" s="1"/>
  <c r="AB42" i="19"/>
  <c r="AF42" i="19" s="1"/>
  <c r="D43" i="19"/>
  <c r="F43" i="19"/>
  <c r="H43" i="19"/>
  <c r="I43" i="19" s="1"/>
  <c r="AB43" i="19"/>
  <c r="AF43" i="19" s="1"/>
  <c r="D44" i="19"/>
  <c r="F44" i="19"/>
  <c r="H44" i="19"/>
  <c r="I44" i="19" s="1"/>
  <c r="AB44" i="19"/>
  <c r="AF44" i="19" s="1"/>
  <c r="D45" i="19"/>
  <c r="F45" i="19"/>
  <c r="H45" i="19"/>
  <c r="I45" i="19" s="1"/>
  <c r="AB45" i="19"/>
  <c r="AF45" i="19" s="1"/>
  <c r="D46" i="19"/>
  <c r="F46" i="19"/>
  <c r="H46" i="19"/>
  <c r="I46" i="19" s="1"/>
  <c r="AB46" i="19"/>
  <c r="AF46" i="19" s="1"/>
  <c r="D47" i="19"/>
  <c r="F47" i="19"/>
  <c r="H47" i="19"/>
  <c r="I47" i="19" s="1"/>
  <c r="AB47" i="19"/>
  <c r="AF47" i="19" s="1"/>
  <c r="D48" i="19"/>
  <c r="F48" i="19"/>
  <c r="H48" i="19"/>
  <c r="I48" i="19" s="1"/>
  <c r="AB48" i="19"/>
  <c r="AG48" i="19" s="1"/>
  <c r="D49" i="19"/>
  <c r="F49" i="19"/>
  <c r="H49" i="19"/>
  <c r="I49" i="19" s="1"/>
  <c r="AB49" i="19"/>
  <c r="AF49" i="19" s="1"/>
  <c r="D50" i="19"/>
  <c r="F50" i="19"/>
  <c r="H50" i="19"/>
  <c r="I50" i="19" s="1"/>
  <c r="AB50" i="19"/>
  <c r="AF50" i="19" s="1"/>
  <c r="D51" i="19"/>
  <c r="F51" i="19"/>
  <c r="H51" i="19"/>
  <c r="I51" i="19" s="1"/>
  <c r="AB51" i="19"/>
  <c r="AF51" i="19" s="1"/>
  <c r="D52" i="19"/>
  <c r="F52" i="19"/>
  <c r="H52" i="19"/>
  <c r="I52" i="19" s="1"/>
  <c r="AB52" i="19"/>
  <c r="AF52" i="19" s="1"/>
  <c r="D53" i="19"/>
  <c r="F53" i="19"/>
  <c r="H53" i="19"/>
  <c r="I53" i="19" s="1"/>
  <c r="AB53" i="19"/>
  <c r="AF53" i="19" s="1"/>
  <c r="D54" i="19"/>
  <c r="F54" i="19"/>
  <c r="H54" i="19"/>
  <c r="I54" i="19" s="1"/>
  <c r="AB54" i="19"/>
  <c r="AF54" i="19" s="1"/>
  <c r="D55" i="19"/>
  <c r="F55" i="19"/>
  <c r="H55" i="19"/>
  <c r="I55" i="19" s="1"/>
  <c r="AB55" i="19"/>
  <c r="AF55" i="19" s="1"/>
  <c r="D56" i="19"/>
  <c r="F56" i="19"/>
  <c r="H56" i="19"/>
  <c r="I56" i="19" s="1"/>
  <c r="AB56" i="19"/>
  <c r="AH56" i="19" s="1"/>
  <c r="D57" i="19"/>
  <c r="F57" i="19"/>
  <c r="H57" i="19"/>
  <c r="I57" i="19" s="1"/>
  <c r="AB57" i="19"/>
  <c r="AF57" i="19" s="1"/>
  <c r="D58" i="19"/>
  <c r="F58" i="19"/>
  <c r="H58" i="19"/>
  <c r="I58" i="19" s="1"/>
  <c r="AB58" i="19"/>
  <c r="AF58" i="19" s="1"/>
  <c r="D59" i="19"/>
  <c r="F59" i="19"/>
  <c r="H59" i="19"/>
  <c r="I59" i="19" s="1"/>
  <c r="AB59" i="19"/>
  <c r="AF59" i="19" s="1"/>
  <c r="D60" i="19"/>
  <c r="F60" i="19"/>
  <c r="H60" i="19"/>
  <c r="I60" i="19" s="1"/>
  <c r="AB60" i="19"/>
  <c r="AG60" i="19" s="1"/>
  <c r="D61" i="19"/>
  <c r="F61" i="19"/>
  <c r="H61" i="19"/>
  <c r="I61" i="19" s="1"/>
  <c r="AB61" i="19"/>
  <c r="AF61" i="19" s="1"/>
  <c r="D62" i="19"/>
  <c r="F62" i="19"/>
  <c r="H62" i="19"/>
  <c r="I62" i="19" s="1"/>
  <c r="AB62" i="19"/>
  <c r="AF62" i="19" s="1"/>
  <c r="D63" i="19"/>
  <c r="F63" i="19"/>
  <c r="H63" i="19"/>
  <c r="I63" i="19" s="1"/>
  <c r="AB63" i="19"/>
  <c r="AF63" i="19" s="1"/>
  <c r="D64" i="19"/>
  <c r="F64" i="19"/>
  <c r="H64" i="19"/>
  <c r="I64" i="19" s="1"/>
  <c r="AB64" i="19"/>
  <c r="AG64" i="19" s="1"/>
  <c r="D65" i="19"/>
  <c r="F65" i="19"/>
  <c r="H65" i="19"/>
  <c r="I65" i="19" s="1"/>
  <c r="AB65" i="19"/>
  <c r="AF65" i="19" s="1"/>
  <c r="D66" i="19"/>
  <c r="F66" i="19"/>
  <c r="H66" i="19"/>
  <c r="I66" i="19" s="1"/>
  <c r="AB66" i="19"/>
  <c r="AF66" i="19" s="1"/>
  <c r="D67" i="19"/>
  <c r="F67" i="19"/>
  <c r="H67" i="19"/>
  <c r="I67" i="19" s="1"/>
  <c r="AB67" i="19"/>
  <c r="AF67" i="19" s="1"/>
  <c r="D68" i="19"/>
  <c r="F68" i="19"/>
  <c r="H68" i="19"/>
  <c r="I68" i="19" s="1"/>
  <c r="AB68" i="19"/>
  <c r="AG68" i="19" s="1"/>
  <c r="D69" i="19"/>
  <c r="F69" i="19"/>
  <c r="H69" i="19"/>
  <c r="I69" i="19" s="1"/>
  <c r="AB69" i="19"/>
  <c r="AF69" i="19" s="1"/>
  <c r="D70" i="19"/>
  <c r="F70" i="19"/>
  <c r="H70" i="19"/>
  <c r="I70" i="19" s="1"/>
  <c r="AB70" i="19"/>
  <c r="AF70" i="19" s="1"/>
  <c r="D71" i="19"/>
  <c r="F71" i="19"/>
  <c r="H71" i="19"/>
  <c r="I71" i="19" s="1"/>
  <c r="AB71" i="19"/>
  <c r="AF71" i="19" s="1"/>
  <c r="D72" i="19"/>
  <c r="F72" i="19"/>
  <c r="H72" i="19"/>
  <c r="I72" i="19" s="1"/>
  <c r="AB72" i="19"/>
  <c r="AF72" i="19" s="1"/>
  <c r="D73" i="19"/>
  <c r="F73" i="19"/>
  <c r="H73" i="19"/>
  <c r="I73" i="19" s="1"/>
  <c r="AB73" i="19"/>
  <c r="AF73" i="19" s="1"/>
  <c r="D74" i="19"/>
  <c r="F74" i="19"/>
  <c r="H74" i="19"/>
  <c r="I74" i="19" s="1"/>
  <c r="AB74" i="19"/>
  <c r="AF74" i="19" s="1"/>
  <c r="D75" i="19"/>
  <c r="F75" i="19"/>
  <c r="H75" i="19"/>
  <c r="I75" i="19" s="1"/>
  <c r="AB75" i="19"/>
  <c r="AF75" i="19" s="1"/>
  <c r="D76" i="19"/>
  <c r="F76" i="19"/>
  <c r="H76" i="19"/>
  <c r="I76" i="19" s="1"/>
  <c r="AB76" i="19"/>
  <c r="AG76" i="19" s="1"/>
  <c r="D77" i="19"/>
  <c r="F77" i="19"/>
  <c r="H77" i="19"/>
  <c r="I77" i="19" s="1"/>
  <c r="AB77" i="19"/>
  <c r="AF77" i="19" s="1"/>
  <c r="D78" i="19"/>
  <c r="F78" i="19"/>
  <c r="H78" i="19"/>
  <c r="I78" i="19" s="1"/>
  <c r="AB78" i="19"/>
  <c r="AF78" i="19" s="1"/>
  <c r="D79" i="19"/>
  <c r="F79" i="19"/>
  <c r="H79" i="19"/>
  <c r="I79" i="19" s="1"/>
  <c r="AB79" i="19"/>
  <c r="AF79" i="19" s="1"/>
  <c r="D80" i="19"/>
  <c r="F80" i="19"/>
  <c r="H80" i="19"/>
  <c r="I80" i="19" s="1"/>
  <c r="AB80" i="19"/>
  <c r="AG80" i="19" s="1"/>
  <c r="D81" i="19"/>
  <c r="F81" i="19"/>
  <c r="H81" i="19"/>
  <c r="I81" i="19" s="1"/>
  <c r="AB81" i="19"/>
  <c r="AF81" i="19" s="1"/>
  <c r="D82" i="19"/>
  <c r="F82" i="19"/>
  <c r="H82" i="19"/>
  <c r="I82" i="19" s="1"/>
  <c r="AB82" i="19"/>
  <c r="AF82" i="19" s="1"/>
  <c r="D83" i="19"/>
  <c r="F83" i="19"/>
  <c r="H83" i="19"/>
  <c r="I83" i="19" s="1"/>
  <c r="AB83" i="19"/>
  <c r="AF83" i="19" s="1"/>
  <c r="D84" i="19"/>
  <c r="F84" i="19"/>
  <c r="H84" i="19"/>
  <c r="I84" i="19" s="1"/>
  <c r="AB84" i="19"/>
  <c r="AH84" i="19" s="1"/>
  <c r="D85" i="19"/>
  <c r="F85" i="19"/>
  <c r="H85" i="19"/>
  <c r="I85" i="19" s="1"/>
  <c r="AB85" i="19"/>
  <c r="AF85" i="19" s="1"/>
  <c r="D86" i="19"/>
  <c r="F86" i="19"/>
  <c r="H86" i="19"/>
  <c r="I86" i="19" s="1"/>
  <c r="AB86" i="19"/>
  <c r="AF86" i="19" s="1"/>
  <c r="D87" i="19"/>
  <c r="F87" i="19"/>
  <c r="H87" i="19"/>
  <c r="I87" i="19" s="1"/>
  <c r="AB87" i="19"/>
  <c r="AF87" i="19" s="1"/>
  <c r="D88" i="19"/>
  <c r="F88" i="19"/>
  <c r="H88" i="19"/>
  <c r="I88" i="19" s="1"/>
  <c r="AB88" i="19"/>
  <c r="AH88" i="19" s="1"/>
  <c r="D89" i="19"/>
  <c r="F89" i="19"/>
  <c r="H89" i="19"/>
  <c r="I89" i="19" s="1"/>
  <c r="AF89" i="19"/>
  <c r="AG89" i="19"/>
  <c r="AH89" i="19"/>
  <c r="D90" i="19"/>
  <c r="F90" i="19"/>
  <c r="H90" i="19"/>
  <c r="I90" i="19" s="1"/>
  <c r="AF90" i="19"/>
  <c r="AG90" i="19"/>
  <c r="AH90" i="19"/>
  <c r="D91" i="19"/>
  <c r="F91" i="19"/>
  <c r="H91" i="19"/>
  <c r="I91" i="19" s="1"/>
  <c r="AF91" i="19"/>
  <c r="AG91" i="19"/>
  <c r="AH91" i="19"/>
  <c r="D92" i="19"/>
  <c r="F92" i="19"/>
  <c r="H92" i="19"/>
  <c r="I92" i="19" s="1"/>
  <c r="AF92" i="19"/>
  <c r="AG92" i="19"/>
  <c r="AH92" i="19"/>
  <c r="D93" i="19"/>
  <c r="F93" i="19"/>
  <c r="H93" i="19"/>
  <c r="I93" i="19" s="1"/>
  <c r="AF93" i="19"/>
  <c r="AG93" i="19"/>
  <c r="AH93" i="19"/>
  <c r="D94" i="19"/>
  <c r="F94" i="19"/>
  <c r="H94" i="19"/>
  <c r="I94" i="19" s="1"/>
  <c r="AF94" i="19"/>
  <c r="AG94" i="19"/>
  <c r="AH94" i="19"/>
  <c r="D95" i="19"/>
  <c r="F95" i="19"/>
  <c r="H95" i="19"/>
  <c r="I95" i="19" s="1"/>
  <c r="AF95" i="19"/>
  <c r="AG95" i="19"/>
  <c r="AH95" i="19"/>
  <c r="D96" i="19"/>
  <c r="F96" i="19"/>
  <c r="AF96" i="19"/>
  <c r="AG96" i="19"/>
  <c r="AH96" i="19"/>
  <c r="D97" i="19"/>
  <c r="F97" i="19"/>
  <c r="H97" i="19"/>
  <c r="AF97" i="19"/>
  <c r="AG97" i="19"/>
  <c r="AH97" i="19"/>
  <c r="D98" i="19"/>
  <c r="F98" i="19"/>
  <c r="H98" i="19"/>
  <c r="AF98" i="19"/>
  <c r="AG98" i="19"/>
  <c r="AH98" i="19"/>
  <c r="D99" i="19"/>
  <c r="F99" i="19"/>
  <c r="H99" i="19"/>
  <c r="AF99" i="19"/>
  <c r="AG99" i="19"/>
  <c r="AH99" i="19"/>
  <c r="D100" i="19"/>
  <c r="F100" i="19"/>
  <c r="H100" i="19"/>
  <c r="AF100" i="19"/>
  <c r="AG100" i="19"/>
  <c r="AH100" i="19"/>
  <c r="D101" i="19"/>
  <c r="F101" i="19"/>
  <c r="H101" i="19"/>
  <c r="AF101" i="19"/>
  <c r="AG101" i="19"/>
  <c r="AH101" i="19"/>
  <c r="D102" i="19"/>
  <c r="F102" i="19"/>
  <c r="H102" i="19"/>
  <c r="AF102" i="19"/>
  <c r="AG102" i="19"/>
  <c r="AH102" i="19"/>
  <c r="D103" i="19"/>
  <c r="F103" i="19"/>
  <c r="H103" i="19"/>
  <c r="AF103" i="19"/>
  <c r="AG103" i="19"/>
  <c r="AH103" i="19"/>
  <c r="D104" i="19"/>
  <c r="F104" i="19"/>
  <c r="H104" i="19"/>
  <c r="AF104" i="19"/>
  <c r="AG104" i="19"/>
  <c r="AH104" i="19"/>
  <c r="D105" i="19"/>
  <c r="F105" i="19"/>
  <c r="H105" i="19"/>
  <c r="AF105" i="19"/>
  <c r="AG105" i="19"/>
  <c r="AH105" i="19"/>
  <c r="D106" i="19"/>
  <c r="F106" i="19"/>
  <c r="H106" i="19"/>
  <c r="AF106" i="19"/>
  <c r="AG106" i="19"/>
  <c r="AH106" i="19"/>
  <c r="D107" i="19"/>
  <c r="F107" i="19"/>
  <c r="H107" i="19"/>
  <c r="AF107" i="19"/>
  <c r="AG107" i="19"/>
  <c r="AH107" i="19"/>
  <c r="D108" i="19"/>
  <c r="F108" i="19"/>
  <c r="H108" i="19"/>
  <c r="AF108" i="19"/>
  <c r="AG108" i="19"/>
  <c r="AH108" i="19"/>
  <c r="D109" i="19"/>
  <c r="F109" i="19"/>
  <c r="H109" i="19"/>
  <c r="AF109" i="19"/>
  <c r="AG109" i="19"/>
  <c r="AH109" i="19"/>
  <c r="D110" i="19"/>
  <c r="F110" i="19"/>
  <c r="H110" i="19"/>
  <c r="AF110" i="19"/>
  <c r="AG110" i="19"/>
  <c r="AH110" i="19"/>
  <c r="D111" i="19"/>
  <c r="F111" i="19"/>
  <c r="H111" i="19"/>
  <c r="AF111" i="19"/>
  <c r="AG111" i="19"/>
  <c r="AH111" i="19"/>
  <c r="D112" i="19"/>
  <c r="F112" i="19"/>
  <c r="H112" i="19"/>
  <c r="AF112" i="19"/>
  <c r="AG112" i="19"/>
  <c r="AH112" i="19"/>
  <c r="D113" i="19"/>
  <c r="F113" i="19"/>
  <c r="H113" i="19"/>
  <c r="AF113" i="19"/>
  <c r="AG113" i="19"/>
  <c r="AH113" i="19"/>
  <c r="D114" i="19"/>
  <c r="F114" i="19"/>
  <c r="H114" i="19"/>
  <c r="AF114" i="19"/>
  <c r="AG114" i="19"/>
  <c r="AH114" i="19"/>
  <c r="D115" i="19"/>
  <c r="F115" i="19"/>
  <c r="H115" i="19"/>
  <c r="AF115" i="19"/>
  <c r="AG115" i="19"/>
  <c r="AH115" i="19"/>
  <c r="D116" i="19"/>
  <c r="F116" i="19"/>
  <c r="H116" i="19"/>
  <c r="AF116" i="19"/>
  <c r="AG116" i="19"/>
  <c r="AH116" i="19"/>
  <c r="D117" i="19"/>
  <c r="F117" i="19"/>
  <c r="H117" i="19"/>
  <c r="AF117" i="19"/>
  <c r="AG117" i="19"/>
  <c r="AH117" i="19"/>
  <c r="D118" i="19"/>
  <c r="F118" i="19"/>
  <c r="H118" i="19"/>
  <c r="AF118" i="19"/>
  <c r="AG118" i="19"/>
  <c r="AH118" i="19"/>
  <c r="D119" i="19"/>
  <c r="F119" i="19"/>
  <c r="H119" i="19"/>
  <c r="AF119" i="19"/>
  <c r="AG119" i="19"/>
  <c r="AH119" i="19"/>
  <c r="D120" i="19"/>
  <c r="F120" i="19"/>
  <c r="H120" i="19"/>
  <c r="AF120" i="19"/>
  <c r="AG120" i="19"/>
  <c r="AH120" i="19"/>
  <c r="D121" i="19"/>
  <c r="F121" i="19"/>
  <c r="H121" i="19"/>
  <c r="AF121" i="19"/>
  <c r="AG121" i="19"/>
  <c r="AH121" i="19"/>
  <c r="D122" i="19"/>
  <c r="F122" i="19"/>
  <c r="H122" i="19"/>
  <c r="AF122" i="19"/>
  <c r="AG122" i="19"/>
  <c r="AH122" i="19"/>
  <c r="D123" i="19"/>
  <c r="F123" i="19"/>
  <c r="H123" i="19"/>
  <c r="AF123" i="19"/>
  <c r="AG123" i="19"/>
  <c r="AH123" i="19"/>
  <c r="D124" i="19"/>
  <c r="F124" i="19"/>
  <c r="H124" i="19"/>
  <c r="AF124" i="19"/>
  <c r="AG124" i="19"/>
  <c r="AH124" i="19"/>
  <c r="D125" i="19"/>
  <c r="F125" i="19"/>
  <c r="H125" i="19"/>
  <c r="AF125" i="19"/>
  <c r="AG125" i="19"/>
  <c r="AH125" i="19"/>
  <c r="D126" i="19"/>
  <c r="F126" i="19"/>
  <c r="H126" i="19"/>
  <c r="AF126" i="19"/>
  <c r="AG126" i="19"/>
  <c r="AH126" i="19"/>
  <c r="D127" i="19"/>
  <c r="F127" i="19"/>
  <c r="H127" i="19"/>
  <c r="AF127" i="19"/>
  <c r="AG127" i="19"/>
  <c r="AH127" i="19"/>
  <c r="D128" i="19"/>
  <c r="F128" i="19"/>
  <c r="H128" i="19"/>
  <c r="AF128" i="19"/>
  <c r="AG128" i="19"/>
  <c r="AH128" i="19"/>
  <c r="D129" i="19"/>
  <c r="F129" i="19"/>
  <c r="H129" i="19"/>
  <c r="AF129" i="19"/>
  <c r="AG129" i="19"/>
  <c r="AH129" i="19"/>
  <c r="D130" i="19"/>
  <c r="F130" i="19"/>
  <c r="H130" i="19"/>
  <c r="AF130" i="19"/>
  <c r="AG130" i="19"/>
  <c r="AH130" i="19"/>
  <c r="D131" i="19"/>
  <c r="F131" i="19"/>
  <c r="H131" i="19"/>
  <c r="AF131" i="19"/>
  <c r="AG131" i="19"/>
  <c r="AH131" i="19"/>
  <c r="D132" i="19"/>
  <c r="F132" i="19"/>
  <c r="H132" i="19"/>
  <c r="AF132" i="19"/>
  <c r="AG132" i="19"/>
  <c r="AH132" i="19"/>
  <c r="D133" i="19"/>
  <c r="F133" i="19"/>
  <c r="H133" i="19"/>
  <c r="AF133" i="19"/>
  <c r="AG133" i="19"/>
  <c r="AH133" i="19"/>
  <c r="D134" i="19"/>
  <c r="F134" i="19"/>
  <c r="H134" i="19"/>
  <c r="AF134" i="19"/>
  <c r="AG134" i="19"/>
  <c r="AH134" i="19"/>
  <c r="D135" i="19"/>
  <c r="F135" i="19"/>
  <c r="H135" i="19"/>
  <c r="AF135" i="19"/>
  <c r="AG135" i="19"/>
  <c r="AH135" i="19"/>
  <c r="D136" i="19"/>
  <c r="F136" i="19"/>
  <c r="H136" i="19"/>
  <c r="AF136" i="19"/>
  <c r="AG136" i="19"/>
  <c r="AH136" i="19"/>
  <c r="D137" i="19"/>
  <c r="F137" i="19"/>
  <c r="H137" i="19"/>
  <c r="AF137" i="19"/>
  <c r="AG137" i="19"/>
  <c r="AH137" i="19"/>
  <c r="D138" i="19"/>
  <c r="F138" i="19"/>
  <c r="H138" i="19"/>
  <c r="AF138" i="19"/>
  <c r="AG138" i="19"/>
  <c r="AH138" i="19"/>
  <c r="D139" i="19"/>
  <c r="F139" i="19"/>
  <c r="H139" i="19"/>
  <c r="AF139" i="19"/>
  <c r="AG139" i="19"/>
  <c r="AH139" i="19"/>
  <c r="D140" i="19"/>
  <c r="F140" i="19"/>
  <c r="H140" i="19"/>
  <c r="AF140" i="19"/>
  <c r="AG140" i="19"/>
  <c r="AH140" i="19"/>
  <c r="D141" i="19"/>
  <c r="F141" i="19"/>
  <c r="H141" i="19"/>
  <c r="AF141" i="19"/>
  <c r="AG141" i="19"/>
  <c r="AH141" i="19"/>
  <c r="D142" i="19"/>
  <c r="F142" i="19"/>
  <c r="H142" i="19"/>
  <c r="AF142" i="19"/>
  <c r="AG142" i="19"/>
  <c r="AH142" i="19"/>
  <c r="D143" i="19"/>
  <c r="F143" i="19"/>
  <c r="H143" i="19"/>
  <c r="AF143" i="19"/>
  <c r="AG143" i="19"/>
  <c r="AH143" i="19"/>
  <c r="D144" i="19"/>
  <c r="F144" i="19"/>
  <c r="H144" i="19"/>
  <c r="AF144" i="19"/>
  <c r="AG144" i="19"/>
  <c r="AH144" i="19"/>
  <c r="D145" i="19"/>
  <c r="F145" i="19"/>
  <c r="H145" i="19"/>
  <c r="AF145" i="19"/>
  <c r="AG145" i="19"/>
  <c r="AH145" i="19"/>
  <c r="D146" i="19"/>
  <c r="F146" i="19"/>
  <c r="H146" i="19"/>
  <c r="AF146" i="19"/>
  <c r="AG146" i="19"/>
  <c r="AH146" i="19"/>
  <c r="D147" i="19"/>
  <c r="F147" i="19"/>
  <c r="H147" i="19"/>
  <c r="AF147" i="19"/>
  <c r="AG147" i="19"/>
  <c r="AH147" i="19"/>
  <c r="D148" i="19"/>
  <c r="F148" i="19"/>
  <c r="H148" i="19"/>
  <c r="AF148" i="19"/>
  <c r="AG148" i="19"/>
  <c r="AH148" i="19"/>
  <c r="D149" i="19"/>
  <c r="F149" i="19"/>
  <c r="H149" i="19"/>
  <c r="AF149" i="19"/>
  <c r="AG149" i="19"/>
  <c r="AH149" i="19"/>
  <c r="D150" i="19"/>
  <c r="F150" i="19"/>
  <c r="H150" i="19"/>
  <c r="AF150" i="19"/>
  <c r="AG150" i="19"/>
  <c r="AH150" i="19"/>
  <c r="D151" i="19"/>
  <c r="F151" i="19"/>
  <c r="H151" i="19"/>
  <c r="AF151" i="19"/>
  <c r="AG151" i="19"/>
  <c r="AH151" i="19"/>
  <c r="D152" i="19"/>
  <c r="F152" i="19"/>
  <c r="H152" i="19"/>
  <c r="AF152" i="19"/>
  <c r="AG152" i="19"/>
  <c r="AH152" i="19"/>
  <c r="D153" i="19"/>
  <c r="F153" i="19"/>
  <c r="H153" i="19"/>
  <c r="AF153" i="19"/>
  <c r="AG153" i="19"/>
  <c r="AH153" i="19"/>
  <c r="D154" i="19"/>
  <c r="F154" i="19"/>
  <c r="H154" i="19"/>
  <c r="AF154" i="19"/>
  <c r="AG154" i="19"/>
  <c r="AH154" i="19"/>
  <c r="D155" i="19"/>
  <c r="F155" i="19"/>
  <c r="H155" i="19"/>
  <c r="AF155" i="19"/>
  <c r="AG155" i="19"/>
  <c r="AH155" i="19"/>
  <c r="D156" i="19"/>
  <c r="F156" i="19"/>
  <c r="H156" i="19"/>
  <c r="AF156" i="19"/>
  <c r="AG156" i="19"/>
  <c r="AH156" i="19"/>
  <c r="D157" i="19"/>
  <c r="F157" i="19"/>
  <c r="H157" i="19"/>
  <c r="AF157" i="19"/>
  <c r="AG157" i="19"/>
  <c r="AH157" i="19"/>
  <c r="D158" i="19"/>
  <c r="F158" i="19"/>
  <c r="H158" i="19"/>
  <c r="AF158" i="19"/>
  <c r="AG158" i="19"/>
  <c r="AH158" i="19"/>
  <c r="D159" i="19"/>
  <c r="F159" i="19"/>
  <c r="H159" i="19"/>
  <c r="AF159" i="19"/>
  <c r="AG159" i="19"/>
  <c r="AH159" i="19"/>
  <c r="D160" i="19"/>
  <c r="F160" i="19"/>
  <c r="H160" i="19"/>
  <c r="AF160" i="19"/>
  <c r="AG160" i="19"/>
  <c r="AH160" i="19"/>
  <c r="D161" i="19"/>
  <c r="F161" i="19"/>
  <c r="H161" i="19"/>
  <c r="AF161" i="19"/>
  <c r="AG161" i="19"/>
  <c r="AH161" i="19"/>
  <c r="D162" i="19"/>
  <c r="F162" i="19"/>
  <c r="H162" i="19"/>
  <c r="AF162" i="19"/>
  <c r="AG162" i="19"/>
  <c r="AH162" i="19"/>
  <c r="D163" i="19"/>
  <c r="F163" i="19"/>
  <c r="H163" i="19"/>
  <c r="AF163" i="19"/>
  <c r="AG163" i="19"/>
  <c r="AH163" i="19"/>
  <c r="D164" i="19"/>
  <c r="F164" i="19"/>
  <c r="H164" i="19"/>
  <c r="AF164" i="19"/>
  <c r="AG164" i="19"/>
  <c r="AH164" i="19"/>
  <c r="D165" i="19"/>
  <c r="F165" i="19"/>
  <c r="H165" i="19"/>
  <c r="AF165" i="19"/>
  <c r="AG165" i="19"/>
  <c r="AH165" i="19"/>
  <c r="D166" i="19"/>
  <c r="F166" i="19"/>
  <c r="H166" i="19"/>
  <c r="AF166" i="19"/>
  <c r="AG166" i="19"/>
  <c r="AH166" i="19"/>
  <c r="D167" i="19"/>
  <c r="F167" i="19"/>
  <c r="H167" i="19"/>
  <c r="AF167" i="19"/>
  <c r="AG167" i="19"/>
  <c r="AH167" i="19"/>
  <c r="D168" i="19"/>
  <c r="F168" i="19"/>
  <c r="H168" i="19"/>
  <c r="AF168" i="19"/>
  <c r="AG168" i="19"/>
  <c r="AH168" i="19"/>
  <c r="D169" i="19"/>
  <c r="F169" i="19"/>
  <c r="H169" i="19"/>
  <c r="AF169" i="19"/>
  <c r="AG169" i="19"/>
  <c r="AH169" i="19"/>
  <c r="D170" i="19"/>
  <c r="F170" i="19"/>
  <c r="H170" i="19"/>
  <c r="AF170" i="19"/>
  <c r="AG170" i="19"/>
  <c r="AH170" i="19"/>
  <c r="D171" i="19"/>
  <c r="F171" i="19"/>
  <c r="H171" i="19"/>
  <c r="AF171" i="19"/>
  <c r="AG171" i="19"/>
  <c r="AH171" i="19"/>
  <c r="D172" i="19"/>
  <c r="F172" i="19"/>
  <c r="H172" i="19"/>
  <c r="AF172" i="19"/>
  <c r="AG172" i="19"/>
  <c r="AH172" i="19"/>
  <c r="D173" i="19"/>
  <c r="F173" i="19"/>
  <c r="H173" i="19"/>
  <c r="AF173" i="19"/>
  <c r="AG173" i="19"/>
  <c r="AH173" i="19"/>
  <c r="G6" i="12"/>
  <c r="G4" i="12"/>
  <c r="AH46" i="19" l="1"/>
  <c r="AG40" i="19"/>
  <c r="AH49" i="19"/>
  <c r="AF40" i="19"/>
  <c r="AG49" i="19"/>
  <c r="AF20" i="19"/>
  <c r="AH72" i="19"/>
  <c r="AG72" i="19"/>
  <c r="AG88" i="19"/>
  <c r="AF88" i="19"/>
  <c r="AH66" i="19"/>
  <c r="AH12" i="19"/>
  <c r="AG85" i="19"/>
  <c r="AG33" i="19"/>
  <c r="AF12" i="19"/>
  <c r="AF64" i="19"/>
  <c r="AG8" i="19"/>
  <c r="AF84" i="19"/>
  <c r="AG56" i="19"/>
  <c r="AH30" i="19"/>
  <c r="AH17" i="19"/>
  <c r="AF8" i="19"/>
  <c r="AH82" i="19"/>
  <c r="AG69" i="19"/>
  <c r="AF56" i="19"/>
  <c r="AF28" i="19"/>
  <c r="AH85" i="19"/>
  <c r="AF80" i="19"/>
  <c r="AH20" i="19"/>
  <c r="AG84" i="19"/>
  <c r="AG81" i="19"/>
  <c r="AF76" i="19"/>
  <c r="AH69" i="19"/>
  <c r="AF68" i="19"/>
  <c r="AG53" i="19"/>
  <c r="AH50" i="19"/>
  <c r="AG37" i="19"/>
  <c r="AH34" i="19"/>
  <c r="AG24" i="19"/>
  <c r="AF24" i="19"/>
  <c r="AF16" i="19"/>
  <c r="AF48" i="19"/>
  <c r="AF32" i="19"/>
  <c r="AH14" i="19"/>
  <c r="AH4" i="19"/>
  <c r="AH62" i="19"/>
  <c r="AH52" i="19"/>
  <c r="AH44" i="19"/>
  <c r="AH36" i="19"/>
  <c r="AH33" i="19"/>
  <c r="AH28" i="19"/>
  <c r="AG17" i="19"/>
  <c r="AG4" i="19"/>
  <c r="AH78" i="19"/>
  <c r="AH68" i="19"/>
  <c r="AH65" i="19"/>
  <c r="AH60" i="19"/>
  <c r="AG52" i="19"/>
  <c r="AG44" i="19"/>
  <c r="AG36" i="19"/>
  <c r="AH21" i="19"/>
  <c r="AH5" i="19"/>
  <c r="AH81" i="19"/>
  <c r="AH76" i="19"/>
  <c r="AG65" i="19"/>
  <c r="AF60" i="19"/>
  <c r="AH53" i="19"/>
  <c r="AH37" i="19"/>
  <c r="AG21" i="19"/>
  <c r="AH18" i="19"/>
  <c r="AG5" i="19"/>
  <c r="AH73" i="19"/>
  <c r="AH57" i="19"/>
  <c r="AH41" i="19"/>
  <c r="AH25" i="19"/>
  <c r="AH9" i="19"/>
  <c r="AH86" i="19"/>
  <c r="AG73" i="19"/>
  <c r="AH70" i="19"/>
  <c r="AG57" i="19"/>
  <c r="AH54" i="19"/>
  <c r="AG41" i="19"/>
  <c r="AH38" i="19"/>
  <c r="AG25" i="19"/>
  <c r="AH22" i="19"/>
  <c r="AG9" i="19"/>
  <c r="AH6" i="19"/>
  <c r="AH80" i="19"/>
  <c r="AH77" i="19"/>
  <c r="AH64" i="19"/>
  <c r="AH61" i="19"/>
  <c r="AH48" i="19"/>
  <c r="AH45" i="19"/>
  <c r="AH32" i="19"/>
  <c r="AH29" i="19"/>
  <c r="AH16" i="19"/>
  <c r="AH13" i="19"/>
  <c r="AG77" i="19"/>
  <c r="AH74" i="19"/>
  <c r="AG61" i="19"/>
  <c r="AH58" i="19"/>
  <c r="AG45" i="19"/>
  <c r="AH42" i="19"/>
  <c r="AG29" i="19"/>
  <c r="AH26" i="19"/>
  <c r="AG13" i="19"/>
  <c r="AH10" i="19"/>
  <c r="AH87" i="19"/>
  <c r="AG86" i="19"/>
  <c r="AH83" i="19"/>
  <c r="AG82" i="19"/>
  <c r="AH79" i="19"/>
  <c r="AG78" i="19"/>
  <c r="AH75" i="19"/>
  <c r="AG74" i="19"/>
  <c r="AH71" i="19"/>
  <c r="AG70" i="19"/>
  <c r="AH67" i="19"/>
  <c r="AG66" i="19"/>
  <c r="AH63" i="19"/>
  <c r="AG62" i="19"/>
  <c r="AH59" i="19"/>
  <c r="AG58" i="19"/>
  <c r="AH55" i="19"/>
  <c r="AG54" i="19"/>
  <c r="AH51" i="19"/>
  <c r="AG50" i="19"/>
  <c r="AH47" i="19"/>
  <c r="AG46" i="19"/>
  <c r="AH43" i="19"/>
  <c r="AG42" i="19"/>
  <c r="AH39" i="19"/>
  <c r="AG38" i="19"/>
  <c r="AH35" i="19"/>
  <c r="AG34" i="19"/>
  <c r="AH31" i="19"/>
  <c r="AG30" i="19"/>
  <c r="AH27" i="19"/>
  <c r="AG26" i="19"/>
  <c r="AH23" i="19"/>
  <c r="AG22" i="19"/>
  <c r="AH19" i="19"/>
  <c r="AG18" i="19"/>
  <c r="AH15" i="19"/>
  <c r="AG14" i="19"/>
  <c r="AH11" i="19"/>
  <c r="AG10" i="19"/>
  <c r="AH7" i="19"/>
  <c r="AG6" i="19"/>
  <c r="AG87" i="19"/>
  <c r="AG83" i="19"/>
  <c r="AG79" i="19"/>
  <c r="AG75" i="19"/>
  <c r="AG71" i="19"/>
  <c r="AG67" i="19"/>
  <c r="AG63" i="19"/>
  <c r="AG59" i="19"/>
  <c r="AG55" i="19"/>
  <c r="AG51" i="19"/>
  <c r="AG47" i="19"/>
  <c r="AG43" i="19"/>
  <c r="AG39" i="19"/>
  <c r="AG35" i="19"/>
  <c r="AG31" i="19"/>
  <c r="AG27" i="19"/>
  <c r="AG23" i="19"/>
  <c r="AG19" i="19"/>
  <c r="AG15" i="19"/>
  <c r="AG11" i="19"/>
  <c r="AG7" i="19"/>
  <c r="AL6" i="16" l="1"/>
  <c r="AL7" i="16"/>
  <c r="AL8" i="16"/>
  <c r="AL9" i="16"/>
  <c r="AL10" i="16"/>
  <c r="AL11" i="16"/>
  <c r="AL12" i="16"/>
  <c r="AL13" i="16"/>
  <c r="AL14" i="16"/>
  <c r="AL15" i="16"/>
  <c r="AL16" i="16"/>
  <c r="AL17" i="16"/>
  <c r="AL18" i="16"/>
  <c r="AL19" i="16"/>
  <c r="AL20" i="16"/>
  <c r="AL21" i="16"/>
  <c r="AL22" i="16"/>
  <c r="AL23" i="16"/>
  <c r="AL24" i="16"/>
  <c r="AL25" i="16"/>
  <c r="AL26" i="16"/>
  <c r="AL5" i="16"/>
  <c r="T28" i="15" s="1" a="1"/>
  <c r="T28" i="15" s="1"/>
  <c r="AJ6" i="16"/>
  <c r="AJ7" i="16"/>
  <c r="AJ8" i="16"/>
  <c r="AJ9" i="16"/>
  <c r="AJ10" i="16"/>
  <c r="AJ11" i="16"/>
  <c r="AJ12" i="16"/>
  <c r="AJ13" i="16"/>
  <c r="AJ14" i="16"/>
  <c r="AJ15" i="16"/>
  <c r="AJ16" i="16"/>
  <c r="AJ17" i="16"/>
  <c r="AJ18" i="16"/>
  <c r="AJ19" i="16"/>
  <c r="AJ20" i="16"/>
  <c r="AJ21" i="16"/>
  <c r="AJ22" i="16"/>
  <c r="AJ23" i="16"/>
  <c r="AJ24" i="16"/>
  <c r="AJ25" i="16"/>
  <c r="AJ26" i="16"/>
  <c r="AJ5" i="16"/>
  <c r="AH6" i="16"/>
  <c r="AH7" i="16"/>
  <c r="AH8" i="16"/>
  <c r="AH9" i="16"/>
  <c r="AH10" i="16"/>
  <c r="AH11" i="16"/>
  <c r="AH12" i="16"/>
  <c r="AH13" i="16"/>
  <c r="AH14" i="16"/>
  <c r="AH15" i="16"/>
  <c r="AH16" i="16"/>
  <c r="AH17" i="16"/>
  <c r="AH18" i="16"/>
  <c r="AH19" i="16"/>
  <c r="AH20" i="16"/>
  <c r="AH21" i="16"/>
  <c r="AH22" i="16"/>
  <c r="AH23" i="16"/>
  <c r="AH24" i="16"/>
  <c r="AH25" i="16"/>
  <c r="AH26" i="16"/>
  <c r="AH5" i="16"/>
  <c r="AF6" i="16"/>
  <c r="AF7" i="16"/>
  <c r="AF8" i="16"/>
  <c r="AF9" i="16"/>
  <c r="AF10" i="16"/>
  <c r="AF11" i="16"/>
  <c r="AF12" i="16"/>
  <c r="AF13" i="16"/>
  <c r="AF14" i="16"/>
  <c r="AF15" i="16"/>
  <c r="AF16" i="16"/>
  <c r="AF17" i="16"/>
  <c r="AF18" i="16"/>
  <c r="AF19" i="16"/>
  <c r="AF20" i="16"/>
  <c r="AF21" i="16"/>
  <c r="AF22" i="16"/>
  <c r="AF23" i="16"/>
  <c r="AF24" i="16"/>
  <c r="AF25" i="16"/>
  <c r="AF26" i="16"/>
  <c r="AF5" i="16"/>
  <c r="AD6" i="16"/>
  <c r="AD7" i="16"/>
  <c r="AD8" i="16"/>
  <c r="AD9" i="16"/>
  <c r="AD10" i="16"/>
  <c r="AD11" i="16"/>
  <c r="AD12" i="16"/>
  <c r="AD13" i="16"/>
  <c r="AD14" i="16"/>
  <c r="AD15" i="16"/>
  <c r="AD16" i="16"/>
  <c r="AD17" i="16"/>
  <c r="AD18" i="16"/>
  <c r="AD19" i="16"/>
  <c r="AD20" i="16"/>
  <c r="AD21" i="16"/>
  <c r="AD22" i="16"/>
  <c r="AD23" i="16"/>
  <c r="AD24" i="16"/>
  <c r="AD25" i="16"/>
  <c r="AD26" i="16"/>
  <c r="AD5" i="16"/>
  <c r="AB6" i="16"/>
  <c r="AB7" i="16"/>
  <c r="AB8" i="16"/>
  <c r="AB9" i="16"/>
  <c r="AB10" i="16"/>
  <c r="AB11" i="16"/>
  <c r="AB12" i="16"/>
  <c r="AB13" i="16"/>
  <c r="AB14" i="16"/>
  <c r="AB15" i="16"/>
  <c r="AB16" i="16"/>
  <c r="AB17" i="16"/>
  <c r="AB18" i="16"/>
  <c r="AB19" i="16"/>
  <c r="AB20" i="16"/>
  <c r="AB21" i="16"/>
  <c r="AB22" i="16"/>
  <c r="AB23" i="16"/>
  <c r="AB24" i="16"/>
  <c r="AB25" i="16"/>
  <c r="AB26" i="16"/>
  <c r="AB5" i="16"/>
  <c r="Z6" i="16"/>
  <c r="Z7" i="16"/>
  <c r="Z8" i="16"/>
  <c r="Z9" i="16"/>
  <c r="Z10" i="16"/>
  <c r="Z11" i="16"/>
  <c r="Z12" i="16"/>
  <c r="Z13" i="16"/>
  <c r="Z14" i="16"/>
  <c r="Z15" i="16"/>
  <c r="Z16" i="16"/>
  <c r="Z17" i="16"/>
  <c r="Z18" i="16"/>
  <c r="Z19" i="16"/>
  <c r="Z20" i="16"/>
  <c r="Z21" i="16"/>
  <c r="Z22" i="16"/>
  <c r="Z23" i="16"/>
  <c r="Z24" i="16"/>
  <c r="Z25" i="16"/>
  <c r="Z26" i="16"/>
  <c r="Z5" i="16"/>
  <c r="X6" i="16"/>
  <c r="X7" i="16"/>
  <c r="X8" i="16"/>
  <c r="X9" i="16"/>
  <c r="X10" i="16"/>
  <c r="X11" i="16"/>
  <c r="X12" i="16"/>
  <c r="X13" i="16"/>
  <c r="X14" i="16"/>
  <c r="X15" i="16"/>
  <c r="X16" i="16"/>
  <c r="X17" i="16"/>
  <c r="X18" i="16"/>
  <c r="X19" i="16"/>
  <c r="X20" i="16"/>
  <c r="X21" i="16"/>
  <c r="X22" i="16"/>
  <c r="X23" i="16"/>
  <c r="X24" i="16"/>
  <c r="X25" i="16"/>
  <c r="X26" i="16"/>
  <c r="X5" i="16"/>
  <c r="V6" i="16"/>
  <c r="V7" i="16"/>
  <c r="V8" i="16"/>
  <c r="V9" i="16"/>
  <c r="V10" i="16"/>
  <c r="V11" i="16"/>
  <c r="V12" i="16"/>
  <c r="V13" i="16"/>
  <c r="V14" i="16"/>
  <c r="V15" i="16"/>
  <c r="V16" i="16"/>
  <c r="V17" i="16"/>
  <c r="V18" i="16"/>
  <c r="V19" i="16"/>
  <c r="V20" i="16"/>
  <c r="V21" i="16"/>
  <c r="V22" i="16"/>
  <c r="V23" i="16"/>
  <c r="V24" i="16"/>
  <c r="V25" i="16"/>
  <c r="V26" i="16"/>
  <c r="V5" i="16"/>
  <c r="T6" i="16"/>
  <c r="T7" i="16"/>
  <c r="T8" i="16"/>
  <c r="T9" i="16"/>
  <c r="T10" i="16"/>
  <c r="T11" i="16"/>
  <c r="T12" i="16"/>
  <c r="T13" i="16"/>
  <c r="T14" i="16"/>
  <c r="T15" i="16"/>
  <c r="T16" i="16"/>
  <c r="T17" i="16"/>
  <c r="T18" i="16"/>
  <c r="T19" i="16"/>
  <c r="T20" i="16"/>
  <c r="T21" i="16"/>
  <c r="T22" i="16"/>
  <c r="T23" i="16"/>
  <c r="T24" i="16"/>
  <c r="T25" i="16"/>
  <c r="T26" i="16"/>
  <c r="T5" i="16"/>
  <c r="R6" i="16"/>
  <c r="R7" i="16"/>
  <c r="R8" i="16"/>
  <c r="R9" i="16"/>
  <c r="R10" i="16"/>
  <c r="R11" i="16"/>
  <c r="R12" i="16"/>
  <c r="R13" i="16"/>
  <c r="R14" i="16"/>
  <c r="R15" i="16"/>
  <c r="R16" i="16"/>
  <c r="R17" i="16"/>
  <c r="R18" i="16"/>
  <c r="R19" i="16"/>
  <c r="R20" i="16"/>
  <c r="R21" i="16"/>
  <c r="R22" i="16"/>
  <c r="R23" i="16"/>
  <c r="R24" i="16"/>
  <c r="R25" i="16"/>
  <c r="R26" i="16"/>
  <c r="R5" i="16"/>
  <c r="P6" i="16"/>
  <c r="P7" i="16"/>
  <c r="P8" i="16"/>
  <c r="P9" i="16"/>
  <c r="P10" i="16"/>
  <c r="P11" i="16"/>
  <c r="P12" i="16"/>
  <c r="P13" i="16"/>
  <c r="P14" i="16"/>
  <c r="P15" i="16"/>
  <c r="P16" i="16"/>
  <c r="P17" i="16"/>
  <c r="P18" i="16"/>
  <c r="P19" i="16"/>
  <c r="P20" i="16"/>
  <c r="P21" i="16"/>
  <c r="P22" i="16"/>
  <c r="P23" i="16"/>
  <c r="P24" i="16"/>
  <c r="P25" i="16"/>
  <c r="P26" i="16"/>
  <c r="P5" i="16"/>
  <c r="N6" i="16"/>
  <c r="N7" i="16"/>
  <c r="N8" i="16"/>
  <c r="N9" i="16"/>
  <c r="N10" i="16"/>
  <c r="N11" i="16"/>
  <c r="N12" i="16"/>
  <c r="N13" i="16"/>
  <c r="N14" i="16"/>
  <c r="N15" i="16"/>
  <c r="N16" i="16"/>
  <c r="N17" i="16"/>
  <c r="N18" i="16"/>
  <c r="N19" i="16"/>
  <c r="N20" i="16"/>
  <c r="N21" i="16"/>
  <c r="N22" i="16"/>
  <c r="N23" i="16"/>
  <c r="N24" i="16"/>
  <c r="N25" i="16"/>
  <c r="N26" i="16"/>
  <c r="N5" i="16"/>
  <c r="L6" i="16"/>
  <c r="L7" i="16"/>
  <c r="L8" i="16"/>
  <c r="L9" i="16"/>
  <c r="L10" i="16"/>
  <c r="L11" i="16"/>
  <c r="L12" i="16"/>
  <c r="L13" i="16"/>
  <c r="L14" i="16"/>
  <c r="L15" i="16"/>
  <c r="L16" i="16"/>
  <c r="L17" i="16"/>
  <c r="L18" i="16"/>
  <c r="L19" i="16"/>
  <c r="L20" i="16"/>
  <c r="L21" i="16"/>
  <c r="L22" i="16"/>
  <c r="L23" i="16"/>
  <c r="L24" i="16"/>
  <c r="L25" i="16"/>
  <c r="L26" i="16"/>
  <c r="J6" i="16"/>
  <c r="J7" i="16"/>
  <c r="J8" i="16"/>
  <c r="J9" i="16"/>
  <c r="J10" i="16"/>
  <c r="J11" i="16"/>
  <c r="J12" i="16"/>
  <c r="J13" i="16"/>
  <c r="J14" i="16"/>
  <c r="J15" i="16"/>
  <c r="J16" i="16"/>
  <c r="J17" i="16"/>
  <c r="J18" i="16"/>
  <c r="J19" i="16"/>
  <c r="J20" i="16"/>
  <c r="J21" i="16"/>
  <c r="J22" i="16"/>
  <c r="J23" i="16"/>
  <c r="J24" i="16"/>
  <c r="J25" i="16"/>
  <c r="J26" i="16"/>
  <c r="J5" i="16"/>
  <c r="F28" i="15" s="1" a="1"/>
  <c r="F28" i="15" s="1"/>
  <c r="H6" i="16"/>
  <c r="H7" i="16"/>
  <c r="H8" i="16"/>
  <c r="H9" i="16"/>
  <c r="H10" i="16"/>
  <c r="H11" i="16"/>
  <c r="H12" i="16"/>
  <c r="H13" i="16"/>
  <c r="H14" i="16"/>
  <c r="H15" i="16"/>
  <c r="H16" i="16"/>
  <c r="H17" i="16"/>
  <c r="H18" i="16"/>
  <c r="H19" i="16"/>
  <c r="H20" i="16"/>
  <c r="H21" i="16"/>
  <c r="H22" i="16"/>
  <c r="H23" i="16"/>
  <c r="H24" i="16"/>
  <c r="H25" i="16"/>
  <c r="H26" i="16"/>
  <c r="H5" i="16"/>
  <c r="F6" i="16"/>
  <c r="F7" i="16"/>
  <c r="F8" i="16"/>
  <c r="F9" i="16"/>
  <c r="F10" i="16"/>
  <c r="F11" i="16"/>
  <c r="F12" i="16"/>
  <c r="F13" i="16"/>
  <c r="F14" i="16"/>
  <c r="F15" i="16"/>
  <c r="F16" i="16"/>
  <c r="F17" i="16"/>
  <c r="F18" i="16"/>
  <c r="F19" i="16"/>
  <c r="F20" i="16"/>
  <c r="F21" i="16"/>
  <c r="F22" i="16"/>
  <c r="F23" i="16"/>
  <c r="F24" i="16"/>
  <c r="F25" i="16"/>
  <c r="F26" i="16"/>
  <c r="F5" i="16"/>
  <c r="D6" i="16"/>
  <c r="D5" i="16"/>
  <c r="D7" i="16"/>
  <c r="D8" i="16"/>
  <c r="D9" i="16"/>
  <c r="D10" i="16"/>
  <c r="D11" i="16"/>
  <c r="D12" i="16"/>
  <c r="D13" i="16"/>
  <c r="D14" i="16"/>
  <c r="D15" i="16"/>
  <c r="D16" i="16"/>
  <c r="D17" i="16"/>
  <c r="D18" i="16"/>
  <c r="D19" i="16"/>
  <c r="D20" i="16"/>
  <c r="D21" i="16"/>
  <c r="D22" i="16"/>
  <c r="D23" i="16"/>
  <c r="D24" i="16"/>
  <c r="D25" i="16"/>
  <c r="D26" i="16"/>
  <c r="G28" i="15" l="1" a="1"/>
  <c r="G28" i="15" s="1"/>
  <c r="K28" i="15" a="1"/>
  <c r="K28" i="15" s="1"/>
  <c r="I28" i="15" a="1"/>
  <c r="I28" i="15" s="1"/>
  <c r="M28" i="15" a="1"/>
  <c r="M28" i="15" s="1"/>
  <c r="C28" i="15" a="1"/>
  <c r="C28" i="15" s="1"/>
  <c r="E28" i="15" a="1"/>
  <c r="E28" i="15" s="1"/>
  <c r="L28" i="15" a="1"/>
  <c r="L28" i="15" s="1"/>
  <c r="H28" i="15" a="1"/>
  <c r="H28" i="15" s="1"/>
  <c r="D28" i="15" a="1"/>
  <c r="D28" i="15" s="1"/>
  <c r="P28" i="15" a="1"/>
  <c r="P28" i="15" s="1"/>
  <c r="J28" i="15" a="1"/>
  <c r="J28" i="15" s="1"/>
  <c r="N28" i="15" a="1"/>
  <c r="N28" i="15" s="1"/>
  <c r="R28" i="15" a="1"/>
  <c r="R28" i="15" s="1"/>
  <c r="O28" i="15" a="1"/>
  <c r="O28" i="15" s="1"/>
  <c r="S28" i="15" a="1"/>
  <c r="S28" i="15" s="1"/>
  <c r="Q28" i="15" a="1"/>
  <c r="Q28" i="15" s="1"/>
  <c r="U28" i="15" l="1"/>
  <c r="E34" i="14"/>
  <c r="E31" i="14"/>
  <c r="E19" i="14"/>
  <c r="E15" i="14"/>
  <c r="H11" i="14"/>
  <c r="K6" i="14" s="1"/>
  <c r="E10" i="14"/>
  <c r="D8" i="13" l="1"/>
  <c r="C8" i="13"/>
  <c r="H7" i="13"/>
  <c r="G7" i="13"/>
  <c r="E7" i="13"/>
  <c r="D7" i="13"/>
  <c r="C6" i="13"/>
  <c r="C5" i="13"/>
  <c r="D123" i="9" l="1"/>
  <c r="D122" i="9"/>
  <c r="F122" i="9" s="1"/>
  <c r="D121" i="9"/>
  <c r="D120" i="9"/>
  <c r="E120" i="9" s="1"/>
  <c r="D119" i="9"/>
  <c r="F119" i="9" s="1"/>
  <c r="D118" i="9"/>
  <c r="F118" i="9" s="1"/>
  <c r="D117" i="9"/>
  <c r="F117" i="9" s="1"/>
  <c r="D116" i="9"/>
  <c r="F116" i="9" s="1"/>
  <c r="D115" i="9"/>
  <c r="F115" i="9" s="1"/>
  <c r="D114" i="9"/>
  <c r="D113" i="9"/>
  <c r="D112" i="9"/>
  <c r="E112" i="9" s="1"/>
  <c r="D111" i="9"/>
  <c r="E111" i="9" s="1"/>
  <c r="D110" i="9"/>
  <c r="F110" i="9" s="1"/>
  <c r="D109" i="9"/>
  <c r="F109" i="9" s="1"/>
  <c r="D108" i="9"/>
  <c r="F108" i="9" s="1"/>
  <c r="D107" i="9"/>
  <c r="F107" i="9" s="1"/>
  <c r="D106" i="9"/>
  <c r="E106" i="9" s="1"/>
  <c r="D105" i="9"/>
  <c r="D104" i="9"/>
  <c r="D103" i="9"/>
  <c r="E103" i="9" s="1"/>
  <c r="D102" i="9"/>
  <c r="F102" i="9" s="1"/>
  <c r="D101" i="9"/>
  <c r="F101" i="9" s="1"/>
  <c r="D100" i="9"/>
  <c r="F100" i="9" s="1"/>
  <c r="D99" i="9"/>
  <c r="D98" i="9"/>
  <c r="F98" i="9" s="1"/>
  <c r="D97" i="9"/>
  <c r="D96" i="9"/>
  <c r="D95" i="9"/>
  <c r="D94" i="9"/>
  <c r="F94" i="9" s="1"/>
  <c r="D93" i="9"/>
  <c r="F93" i="9" s="1"/>
  <c r="D92" i="9"/>
  <c r="F92" i="9" s="1"/>
  <c r="D91" i="9"/>
  <c r="D90" i="9"/>
  <c r="D89" i="9"/>
  <c r="D88" i="9"/>
  <c r="E88" i="9" s="1"/>
  <c r="D87" i="9"/>
  <c r="D86" i="9"/>
  <c r="F86" i="9" s="1"/>
  <c r="D85" i="9"/>
  <c r="F85" i="9" s="1"/>
  <c r="D84" i="9"/>
  <c r="F84" i="9" s="1"/>
  <c r="D83" i="9"/>
  <c r="E83" i="9" s="1"/>
  <c r="D82" i="9"/>
  <c r="D81" i="9"/>
  <c r="D80" i="9"/>
  <c r="E80" i="9" s="1"/>
  <c r="D79" i="9"/>
  <c r="E79" i="9" s="1"/>
  <c r="D78" i="9"/>
  <c r="F78" i="9" s="1"/>
  <c r="D77" i="9"/>
  <c r="F77" i="9" s="1"/>
  <c r="D76" i="9"/>
  <c r="F76" i="9" s="1"/>
  <c r="D75" i="9"/>
  <c r="F75" i="9" s="1"/>
  <c r="D74" i="9"/>
  <c r="F74" i="9" s="1"/>
  <c r="D73" i="9"/>
  <c r="D72" i="9"/>
  <c r="E72" i="9" s="1"/>
  <c r="D71" i="9"/>
  <c r="E71" i="9" s="1"/>
  <c r="D70" i="9"/>
  <c r="F70" i="9" s="1"/>
  <c r="D69" i="9"/>
  <c r="F69" i="9" s="1"/>
  <c r="D68" i="9"/>
  <c r="F68" i="9" s="1"/>
  <c r="D67" i="9"/>
  <c r="D66" i="9"/>
  <c r="F66" i="9" s="1"/>
  <c r="D65" i="9"/>
  <c r="D64" i="9"/>
  <c r="E64" i="9" s="1"/>
  <c r="D63" i="9"/>
  <c r="E63" i="9" s="1"/>
  <c r="D62" i="9"/>
  <c r="F62" i="9" s="1"/>
  <c r="D61" i="9"/>
  <c r="F61" i="9" s="1"/>
  <c r="D60" i="9"/>
  <c r="F60" i="9" s="1"/>
  <c r="D59" i="9"/>
  <c r="F59" i="9" s="1"/>
  <c r="D58" i="9"/>
  <c r="D57" i="9"/>
  <c r="D56" i="9"/>
  <c r="E56" i="9" s="1"/>
  <c r="D55" i="9"/>
  <c r="E55" i="9" s="1"/>
  <c r="D54" i="9"/>
  <c r="F54" i="9" s="1"/>
  <c r="D53" i="9"/>
  <c r="F53" i="9" s="1"/>
  <c r="D52" i="9"/>
  <c r="F52" i="9" s="1"/>
  <c r="D51" i="9"/>
  <c r="E51" i="9" s="1"/>
  <c r="D50" i="9"/>
  <c r="D49" i="9"/>
  <c r="D48" i="9"/>
  <c r="E48" i="9" s="1"/>
  <c r="D47" i="9"/>
  <c r="E47" i="9" s="1"/>
  <c r="D46" i="9"/>
  <c r="F46" i="9" s="1"/>
  <c r="D45" i="9"/>
  <c r="F45" i="9" s="1"/>
  <c r="D44" i="9"/>
  <c r="F44" i="9" s="1"/>
  <c r="D43" i="9"/>
  <c r="F43" i="9" s="1"/>
  <c r="D42" i="9"/>
  <c r="F42" i="9" s="1"/>
  <c r="D41" i="9"/>
  <c r="D40" i="9"/>
  <c r="E40" i="9" s="1"/>
  <c r="D39" i="9"/>
  <c r="E39" i="9" s="1"/>
  <c r="D38" i="9"/>
  <c r="F38" i="9" s="1"/>
  <c r="D37" i="9"/>
  <c r="F37" i="9" s="1"/>
  <c r="D36" i="9"/>
  <c r="F36" i="9" s="1"/>
  <c r="D35" i="9"/>
  <c r="D34" i="9"/>
  <c r="F34" i="9" s="1"/>
  <c r="D33" i="9"/>
  <c r="D32" i="9"/>
  <c r="E32" i="9" s="1"/>
  <c r="D31" i="9"/>
  <c r="E31" i="9" s="1"/>
  <c r="D30" i="9"/>
  <c r="F30" i="9" s="1"/>
  <c r="D29" i="9"/>
  <c r="F29" i="9" s="1"/>
  <c r="D28" i="9"/>
  <c r="F28" i="9" s="1"/>
  <c r="D27" i="9"/>
  <c r="D26" i="9"/>
  <c r="D25" i="9"/>
  <c r="D24" i="9"/>
  <c r="E24" i="9" s="1"/>
  <c r="D23" i="9"/>
  <c r="E23" i="9" s="1"/>
  <c r="D22" i="9"/>
  <c r="F22" i="9" s="1"/>
  <c r="D21" i="9"/>
  <c r="F21" i="9" s="1"/>
  <c r="D20" i="9"/>
  <c r="F20" i="9" s="1"/>
  <c r="D19" i="9"/>
  <c r="F19" i="9" s="1"/>
  <c r="D18" i="9"/>
  <c r="F18" i="9" s="1"/>
  <c r="D17" i="9"/>
  <c r="D16" i="9"/>
  <c r="D15" i="9"/>
  <c r="E15" i="9" s="1"/>
  <c r="D14" i="9"/>
  <c r="F14" i="9" s="1"/>
  <c r="D13" i="9"/>
  <c r="F13" i="9" s="1"/>
  <c r="D12" i="9"/>
  <c r="F12" i="9" s="1"/>
  <c r="D11" i="9"/>
  <c r="D10" i="9"/>
  <c r="F10" i="9" s="1"/>
  <c r="D9" i="9"/>
  <c r="D8" i="9"/>
  <c r="D7" i="9"/>
  <c r="D6" i="9"/>
  <c r="F6" i="9" s="1"/>
  <c r="D5" i="9"/>
  <c r="F5" i="9" s="1"/>
  <c r="D4" i="9"/>
  <c r="E7" i="9" l="1"/>
  <c r="F7" i="9"/>
  <c r="E8" i="9"/>
  <c r="F8" i="9"/>
  <c r="F11" i="9"/>
  <c r="E11" i="9"/>
  <c r="E16" i="9"/>
  <c r="F16" i="9"/>
  <c r="F26" i="9"/>
  <c r="E26" i="9"/>
  <c r="F27" i="9"/>
  <c r="E27" i="9"/>
  <c r="F35" i="9"/>
  <c r="E35" i="9"/>
  <c r="E50" i="9"/>
  <c r="F50" i="9"/>
  <c r="F58" i="9"/>
  <c r="E58" i="9"/>
  <c r="F67" i="9"/>
  <c r="E67" i="9"/>
  <c r="F82" i="9"/>
  <c r="E82" i="9"/>
  <c r="E87" i="9"/>
  <c r="F87" i="9"/>
  <c r="E90" i="9"/>
  <c r="F90" i="9"/>
  <c r="F91" i="9"/>
  <c r="E91" i="9"/>
  <c r="E95" i="9"/>
  <c r="F95" i="9"/>
  <c r="E96" i="9"/>
  <c r="F96" i="9"/>
  <c r="F99" i="9"/>
  <c r="E99" i="9"/>
  <c r="E104" i="9"/>
  <c r="F104" i="9"/>
  <c r="E114" i="9"/>
  <c r="F114" i="9"/>
  <c r="F123" i="9"/>
  <c r="E123" i="9"/>
  <c r="F23" i="9"/>
  <c r="F64" i="9"/>
  <c r="E115" i="9"/>
  <c r="E10" i="9"/>
  <c r="E19" i="9"/>
  <c r="E38" i="9"/>
  <c r="F51" i="9"/>
  <c r="E70" i="9"/>
  <c r="F83" i="9"/>
  <c r="E98" i="9"/>
  <c r="E6" i="9"/>
  <c r="F15" i="9"/>
  <c r="E34" i="9"/>
  <c r="E43" i="9"/>
  <c r="F48" i="9"/>
  <c r="E66" i="9"/>
  <c r="E75" i="9"/>
  <c r="F103" i="9"/>
  <c r="E107" i="9"/>
  <c r="F112" i="9"/>
  <c r="E18" i="9"/>
  <c r="F32" i="9"/>
  <c r="F55" i="9"/>
  <c r="E59" i="9"/>
  <c r="E42" i="9"/>
  <c r="F47" i="9"/>
  <c r="E74" i="9"/>
  <c r="F88" i="9"/>
  <c r="F106" i="9"/>
  <c r="F111" i="9"/>
  <c r="F120" i="9"/>
  <c r="F24" i="9"/>
  <c r="F56" i="9"/>
  <c r="F79" i="9"/>
  <c r="E30" i="9"/>
  <c r="F39" i="9"/>
  <c r="F71" i="9"/>
  <c r="F80" i="9"/>
  <c r="E78" i="9"/>
  <c r="F31" i="9"/>
  <c r="F40" i="9"/>
  <c r="E54" i="9"/>
  <c r="F63" i="9"/>
  <c r="F72" i="9"/>
  <c r="E118" i="9"/>
  <c r="F25" i="9"/>
  <c r="E25" i="9"/>
  <c r="F65" i="9"/>
  <c r="E65" i="9"/>
  <c r="F105" i="9"/>
  <c r="E105" i="9"/>
  <c r="F97" i="9"/>
  <c r="E97" i="9"/>
  <c r="F17" i="9"/>
  <c r="E17" i="9"/>
  <c r="F49" i="9"/>
  <c r="E49" i="9"/>
  <c r="F89" i="9"/>
  <c r="E89" i="9"/>
  <c r="E110" i="9"/>
  <c r="F9" i="9"/>
  <c r="E9" i="9"/>
  <c r="E22" i="9"/>
  <c r="E62" i="9"/>
  <c r="E102" i="9"/>
  <c r="F41" i="9"/>
  <c r="E41" i="9"/>
  <c r="F81" i="9"/>
  <c r="E81" i="9"/>
  <c r="E94" i="9"/>
  <c r="E14" i="9"/>
  <c r="E46" i="9"/>
  <c r="E86" i="9"/>
  <c r="F121" i="9"/>
  <c r="E121" i="9"/>
  <c r="F33" i="9"/>
  <c r="E33" i="9"/>
  <c r="F73" i="9"/>
  <c r="E73" i="9"/>
  <c r="F57" i="9"/>
  <c r="E57" i="9"/>
  <c r="F113" i="9"/>
  <c r="E113" i="9"/>
  <c r="E4" i="9"/>
  <c r="E12" i="9"/>
  <c r="E20" i="9"/>
  <c r="E28" i="9"/>
  <c r="E36" i="9"/>
  <c r="E44" i="9"/>
  <c r="E52" i="9"/>
  <c r="E60" i="9"/>
  <c r="E68" i="9"/>
  <c r="E76" i="9"/>
  <c r="E84" i="9"/>
  <c r="E92" i="9"/>
  <c r="E100" i="9"/>
  <c r="E108" i="9"/>
  <c r="E116" i="9"/>
  <c r="E119" i="9"/>
  <c r="E122" i="9"/>
  <c r="E5" i="9"/>
  <c r="E13" i="9"/>
  <c r="E21" i="9"/>
  <c r="E29" i="9"/>
  <c r="E37" i="9"/>
  <c r="E45" i="9"/>
  <c r="E53" i="9"/>
  <c r="E61" i="9"/>
  <c r="E69" i="9"/>
  <c r="E77" i="9"/>
  <c r="E85" i="9"/>
  <c r="E93" i="9"/>
  <c r="E101" i="9"/>
  <c r="E109" i="9"/>
  <c r="E117" i="9"/>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3000000}" name="concrete thickness estimation" type="6" refreshedVersion="4" background="1" saveData="1">
    <textPr codePage="936" sourceFile="C:\Users\Fengming Xi\Desktop\concrete thickness estimation.txt" space="1" consecutive="1">
      <textFields count="9">
        <textField/>
        <textField/>
        <textField/>
        <textField/>
        <textField/>
        <textField/>
        <textField/>
        <textField/>
        <textField/>
      </textFields>
    </textPr>
  </connection>
  <connection id="2" xr16:uid="{51C9A21E-3F2D-4571-961B-EEF670241E69}" keepAlive="1" name="Query - Global_Regional_National_CO2_Emissions" description="Connection to the 'Global_Regional_National_CO2_Emissions' query in the workbook." type="5" refreshedVersion="6" background="1">
    <dbPr connection="Provider=Microsoft.Mashup.OleDb.1;Data Source=$Workbook$;Location=Global_Regional_National_CO2_Emissions;Extended Properties=&quot;&quot;" command="SELECT * FROM [Global_Regional_National_CO2_Emissions]"/>
  </connection>
</connections>
</file>

<file path=xl/sharedStrings.xml><?xml version="1.0" encoding="utf-8"?>
<sst xmlns="http://schemas.openxmlformats.org/spreadsheetml/2006/main" count="731" uniqueCount="520">
  <si>
    <t>Affiliations:</t>
  </si>
  <si>
    <r>
      <t>1</t>
    </r>
    <r>
      <rPr>
        <sz val="10"/>
        <color theme="1"/>
        <rFont val="Times New Roman"/>
        <family val="1"/>
      </rPr>
      <t>Department of Civil and Environmental Engineering, University of California, Davis</t>
    </r>
  </si>
  <si>
    <t>*Correspondence and requests for materials should be addressed to: sabmil@ucdavis.edu</t>
  </si>
  <si>
    <t>Outline of Sheets</t>
  </si>
  <si>
    <t>Supplementary Data Sheet 1</t>
  </si>
  <si>
    <t>Supplementary Data Sheet 2</t>
  </si>
  <si>
    <t>Supplementary Data Sheet 3</t>
  </si>
  <si>
    <r>
      <t>Historic cement consumption and estimated CO</t>
    </r>
    <r>
      <rPr>
        <vertAlign val="subscript"/>
        <sz val="11"/>
        <color theme="1"/>
        <rFont val="Calibri"/>
        <family val="2"/>
        <scheme val="minor"/>
      </rPr>
      <t>2</t>
    </r>
    <r>
      <rPr>
        <sz val="11"/>
        <color theme="1"/>
        <rFont val="Calibri"/>
        <family val="2"/>
        <scheme val="minor"/>
      </rPr>
      <t xml:space="preserve"> emissions: United States</t>
    </r>
  </si>
  <si>
    <t>Cement production, consumption, emissions, and market share: Global</t>
  </si>
  <si>
    <t>Supplementary Data Sheet 5</t>
  </si>
  <si>
    <t>Historic cement production in 21 countries</t>
  </si>
  <si>
    <t>Supplementary Data Sheet 6</t>
  </si>
  <si>
    <t>Historic average cement content in 21 countries</t>
  </si>
  <si>
    <t>Supplementary Data Sheet 7</t>
  </si>
  <si>
    <t>Supplementary Data Sheet 8</t>
  </si>
  <si>
    <t>Service life and percentage of market by end-use</t>
  </si>
  <si>
    <t>Supplementary Data Sheet 9</t>
  </si>
  <si>
    <t>Coefficient of carbonation for SCMs</t>
  </si>
  <si>
    <t>Supplementary Data Sheet 10</t>
  </si>
  <si>
    <r>
      <t>Coefficient of carbonation for atmospheric CO</t>
    </r>
    <r>
      <rPr>
        <vertAlign val="subscript"/>
        <sz val="11"/>
        <color theme="1"/>
        <rFont val="Calibri"/>
        <family val="2"/>
        <scheme val="minor"/>
      </rPr>
      <t>2</t>
    </r>
    <r>
      <rPr>
        <sz val="11"/>
        <color theme="1"/>
        <rFont val="Calibri"/>
        <family val="2"/>
        <scheme val="minor"/>
      </rPr>
      <t xml:space="preserve"> concentration</t>
    </r>
  </si>
  <si>
    <t>Supplementary Data Sheet 11</t>
  </si>
  <si>
    <t>Coefficient of carbonation for coatings and coverings</t>
  </si>
  <si>
    <t>Supplementary Data Sheet 12</t>
  </si>
  <si>
    <t>Coefficient of carbonation for concrete exposure conditions</t>
  </si>
  <si>
    <t>Supplementary Data Sheet 13</t>
  </si>
  <si>
    <t>Supplementary Data Sheet 14</t>
  </si>
  <si>
    <t>Supplementary Data Sheet 15</t>
  </si>
  <si>
    <t>Supplementary Data Sheet 16</t>
  </si>
  <si>
    <t>Supplementary Data Sheet 17</t>
  </si>
  <si>
    <t>Supplementary Data Sheet 18</t>
  </si>
  <si>
    <t>Supplementary Data Sheet 19</t>
  </si>
  <si>
    <t>Supplementary Data Sheet References</t>
  </si>
  <si>
    <t>Year</t>
  </si>
  <si>
    <t>Average</t>
  </si>
  <si>
    <t>Calcination emissions</t>
  </si>
  <si>
    <t>kg CO2 per kg cement</t>
  </si>
  <si>
    <t>Calcination and energy emissions (cradle to gate total)</t>
  </si>
  <si>
    <t>calcination</t>
  </si>
  <si>
    <t>thermal</t>
  </si>
  <si>
    <t>electricity</t>
  </si>
  <si>
    <t>Energy mix impact: Gomez 2007/calculated from 100a GWPs in IPCC
Energy demand: Marceau, 2006; USEPA, 2001</t>
  </si>
  <si>
    <t>Consumption (ktons)</t>
  </si>
  <si>
    <t>Consumption (kg)</t>
  </si>
  <si>
    <t>Calcination Emissions (kg CO2/yr)</t>
  </si>
  <si>
    <t>Calcination and Energy Emissions (kg CO2/yr)</t>
  </si>
  <si>
    <t>Energy mix impact: US Thermal energy mix from van Oss, 2015
Energy demand: GNR, 2016; air emissions calculated as cement manufacturing emissions sans energy derived emissions from (GNR, 2014; USEPA, 1994; van Oss and Mines, 2015)</t>
  </si>
  <si>
    <t>Consumption (Mt/yr)</t>
  </si>
  <si>
    <t>Consumption (kg/yr)</t>
  </si>
  <si>
    <t>Inflow (Prod) (Mt/yr)</t>
  </si>
  <si>
    <t>Inflow (kg/yr)</t>
  </si>
  <si>
    <t>Emissions (kg/yr)</t>
  </si>
  <si>
    <t>Mt = million tons/megatons</t>
  </si>
  <si>
    <t>Residential Inflow</t>
  </si>
  <si>
    <t>Non-Residential Inflow</t>
  </si>
  <si>
    <t>Civil Eng. Inflow</t>
  </si>
  <si>
    <t>Total inflow</t>
  </si>
  <si>
    <t>Mt/yr</t>
  </si>
  <si>
    <t>Residential Consumption</t>
  </si>
  <si>
    <t>Non-Residential Consumption</t>
  </si>
  <si>
    <t>Civil Eng. Consumption</t>
  </si>
  <si>
    <t>Total consumption</t>
  </si>
  <si>
    <t>Residential Market Share (%)</t>
  </si>
  <si>
    <t>Non-Residential Market Share (%)</t>
  </si>
  <si>
    <t>Civil Eng. Market Share (%)</t>
  </si>
  <si>
    <t>Mt to kg</t>
  </si>
  <si>
    <t>Gt to kg</t>
  </si>
  <si>
    <t>Country</t>
  </si>
  <si>
    <t>Production, ktons</t>
  </si>
  <si>
    <t>% total prod</t>
  </si>
  <si>
    <t>Austria</t>
  </si>
  <si>
    <t>Belgium</t>
  </si>
  <si>
    <t>Czech Republic</t>
  </si>
  <si>
    <t>Denmark</t>
  </si>
  <si>
    <t>Finland</t>
  </si>
  <si>
    <t>France</t>
  </si>
  <si>
    <t>Germany</t>
  </si>
  <si>
    <t>Ireland</t>
  </si>
  <si>
    <t>Israel</t>
  </si>
  <si>
    <t>Italy</t>
  </si>
  <si>
    <t>Japan</t>
  </si>
  <si>
    <t>Netherlands</t>
  </si>
  <si>
    <t>Norway</t>
  </si>
  <si>
    <t>Poland</t>
  </si>
  <si>
    <t>Portugal</t>
  </si>
  <si>
    <t>Russia</t>
  </si>
  <si>
    <t>Slovakia</t>
  </si>
  <si>
    <t>Spain</t>
  </si>
  <si>
    <t>Switzerland</t>
  </si>
  <si>
    <t>Turkey</t>
  </si>
  <si>
    <t>United Kingdom</t>
  </si>
  <si>
    <t>USA</t>
  </si>
  <si>
    <t>https://www.usgs.gov/centers/nmic/cement-statistics-and-information</t>
  </si>
  <si>
    <r>
      <t>Average cement content (kg/m</t>
    </r>
    <r>
      <rPr>
        <vertAlign val="superscript"/>
        <sz val="11"/>
        <color theme="1"/>
        <rFont val="Calibri"/>
        <family val="2"/>
        <scheme val="minor"/>
      </rPr>
      <t>3</t>
    </r>
    <r>
      <rPr>
        <sz val="11"/>
        <color theme="1"/>
        <rFont val="Calibri"/>
        <family val="2"/>
        <scheme val="minor"/>
      </rPr>
      <t>)</t>
    </r>
  </si>
  <si>
    <t>ERMCO (European Ready Mixed Concrete Organization) Ready-Mixed Concrete Industry Statistics 2001-2018, Available at (http://www.ermco.eu).</t>
  </si>
  <si>
    <t>World (avg weighted by production per country)</t>
  </si>
  <si>
    <t>Cement Utilization Category</t>
    <phoneticPr fontId="2" type="noConversion"/>
  </si>
  <si>
    <t>Average concrete thickness (mm)</t>
    <phoneticPr fontId="2" type="noConversion"/>
  </si>
  <si>
    <t>Utilization categories (see SupplementaryDataSheet8)</t>
  </si>
  <si>
    <t>Average concrete thickness (mm)</t>
  </si>
  <si>
    <t>Utilization categories (Global)</t>
  </si>
  <si>
    <t>* Calculated by weighing average of each included category by end-use market size</t>
  </si>
  <si>
    <t>Commercial</t>
  </si>
  <si>
    <t xml:space="preserve">  Stores and misc. Commercial buildings</t>
    <phoneticPr fontId="2" type="noConversion"/>
  </si>
  <si>
    <t>Streets and highway</t>
  </si>
  <si>
    <t>Residential</t>
  </si>
  <si>
    <t xml:space="preserve">  Low-rise offices and labs</t>
    <phoneticPr fontId="2" type="noConversion"/>
  </si>
  <si>
    <t>Non-residential</t>
  </si>
  <si>
    <t>Commercial and industrial, public buildings, farm</t>
  </si>
  <si>
    <t xml:space="preserve">  High-rise offices and labs</t>
    <phoneticPr fontId="2" type="noConversion"/>
  </si>
  <si>
    <t>Commercial and industrial</t>
  </si>
  <si>
    <t>Civil engineering</t>
  </si>
  <si>
    <t>Streets and highway, water and waste management, utilities, other</t>
  </si>
  <si>
    <t xml:space="preserve">  Parking - buildings and lots</t>
    <phoneticPr fontId="2" type="noConversion"/>
  </si>
  <si>
    <t>Water and waste management</t>
  </si>
  <si>
    <t xml:space="preserve">  Commercial warehouses and terminals</t>
    <phoneticPr fontId="2" type="noConversion"/>
  </si>
  <si>
    <t>Public buildings</t>
  </si>
  <si>
    <t xml:space="preserve">  Industrial buildings / warehouses</t>
    <phoneticPr fontId="2" type="noConversion"/>
  </si>
  <si>
    <t>Farm</t>
  </si>
  <si>
    <t xml:space="preserve">  Maintenance and repair</t>
    <phoneticPr fontId="2" type="noConversion"/>
  </si>
  <si>
    <t>Utilities</t>
  </si>
  <si>
    <t>Streets and highways</t>
  </si>
  <si>
    <t xml:space="preserve">  State highways - urban and rural</t>
    <phoneticPr fontId="2" type="noConversion"/>
  </si>
  <si>
    <t>Other</t>
  </si>
  <si>
    <t xml:space="preserve">  Local urban streets</t>
    <phoneticPr fontId="2" type="noConversion"/>
  </si>
  <si>
    <t xml:space="preserve">  Local rural roads</t>
    <phoneticPr fontId="2" type="noConversion"/>
  </si>
  <si>
    <t xml:space="preserve">  Bridges</t>
    <phoneticPr fontId="2" type="noConversion"/>
  </si>
  <si>
    <t xml:space="preserve">  Power plants</t>
    <phoneticPr fontId="2" type="noConversion"/>
  </si>
  <si>
    <t xml:space="preserve">  Oil / gas / chemical plants</t>
    <phoneticPr fontId="2" type="noConversion"/>
  </si>
  <si>
    <t xml:space="preserve">  Transmission</t>
    <phoneticPr fontId="2" type="noConversion"/>
  </si>
  <si>
    <t xml:space="preserve">  River &amp; harbor development &amp; control</t>
    <phoneticPr fontId="2" type="noConversion"/>
  </si>
  <si>
    <t xml:space="preserve">  Dams and reservoirs</t>
    <phoneticPr fontId="2" type="noConversion"/>
  </si>
  <si>
    <t xml:space="preserve">  Water supply systems</t>
    <phoneticPr fontId="2" type="noConversion"/>
  </si>
  <si>
    <t xml:space="preserve">  Sanitary / storm sewers</t>
    <phoneticPr fontId="2" type="noConversion"/>
  </si>
  <si>
    <t xml:space="preserve">  Water / sewer tunnels</t>
    <phoneticPr fontId="2" type="noConversion"/>
  </si>
  <si>
    <t xml:space="preserve">  Waste treatment</t>
    <phoneticPr fontId="2" type="noConversion"/>
  </si>
  <si>
    <t>Other public works</t>
  </si>
  <si>
    <t xml:space="preserve">  Railroads (excluding buildings)</t>
    <phoneticPr fontId="2" type="noConversion"/>
  </si>
  <si>
    <t xml:space="preserve">  Airports (excluding buildings)</t>
    <phoneticPr fontId="2" type="noConversion"/>
  </si>
  <si>
    <t xml:space="preserve">  Defense facilities</t>
    <phoneticPr fontId="2" type="noConversion"/>
  </si>
  <si>
    <t xml:space="preserve">  Parks and stadiums</t>
    <phoneticPr fontId="2" type="noConversion"/>
  </si>
  <si>
    <t>Non-construction</t>
  </si>
  <si>
    <t xml:space="preserve">  Oil and gas wells</t>
    <phoneticPr fontId="2" type="noConversion"/>
  </si>
  <si>
    <t xml:space="preserve">  Mining and quarrying</t>
    <phoneticPr fontId="2" type="noConversion"/>
  </si>
  <si>
    <t xml:space="preserve">  Miscellaneous</t>
    <phoneticPr fontId="2" type="noConversion"/>
  </si>
  <si>
    <t>Gajda, J. Absorption of atmospheric carbon dioxide by portland cement concrete. PCA R &amp; D Serial (2001).</t>
  </si>
  <si>
    <t>End-use category</t>
  </si>
  <si>
    <t>Mean service life</t>
  </si>
  <si>
    <t>Percentage of US Market, 2003</t>
  </si>
  <si>
    <t>End-use categories (World)</t>
  </si>
  <si>
    <t>Percent of world market</t>
  </si>
  <si>
    <t>Residential buildings</t>
  </si>
  <si>
    <t>Commercial buildings</t>
  </si>
  <si>
    <t>Farm construction</t>
  </si>
  <si>
    <t>A. Kapur, G. Keoleian, A. Kendall, and S. E. Kesler, “Dynamic Modeling of In-Use Cement Stocks in the United States,” Journal of Industrial Ecology, vol. 12, no. 4, pp. 539–556, 2008, doi: 10.1111/j.1530-9290.2008.00055.x.</t>
  </si>
  <si>
    <t>SCM</t>
  </si>
  <si>
    <r>
      <t>% replacement (@ natural conditions, 0.04% CO</t>
    </r>
    <r>
      <rPr>
        <vertAlign val="subscript"/>
        <sz val="11"/>
        <color theme="1"/>
        <rFont val="Calibri"/>
        <family val="2"/>
        <scheme val="minor"/>
      </rPr>
      <t>2</t>
    </r>
    <r>
      <rPr>
        <sz val="11"/>
        <color theme="1"/>
        <rFont val="Calibri"/>
        <family val="2"/>
        <scheme val="minor"/>
      </rPr>
      <t>)</t>
    </r>
  </si>
  <si>
    <t>Source [1]</t>
  </si>
  <si>
    <t>Fly ash</t>
  </si>
  <si>
    <t>Burdon 2006</t>
  </si>
  <si>
    <t>Limestone</t>
  </si>
  <si>
    <t>Parrott 1996</t>
  </si>
  <si>
    <t>Blast furnace slag</t>
  </si>
  <si>
    <t>Silica fume</t>
  </si>
  <si>
    <t>Leemann 2015</t>
  </si>
  <si>
    <t>Natural pozzolans</t>
  </si>
  <si>
    <t>S. von Greve-Dierfeld et al., “Understanding the carbonation of concrete with supplementary cementitious materials: a critical review by RILEM TC 281-CCC,” Mater Struct, vol. 53, no. 6, p. 136, Oct. 2020, doi: 10.1617/s11527-020-01558-w.</t>
  </si>
  <si>
    <t>Location</t>
  </si>
  <si>
    <t>CO2 concentration (ppm)</t>
  </si>
  <si>
    <t>B_CO2</t>
  </si>
  <si>
    <t>Urban</t>
  </si>
  <si>
    <t>Rural</t>
  </si>
  <si>
    <t>Seaside</t>
  </si>
  <si>
    <t>Industrial</t>
  </si>
  <si>
    <t>Road</t>
  </si>
  <si>
    <t>Buried</t>
  </si>
  <si>
    <t>Natural Conditions</t>
  </si>
  <si>
    <r>
      <t xml:space="preserve">Papadakis, V. G., Vayenas, C. G., &amp; Fardis, M. N. (1991). Experimental investigation and mathematical modeling of the concrete carbonation problem. </t>
    </r>
    <r>
      <rPr>
        <i/>
        <sz val="11"/>
        <color theme="1"/>
        <rFont val="Calibri"/>
        <family val="2"/>
        <scheme val="minor"/>
      </rPr>
      <t>Chemical Engineering Science</t>
    </r>
    <r>
      <rPr>
        <sz val="11"/>
        <color theme="1"/>
        <rFont val="Calibri"/>
        <family val="2"/>
        <scheme val="minor"/>
      </rPr>
      <t xml:space="preserve">, </t>
    </r>
    <r>
      <rPr>
        <i/>
        <sz val="11"/>
        <color theme="1"/>
        <rFont val="Calibri"/>
        <family val="2"/>
        <scheme val="minor"/>
      </rPr>
      <t>46</t>
    </r>
    <r>
      <rPr>
        <sz val="11"/>
        <color theme="1"/>
        <rFont val="Calibri"/>
        <family val="2"/>
        <scheme val="minor"/>
      </rPr>
      <t>(5–6), 1333–1338. https://doi.org/10.1016/0009-2509(91)85060-B</t>
    </r>
  </si>
  <si>
    <r>
      <t xml:space="preserve">Yoon, I.-S., Çopuroğlu, O., &amp; Park, K.-B. (2007). Effect of global climatic change on carbonation progress of concrete. </t>
    </r>
    <r>
      <rPr>
        <i/>
        <sz val="11"/>
        <color theme="1"/>
        <rFont val="Calibri"/>
        <family val="2"/>
        <scheme val="minor"/>
      </rPr>
      <t>AtmEn</t>
    </r>
    <r>
      <rPr>
        <sz val="11"/>
        <color theme="1"/>
        <rFont val="Calibri"/>
        <family val="2"/>
        <scheme val="minor"/>
      </rPr>
      <t xml:space="preserve">, </t>
    </r>
    <r>
      <rPr>
        <i/>
        <sz val="11"/>
        <color theme="1"/>
        <rFont val="Calibri"/>
        <family val="2"/>
        <scheme val="minor"/>
      </rPr>
      <t>41</t>
    </r>
    <r>
      <rPr>
        <sz val="11"/>
        <color theme="1"/>
        <rFont val="Calibri"/>
        <family val="2"/>
        <scheme val="minor"/>
      </rPr>
      <t>(34), 7274–7285. https://doi.org/10.1016/J.ATMOSENV.2007.05.028</t>
    </r>
  </si>
  <si>
    <t>Coating and cover type</t>
  </si>
  <si>
    <t>Correction values (B_cc)</t>
  </si>
  <si>
    <t>No coating and cover</t>
  </si>
  <si>
    <t>Indoor concrete coating</t>
  </si>
  <si>
    <t>Outdoor concrete coating</t>
  </si>
  <si>
    <t>Infrastructure concrete if painted</t>
  </si>
  <si>
    <r>
      <t xml:space="preserve">Xi, F. </t>
    </r>
    <r>
      <rPr>
        <i/>
        <sz val="11"/>
        <color theme="1"/>
        <rFont val="Calibri"/>
        <family val="2"/>
        <scheme val="minor"/>
      </rPr>
      <t>et al.</t>
    </r>
    <r>
      <rPr>
        <sz val="11"/>
        <color theme="1"/>
        <rFont val="Calibri"/>
        <family val="2"/>
        <scheme val="minor"/>
      </rPr>
      <t xml:space="preserve"> Substantial global carbon uptake by cement carbonation. </t>
    </r>
    <r>
      <rPr>
        <i/>
        <sz val="11"/>
        <color theme="1"/>
        <rFont val="Calibri"/>
        <family val="2"/>
        <scheme val="minor"/>
      </rPr>
      <t>Nature Geoscience</t>
    </r>
    <r>
      <rPr>
        <sz val="11"/>
        <color theme="1"/>
        <rFont val="Calibri"/>
        <family val="2"/>
        <scheme val="minor"/>
      </rPr>
      <t xml:space="preserve"> </t>
    </r>
    <r>
      <rPr>
        <b/>
        <sz val="11"/>
        <color theme="1"/>
        <rFont val="Calibri"/>
        <family val="2"/>
        <scheme val="minor"/>
      </rPr>
      <t>9</t>
    </r>
    <r>
      <rPr>
        <sz val="11"/>
        <color theme="1"/>
        <rFont val="Calibri"/>
        <family val="2"/>
        <scheme val="minor"/>
      </rPr>
      <t>, 880–883 (2016).</t>
    </r>
  </si>
  <si>
    <t>Region</t>
  </si>
  <si>
    <t>Exposure condition</t>
  </si>
  <si>
    <t>Compressive Strength</t>
  </si>
  <si>
    <t>&lt;15</t>
  </si>
  <si>
    <t>16-22</t>
  </si>
  <si>
    <t>23-35</t>
  </si>
  <si>
    <t>&gt;35</t>
  </si>
  <si>
    <r>
      <rPr>
        <sz val="11"/>
        <color theme="1"/>
        <rFont val="Calibri"/>
        <family val="2"/>
        <scheme val="minor"/>
      </rPr>
      <t>≤C15 (%)</t>
    </r>
  </si>
  <si>
    <t>Europe (assume appropriate for USA, world)</t>
  </si>
  <si>
    <t>Exposed</t>
  </si>
  <si>
    <t>C16-C23 (%)</t>
    <phoneticPr fontId="2" type="noConversion"/>
  </si>
  <si>
    <t>Sheltered</t>
  </si>
  <si>
    <t>C23-C35 (%)</t>
    <phoneticPr fontId="2" type="noConversion"/>
  </si>
  <si>
    <t>Indoors</t>
  </si>
  <si>
    <t>&gt;C35 (%)</t>
    <phoneticPr fontId="2" type="noConversion"/>
  </si>
  <si>
    <t>Wet</t>
  </si>
  <si>
    <r>
      <t xml:space="preserve">Pade, C. &amp; Guimaraes, M. The CO2 uptake of concrete in a 100 year perspective. </t>
    </r>
    <r>
      <rPr>
        <i/>
        <sz val="11"/>
        <color theme="1"/>
        <rFont val="Calibri"/>
        <family val="2"/>
        <scheme val="minor"/>
      </rPr>
      <t>Cement and Concrete Research</t>
    </r>
    <r>
      <rPr>
        <sz val="11"/>
        <color theme="1"/>
        <rFont val="Calibri"/>
        <family val="2"/>
        <scheme val="minor"/>
      </rPr>
      <t xml:space="preserve"> </t>
    </r>
    <r>
      <rPr>
        <b/>
        <sz val="11"/>
        <color theme="1"/>
        <rFont val="Calibri"/>
        <family val="2"/>
        <scheme val="minor"/>
      </rPr>
      <t>37</t>
    </r>
    <r>
      <rPr>
        <sz val="11"/>
        <color theme="1"/>
        <rFont val="Calibri"/>
        <family val="2"/>
        <scheme val="minor"/>
      </rPr>
      <t>, 1348–1356 (2007).</t>
    </r>
  </si>
  <si>
    <t>process contributions for 1 kg cement</t>
  </si>
  <si>
    <t>process step</t>
  </si>
  <si>
    <t>energy requirements</t>
  </si>
  <si>
    <t xml:space="preserve">use-phase </t>
  </si>
  <si>
    <t>secondary phase</t>
  </si>
  <si>
    <t>total uptake</t>
  </si>
  <si>
    <t>emissions (kg CO2/kg cement)</t>
  </si>
  <si>
    <t>key assumptions</t>
  </si>
  <si>
    <t>Use phase 64 years, demolition phase of 0.4 years, secondary phase of 35 years</t>
  </si>
  <si>
    <t>Demolition particle size of 1-40 mm</t>
  </si>
  <si>
    <t>Cement is uncoated and exposed during all stages</t>
  </si>
  <si>
    <t>Use-phase is modeled as an 'urban' environment, demolition phase is 'industrial', and secondary phase is 'buried'</t>
  </si>
  <si>
    <t>year</t>
  </si>
  <si>
    <t>Cummulative CO2 uptake (kg CO2/kg cement)</t>
  </si>
  <si>
    <t>Use-phase is modeled as an urban environment, demolition phase is industrial, and secondary phase is “buried”</t>
  </si>
  <si>
    <t>calcination emissions</t>
  </si>
  <si>
    <t>net</t>
  </si>
  <si>
    <t>GWP100</t>
  </si>
  <si>
    <t>20 yr</t>
  </si>
  <si>
    <t>30 yr</t>
  </si>
  <si>
    <t>50 yr</t>
  </si>
  <si>
    <t>100 yr</t>
  </si>
  <si>
    <t xml:space="preserve">CRF- not including energy requirements </t>
  </si>
  <si>
    <t xml:space="preserve">CRF- including energy requirements </t>
  </si>
  <si>
    <t xml:space="preserve">Cumulative radiative forcing (W-yr/m2) </t>
  </si>
  <si>
    <t>years</t>
  </si>
  <si>
    <t>process modification</t>
  </si>
  <si>
    <t>total emisisons</t>
  </si>
  <si>
    <t>% reduction from base</t>
  </si>
  <si>
    <t>TAWP (100 yr)</t>
  </si>
  <si>
    <t>% reduction in TAWP</t>
  </si>
  <si>
    <t>decreasing particle diameter to 1-30 mm</t>
  </si>
  <si>
    <t>dec. particle diameter to 1-10 mm</t>
  </si>
  <si>
    <t>lengthening demolition phase to 3 months</t>
  </si>
  <si>
    <t>lengthening demolition phase to 1 year</t>
  </si>
  <si>
    <t>7.5% replacement with slag</t>
  </si>
  <si>
    <t>7.5% replacement with fly ash</t>
  </si>
  <si>
    <t>7.5% silica fume</t>
  </si>
  <si>
    <t>7.5% limestone</t>
  </si>
  <si>
    <t>25% replacement with slag</t>
  </si>
  <si>
    <t>25 % replacement with fly ash</t>
  </si>
  <si>
    <t>25% limestone</t>
  </si>
  <si>
    <t>50% replacement with slag</t>
  </si>
  <si>
    <t>50% replacement with fly ash</t>
  </si>
  <si>
    <t>* base case: demolition phase 1 day, particle diameter 1 to 40 mm, no SCM</t>
  </si>
  <si>
    <t>assumptions:</t>
  </si>
  <si>
    <t>Years</t>
  </si>
  <si>
    <t>Annual Consumption</t>
  </si>
  <si>
    <r>
      <t>Cumulative Radiative Forcing | W-yr/m</t>
    </r>
    <r>
      <rPr>
        <vertAlign val="superscript"/>
        <sz val="11"/>
        <color theme="1"/>
        <rFont val="Calibri"/>
        <family val="2"/>
        <scheme val="minor"/>
      </rPr>
      <t>2</t>
    </r>
  </si>
  <si>
    <t>kg cement</t>
  </si>
  <si>
    <t>Calcination and energy emissions</t>
  </si>
  <si>
    <r>
      <t>Uptake of CO</t>
    </r>
    <r>
      <rPr>
        <vertAlign val="subscript"/>
        <sz val="11"/>
        <color theme="1"/>
        <rFont val="Calibri"/>
        <family val="2"/>
        <scheme val="minor"/>
      </rPr>
      <t>2</t>
    </r>
    <r>
      <rPr>
        <sz val="11"/>
        <color theme="1"/>
        <rFont val="Calibri"/>
        <family val="2"/>
        <scheme val="minor"/>
      </rPr>
      <t xml:space="preserve"> by cement</t>
    </r>
  </si>
  <si>
    <t>Net emissions</t>
  </si>
  <si>
    <t>cumulative calcination</t>
  </si>
  <si>
    <r>
      <t>Annual CO2 Flux | kg CO</t>
    </r>
    <r>
      <rPr>
        <vertAlign val="subscript"/>
        <sz val="11"/>
        <color theme="1"/>
        <rFont val="Calibri"/>
        <family val="2"/>
        <scheme val="minor"/>
      </rPr>
      <t>2</t>
    </r>
  </si>
  <si>
    <t>References</t>
  </si>
  <si>
    <t>U.S. Geological Survey, 2019, Cement statistics in USGS Minerals Yearbook 2019, v. I, Metals and Minerals.</t>
  </si>
  <si>
    <t>U.S. Geological Survey, 2017, Cement statistics in USGS Minerals Yearbook 2017, v. I, Metals and Minerals.</t>
  </si>
  <si>
    <t>U.S. Geological Survey, 2015, Cement statistics in USGS Minerals Yearbook 2015, v. I, Metals and Minerals.</t>
  </si>
  <si>
    <t>U.S. Geological Survey, 2013, Cement statistics in USGS Minerals Yearbook 2013, v. I, Metals and Minerals.</t>
  </si>
  <si>
    <t>U.S. Geological Survey, 2011, Cement statistics in USGS Minerals Yearbook 2011, v. I, Metals and Minerals.</t>
  </si>
  <si>
    <t>U.S. Geological Survey, 2009, Cement statistics in USGS Minerals Yearbook 2009, v. I, Metals and Minerals.</t>
  </si>
  <si>
    <t>U.S. Geological Survey, 2007, Cement statistics in USGS Minerals Yearbook 2007, v. I, Metals and Minerals.</t>
  </si>
  <si>
    <t>U.S. Geological Survey, 2005, Cement statistics in USGS Minerals Yearbook 2005, v. I, Metals and Minerals.</t>
  </si>
  <si>
    <t>U.S. Geological Survey, 2003, Cement statistics in USGS Minerals Yearbook 2003, v. I, Metals and Minerals.</t>
  </si>
  <si>
    <t>U.S. Geological Survey, 2001, Cement statistics in USGS Minerals Yearbook 2001, v. I, Metals and Minerals.</t>
  </si>
  <si>
    <t>U.S. Geological Survey, 1999, Cement statistics in USGS Minerals Yearbook 1999, v. I, Metals and Minerals.</t>
  </si>
  <si>
    <t>U.S. Geological Survey, 1997, Cement statistics in USGS Minerals Yearbook 1997, v. I, Metals and Minerals.</t>
  </si>
  <si>
    <t>U.S. Geological Survey, 1995, Cement statistics in USGS Minerals Yearbook 1995, v. I, Metals and Minerals.</t>
  </si>
  <si>
    <t>U.S. Geological Survey, 1993, Cement statistics in USGS Minerals Yearbook 1993, v. I, Metals and Minerals.</t>
  </si>
  <si>
    <t>U.S. Geological Survey, 1991, Cement statistics in USGS Minerals Yearbook 1991, v. I, Metals and Minerals.</t>
  </si>
  <si>
    <t>U.S. Geological Survey, 1989, Cement statistics in USGS Minerals Yearbook 1989, v. I, Metals and Minerals.</t>
  </si>
  <si>
    <t>U.S. Geological Survey, 1987, Cement statistics in USGS Minerals Yearbook 1987, v. I, Metals and Minerals.</t>
  </si>
  <si>
    <t>U.S. Geological Survey, 1985, Cement statistics in USGS Minerals Yearbook 1985, v. I, Metals and Minerals.</t>
  </si>
  <si>
    <t>U.S. Geological Survey, 1983, Cement statistics in USGS Minerals Yearbook 1983, v. I, Metals and Minerals.</t>
  </si>
  <si>
    <t>U.S. Geological Survey, 1981, Cement statistics in USGS Minerals Yearbook 1981, v. I, Metals and Minerals.</t>
  </si>
  <si>
    <t>U.S. Geological Survey, 1979, Cement statistics in USGS Minerals Yearbook 1979, v. I, Metals and Minerals.</t>
  </si>
  <si>
    <t>U.S. Geological Survey, 1977, Cement statistics in USGS Minerals Yearbook 1977, v. I, Metals and Minerals.</t>
  </si>
  <si>
    <t>U.S. Geological Survey, 1975, Cement statistics in USGS Minerals Yearbook 1975, v. I, Metals and Minerals.</t>
  </si>
  <si>
    <t>U.S. Geological Survey, 1973, Cement statistics in USGS Minerals Yearbook 1973, v. I, Metals and Minerals.</t>
  </si>
  <si>
    <t>U.S. Geological Survey, 1971, Cement statistics in USGS Minerals Yearbook 1971, v. I, Metals and Minerals.</t>
  </si>
  <si>
    <t>U.S. Geological Survey, 1969, Cement statistics in USGS Minerals Yearbook 1969, v. I, Metals and Minerals.</t>
  </si>
  <si>
    <t>U.S. Geological Survey, 1967, Cement statistics in USGS Minerals Yearbook 1967, v. I, Metals and Minerals.</t>
  </si>
  <si>
    <t>U.S. Geological Survey, 1965, Cement statistics in USGS Minerals Yearbook 1965, v. I, Metals and Minerals.</t>
  </si>
  <si>
    <t>U.S. Geological Survey, 1963, Cement statistics in USGS Minerals Yearbook 1963, v. I, Metals and Minerals.</t>
  </si>
  <si>
    <t>U.S. Geological Survey, 1961, Cement statistics in USGS Minerals Yearbook 1961, v. I, Metals and Minerals.</t>
  </si>
  <si>
    <t>U.S. Geological Survey, 1959, Cement statistics in USGS Minerals Yearbook 1959, v. I, Metals and Minerals.</t>
  </si>
  <si>
    <t>U.S. Geological Survey, 1957, Cement statistics in USGS Minerals Yearbook 1957, v. I, Metals and Minerals.</t>
  </si>
  <si>
    <t>U.S. Geological Survey, 1955, Cement statistics in USGS Minerals Yearbook 1955, v. I, Metals and Minerals.</t>
  </si>
  <si>
    <t>U.S. Geological Survey, 1953, Cement statistics in USGS Minerals Yearbook 1953, v. I, Metals and Minerals.</t>
  </si>
  <si>
    <t>U.S. Geological Survey, 1951, Cement statistics in USGS Minerals Yearbook 1951, v. I, Metals and Minerals.</t>
  </si>
  <si>
    <t>U.S. Geological Survey, 1949, Cement statistics in USGS Minerals Yearbook 1949, v. I, Metals and Minerals.</t>
  </si>
  <si>
    <t>U.S. Geological Survey, 1947, Cement statistics in USGS Minerals Yearbook 1947, v. I, Metals and Minerals.</t>
  </si>
  <si>
    <t>U.S. Geological Survey, 1945, Cement statistics in USGS Minerals Yearbook 1945, v. I, Metals and Minerals.</t>
  </si>
  <si>
    <t>U.S. Geological Survey, 1943, Cement statistics in USGS Minerals Yearbook 1943, v. I, Metals and Minerals.</t>
  </si>
  <si>
    <t>U.S. Geological Survey, 1941, Cement statistics in USGS Minerals Yearbook 1941, v. I, Metals and Minerals.</t>
  </si>
  <si>
    <t>U.S. Geological Survey, 1939, Cement statistics in USGS Minerals Yearbook 1939, v. I, Metals and Minerals.</t>
  </si>
  <si>
    <t>U.S. Geological Survey, 1937, Cement statistics in USGS Minerals Yearbook 1937, v. I, Metals and Minerals.</t>
  </si>
  <si>
    <t>U.S. Geological Survey, 1935, Cement statistics in USGS Minerals Yearbook 1935, v. I, Metals and Minerals.</t>
  </si>
  <si>
    <t>U.S. Geological Survey, 1933, Cement statistics in USGS Minerals Yearbook 1933, v. I, Metals and Minerals.</t>
  </si>
  <si>
    <r>
      <t xml:space="preserve">CARB. (2019). </t>
    </r>
    <r>
      <rPr>
        <i/>
        <sz val="11"/>
        <color theme="1"/>
        <rFont val="Calibri"/>
        <family val="2"/>
        <scheme val="minor"/>
      </rPr>
      <t>Summary of 2008 to 2017 data from California’s Greenhouse Gas Mandatory Reporting Program</t>
    </r>
    <r>
      <rPr>
        <sz val="11"/>
        <color theme="1"/>
        <rFont val="Calibri"/>
        <family val="2"/>
        <scheme val="minor"/>
      </rPr>
      <t>. https://ww2.arb.ca.gov/our-work/programs/mandatory-greenhouse-gas-emissions-reporting</t>
    </r>
  </si>
  <si>
    <t>GNR. Global Cement Database on CO₂ and Energy Information. http://www.wbcsdcement.org/GNR-2013/index.html (2016).</t>
  </si>
  <si>
    <r>
      <t xml:space="preserve">Gomez, D. R. , W. J. D. , A. B. B. , H. C. , M. G. , M. E. , N. L. N. , O.-E. B. , S. J. D. K. , T. K. , Q. R. , C. 2006 IPCC Guidelines for National Greenhouse Gas Inventories: Chapter 2: Energy: Stationary Combustion. in </t>
    </r>
    <r>
      <rPr>
        <i/>
        <sz val="11"/>
        <color theme="1"/>
        <rFont val="Calibri"/>
        <family val="2"/>
        <scheme val="minor"/>
      </rPr>
      <t>I.P. on C.</t>
    </r>
    <r>
      <rPr>
        <sz val="11"/>
        <color theme="1"/>
        <rFont val="Calibri"/>
        <family val="2"/>
        <scheme val="minor"/>
      </rPr>
      <t xml:space="preserve"> (ed. Intergovernmental Panel on Climate Change) (2007).</t>
    </r>
  </si>
  <si>
    <r>
      <t xml:space="preserve">Marceau, M. L. , N. M. A. , V. M. G. </t>
    </r>
    <r>
      <rPr>
        <i/>
        <sz val="11"/>
        <color theme="1"/>
        <rFont val="Calibri"/>
        <family val="2"/>
        <scheme val="minor"/>
      </rPr>
      <t>Life Cycle Inventory of Portland Cement Manufacture</t>
    </r>
    <r>
      <rPr>
        <sz val="11"/>
        <color theme="1"/>
        <rFont val="Calibri"/>
        <family val="2"/>
        <scheme val="minor"/>
      </rPr>
      <t>. (2006).</t>
    </r>
  </si>
  <si>
    <r>
      <t xml:space="preserve">van Oss, H. G. </t>
    </r>
    <r>
      <rPr>
        <i/>
        <sz val="11"/>
        <color theme="1"/>
        <rFont val="Calibri"/>
        <family val="2"/>
        <scheme val="minor"/>
      </rPr>
      <t>Minerals yearbook: cement 2012</t>
    </r>
    <r>
      <rPr>
        <sz val="11"/>
        <color theme="1"/>
        <rFont val="Calibri"/>
        <family val="2"/>
        <scheme val="minor"/>
      </rPr>
      <t>. https://www.usgs.gov/centers/national-minerals-information-center/cement-statistics-and-information (2015).</t>
    </r>
  </si>
  <si>
    <t>U.S. Geological Survey, 2017, Cement statistics [through 2017; last modified January 19, 2017], in Kelly, T.D., and Matos, G.R., comps., Historical statistics for mineral and material commodities in the United States (2017 version): U.S. Geological Survey Data Series 140, accessed February 25, 2022 at https://www.usgs.gov/centers/national-minerals-information-center/historical-statistics-mineral-and-material-commodities#cement.</t>
  </si>
  <si>
    <t>U.S. Geological Survey, 2018, Cement statistics in USGS Minerals Yearbook 2018, v. I, Metals and Minerals.</t>
  </si>
  <si>
    <t>U.S. Geological Survey, 2008, Cement statistics in USGS Minerals Yearbook 2008, v. I, Metals and Minerals.</t>
  </si>
  <si>
    <r>
      <t xml:space="preserve">ERMCO. (2004). </t>
    </r>
    <r>
      <rPr>
        <i/>
        <sz val="11"/>
        <color theme="1"/>
        <rFont val="Calibri"/>
        <family val="2"/>
        <scheme val="minor"/>
      </rPr>
      <t>Ready-Mixed Concrete Industry Statistics Year 2003</t>
    </r>
    <r>
      <rPr>
        <sz val="11"/>
        <color theme="1"/>
        <rFont val="Calibri"/>
        <family val="2"/>
        <scheme val="minor"/>
      </rPr>
      <t>. http://ermco.eu/new/statistics-2003-2018/</t>
    </r>
  </si>
  <si>
    <r>
      <t xml:space="preserve">ERMCO. (2007). </t>
    </r>
    <r>
      <rPr>
        <i/>
        <sz val="11"/>
        <color theme="1"/>
        <rFont val="Calibri"/>
        <family val="2"/>
        <scheme val="minor"/>
      </rPr>
      <t>Ready-Mixed Concrete Industry Statistics Year 2006</t>
    </r>
    <r>
      <rPr>
        <sz val="11"/>
        <color theme="1"/>
        <rFont val="Calibri"/>
        <family val="2"/>
        <scheme val="minor"/>
      </rPr>
      <t>. http://ermco.eu/new/statistics-2003-2018/</t>
    </r>
  </si>
  <si>
    <r>
      <t xml:space="preserve">ERMCO. (2010). </t>
    </r>
    <r>
      <rPr>
        <i/>
        <sz val="11"/>
        <color theme="1"/>
        <rFont val="Calibri"/>
        <family val="2"/>
        <scheme val="minor"/>
      </rPr>
      <t>Ready-Mixed Concrete Industry Statistics Year 2009</t>
    </r>
    <r>
      <rPr>
        <sz val="11"/>
        <color theme="1"/>
        <rFont val="Calibri"/>
        <family val="2"/>
        <scheme val="minor"/>
      </rPr>
      <t>. http://ermco.eu/new/statistics-2003-2018/</t>
    </r>
  </si>
  <si>
    <r>
      <t xml:space="preserve">ERMCO. (2013). </t>
    </r>
    <r>
      <rPr>
        <i/>
        <sz val="11"/>
        <color theme="1"/>
        <rFont val="Calibri"/>
        <family val="2"/>
        <scheme val="minor"/>
      </rPr>
      <t>Ready-Mixed Concrete Industry Statistics Year 2012</t>
    </r>
    <r>
      <rPr>
        <sz val="11"/>
        <color theme="1"/>
        <rFont val="Calibri"/>
        <family val="2"/>
        <scheme val="minor"/>
      </rPr>
      <t>. http://ermco.eu/new/statistics-2003-2018/</t>
    </r>
  </si>
  <si>
    <r>
      <t xml:space="preserve">ERMCO. (2016). </t>
    </r>
    <r>
      <rPr>
        <i/>
        <sz val="11"/>
        <color theme="1"/>
        <rFont val="Calibri"/>
        <family val="2"/>
        <scheme val="minor"/>
      </rPr>
      <t>Ready-Mixed Concrete Industry Statistics Year 2015</t>
    </r>
    <r>
      <rPr>
        <sz val="11"/>
        <color theme="1"/>
        <rFont val="Calibri"/>
        <family val="2"/>
        <scheme val="minor"/>
      </rPr>
      <t>. http://ermco.eu/new/statistics-2003-2018/</t>
    </r>
  </si>
  <si>
    <r>
      <t xml:space="preserve">ERMCO. (2019). </t>
    </r>
    <r>
      <rPr>
        <i/>
        <sz val="11"/>
        <color theme="1"/>
        <rFont val="Calibri"/>
        <family val="2"/>
        <scheme val="minor"/>
      </rPr>
      <t>Ready-Mixed Concrete Industry Statistics Year 2018.</t>
    </r>
    <r>
      <rPr>
        <sz val="11"/>
        <color theme="1"/>
        <rFont val="Calibri"/>
        <family val="2"/>
        <scheme val="minor"/>
      </rPr>
      <t xml:space="preserve"> http://ermco.eu/new/statistics-2003-2018/</t>
    </r>
  </si>
  <si>
    <r>
      <t xml:space="preserve">Parrott, L. J. (1996). Some effects of cement and curing upon carbonation and reinforcement corrosion in concrete. </t>
    </r>
    <r>
      <rPr>
        <i/>
        <sz val="11"/>
        <color theme="1"/>
        <rFont val="Calibri"/>
        <family val="2"/>
        <scheme val="minor"/>
      </rPr>
      <t>Materials and Structures 1996 29:3</t>
    </r>
    <r>
      <rPr>
        <sz val="11"/>
        <color theme="1"/>
        <rFont val="Calibri"/>
        <family val="2"/>
        <scheme val="minor"/>
      </rPr>
      <t xml:space="preserve">, </t>
    </r>
    <r>
      <rPr>
        <i/>
        <sz val="11"/>
        <color theme="1"/>
        <rFont val="Calibri"/>
        <family val="2"/>
        <scheme val="minor"/>
      </rPr>
      <t>29</t>
    </r>
    <r>
      <rPr>
        <sz val="11"/>
        <color theme="1"/>
        <rFont val="Calibri"/>
        <family val="2"/>
        <scheme val="minor"/>
      </rPr>
      <t>(3), 164–173. https://doi.org/10.1007/BF02486162</t>
    </r>
  </si>
  <si>
    <t>Burdon, D. (2006). The durability of concrete containing high levels of fly ash. PCA R&amp;D Serial No. 2989. Portland Cement Association, Skokie, US.</t>
  </si>
  <si>
    <r>
      <t xml:space="preserve">Leemann, A., Nygaard, P., Kaufmann, J., &amp; Loser, R. (2015). Relation between carbonation resistance, mix design and exposure of mortar and concrete. </t>
    </r>
    <r>
      <rPr>
        <i/>
        <sz val="11"/>
        <color theme="1"/>
        <rFont val="Calibri"/>
        <family val="2"/>
        <scheme val="minor"/>
      </rPr>
      <t>Cement and Concrete Composites</t>
    </r>
    <r>
      <rPr>
        <sz val="11"/>
        <color theme="1"/>
        <rFont val="Calibri"/>
        <family val="2"/>
        <scheme val="minor"/>
      </rPr>
      <t xml:space="preserve">, </t>
    </r>
    <r>
      <rPr>
        <i/>
        <sz val="11"/>
        <color theme="1"/>
        <rFont val="Calibri"/>
        <family val="2"/>
        <scheme val="minor"/>
      </rPr>
      <t>62</t>
    </r>
    <r>
      <rPr>
        <sz val="11"/>
        <color theme="1"/>
        <rFont val="Calibri"/>
        <family val="2"/>
        <scheme val="minor"/>
      </rPr>
      <t>, 33–43. https://doi.org/10.1016/J.CEMCONCOMP.2015.04.020</t>
    </r>
  </si>
  <si>
    <t xml:space="preserve">*global average distribution based on ERMCO 2017 </t>
  </si>
  <si>
    <t>Emissions (Mt/yr)</t>
  </si>
  <si>
    <t>* Estimated using historic consumption data</t>
  </si>
  <si>
    <t>.85 data point excluded because mineral structure is likely different at this level of replacement</t>
  </si>
  <si>
    <t>Global Strength Class Distribution</t>
  </si>
  <si>
    <t>Average global (apply strength class distribution)</t>
  </si>
  <si>
    <t>process emissions based on global average cement production data</t>
  </si>
  <si>
    <t>global average cement production data used</t>
  </si>
  <si>
    <t>Cement is uncoated during all stages. Cement is exposed during useful life and demolition and buried during secondary life</t>
  </si>
  <si>
    <t>Cement is uncoated during all stages. Cement is exposed during useful life and demolition and is buried during secondary life.</t>
  </si>
  <si>
    <t xml:space="preserve">Slag </t>
  </si>
  <si>
    <t xml:space="preserve">Limestone </t>
  </si>
  <si>
    <t xml:space="preserve">Puzzolana </t>
  </si>
  <si>
    <t>Global average amount of mineral additives used for each unit of cement consumed in 2015</t>
  </si>
  <si>
    <t>Supplemenrary Data Sheet 4</t>
  </si>
  <si>
    <t>Global average SCM content, energy and electricity requirements for cement production</t>
  </si>
  <si>
    <t>fraction of alternative/biomass/fossil fuels based on GNR 2016; fraction of classifications within fossil fuels (namely coal, oil, gas, and petcoke) and fraction of classifications within waste fuels (namely fossil waste, solid waste, and liquid waste) based on global averages from GCCA 2020</t>
  </si>
  <si>
    <t>coal</t>
  </si>
  <si>
    <t>oil</t>
  </si>
  <si>
    <t>biomass</t>
  </si>
  <si>
    <t>fossil waste</t>
  </si>
  <si>
    <t>petcoke</t>
  </si>
  <si>
    <t>natural gas</t>
  </si>
  <si>
    <t>solid waste</t>
  </si>
  <si>
    <t>liquid waste</t>
  </si>
  <si>
    <t>World, 2015</t>
  </si>
  <si>
    <t>Fractions of energy resources used for thermal energy in cement kilns by year</t>
  </si>
  <si>
    <t xml:space="preserve">Electricity mixes </t>
  </si>
  <si>
    <t>Coal</t>
  </si>
  <si>
    <t>Oil</t>
  </si>
  <si>
    <t>Natural Gas</t>
  </si>
  <si>
    <t>Biomass</t>
  </si>
  <si>
    <t>Nuclear</t>
  </si>
  <si>
    <t>Hydroelectric</t>
  </si>
  <si>
    <t>Geothermal</t>
  </si>
  <si>
    <t>Solar</t>
  </si>
  <si>
    <t>Wind</t>
  </si>
  <si>
    <t>OtherSources</t>
  </si>
  <si>
    <t>Fractions of energy resources used for electricity mixes (data from IEA 2020)</t>
  </si>
  <si>
    <t>Thermal fuel mixes for cement kilns</t>
  </si>
  <si>
    <t>source:</t>
  </si>
  <si>
    <t>GNR 2016</t>
  </si>
  <si>
    <t>electricity (MJ/kg)</t>
  </si>
  <si>
    <t>thermal energy (MJ/kg)</t>
  </si>
  <si>
    <t>Electricity and thermal energy demand to produce cement</t>
  </si>
  <si>
    <t>global</t>
  </si>
  <si>
    <t>United States</t>
  </si>
  <si>
    <t>source</t>
  </si>
  <si>
    <t>Fraction of cement used in concrete</t>
  </si>
  <si>
    <t>China Xi 2016, rest of world ERMCO 2017</t>
  </si>
  <si>
    <t xml:space="preserve">USGS </t>
  </si>
  <si>
    <t>Average concrete product thicknesses and percent of cement used in concrete</t>
  </si>
  <si>
    <t>The climate benefits from cement carbonation are being over-estimated</t>
  </si>
  <si>
    <t>Supplementary Data Sheet 4</t>
  </si>
  <si>
    <t>Use-phase is modeled as an urban environment, demolition phase is industrial, and secondary phase is road</t>
  </si>
  <si>
    <t>Use-phase is modeled as an urban environment, demolition phase is industrial, and secondary phase is “road”</t>
  </si>
  <si>
    <t>Data for Figure 1a: life cycle emissions for 1 kg of cement</t>
  </si>
  <si>
    <t>Data for Figure 1b: timescale of life cycle emissions for 1 kg of cement</t>
  </si>
  <si>
    <t>Data for Figure 2a: GWP vs TAWP for 1 kg of cement</t>
  </si>
  <si>
    <t>Data for Figure 2b: cumulative radiative forcing of GWP vs TAWP, 1 kg of cement</t>
  </si>
  <si>
    <t>Data for Figure 3: Effect of carbon uptake in cement on emissions from global cement consumption</t>
  </si>
  <si>
    <t>Historic cement consumption and estimated CO2 emissions: United States</t>
  </si>
  <si>
    <t>Coefficient of carbonation for atmospheric CO2 concentration</t>
  </si>
  <si>
    <t>Calcination and energy emissions (assuming change in coal consumption)</t>
  </si>
  <si>
    <t>Net emissions (assuming change in coal consumption)</t>
  </si>
  <si>
    <t>demolition emissions</t>
  </si>
  <si>
    <t>demolition phase uptake</t>
  </si>
  <si>
    <t>demolition phase emissions</t>
  </si>
  <si>
    <t>energy emissions (linearly decreasing by roughly 40% by 2050)</t>
  </si>
  <si>
    <t>including demolition emissions</t>
  </si>
  <si>
    <t>x</t>
  </si>
  <si>
    <t>kg cement/kg concrete</t>
  </si>
  <si>
    <t>dec. particle diameter to 1-10 mm and icnrease demo phase to 1 year</t>
  </si>
  <si>
    <t>dec. particle diameter to 1-10 mm and icnrease demo phase to 3 months</t>
  </si>
  <si>
    <t>dec. particle diameter to 1-10 mm and icnrease demo phase to 1 month</t>
  </si>
  <si>
    <t>dec. particle diameter to 1-5 mm and icnrease demo phase to 1 year</t>
  </si>
  <si>
    <t>days</t>
  </si>
  <si>
    <t>1-40 mm</t>
  </si>
  <si>
    <t>1-30 mm</t>
  </si>
  <si>
    <t>1-20 mm</t>
  </si>
  <si>
    <t>1-10 mm</t>
  </si>
  <si>
    <t>1-5 mm</t>
  </si>
  <si>
    <t xml:space="preserve">decreasing particle diameter to 1-5 mm </t>
  </si>
  <si>
    <t>decreasing particle diameter to 1-5mm and demo phase 3 months</t>
  </si>
  <si>
    <t>1-5mm</t>
  </si>
  <si>
    <t>1-40mm</t>
  </si>
  <si>
    <t>1-10mm</t>
  </si>
  <si>
    <t>weighted global average strength/ cement content 302 kg/m3</t>
  </si>
  <si>
    <t>Calcination and Energy emissions (kg Co2/yr) assuming decrease in coal consumption</t>
  </si>
  <si>
    <t>energy emissions (assuming decrease in emissions by 40% by 2050)</t>
  </si>
  <si>
    <t>Emissions assuming decrease in coal consumption starting in 2023</t>
  </si>
  <si>
    <r>
      <rPr>
        <b/>
        <sz val="11"/>
        <color rgb="FF000000"/>
        <rFont val="Calibri"/>
        <family val="2"/>
        <scheme val="minor"/>
      </rPr>
      <t>assuming high strength (&gt;35 Mpa) ,</t>
    </r>
    <r>
      <rPr>
        <sz val="11"/>
        <color rgb="FF000000"/>
        <rFont val="Calibri"/>
        <family val="2"/>
        <scheme val="minor"/>
      </rPr>
      <t xml:space="preserve"> global avg. cement content 302 kg/m3</t>
    </r>
  </si>
  <si>
    <r>
      <rPr>
        <b/>
        <sz val="11"/>
        <color rgb="FF000000"/>
        <rFont val="Calibri"/>
        <family val="2"/>
        <scheme val="minor"/>
      </rPr>
      <t>assuming low strength (&lt;15 Mpa)</t>
    </r>
    <r>
      <rPr>
        <sz val="11"/>
        <color rgb="FF000000"/>
        <rFont val="Calibri"/>
        <family val="2"/>
        <scheme val="minor"/>
      </rPr>
      <t xml:space="preserve"> , global avg. cement content 302 kg/m3</t>
    </r>
  </si>
  <si>
    <t>process contributions for 1 kg of cement in "high strength" concrete</t>
  </si>
  <si>
    <t>process contributions for 1 kg cement in "low strength" concrete</t>
  </si>
  <si>
    <t>Data for Supplementary Figure S1</t>
  </si>
  <si>
    <r>
      <t xml:space="preserve">Cummulative CO2 uptake (kg CO2/kg cement) </t>
    </r>
    <r>
      <rPr>
        <b/>
        <sz val="11"/>
        <color theme="1"/>
        <rFont val="Calibri"/>
        <family val="2"/>
        <scheme val="minor"/>
      </rPr>
      <t>including demolition emissions</t>
    </r>
  </si>
  <si>
    <t>energy emissions from cement production</t>
  </si>
  <si>
    <t>use-phase uptake</t>
  </si>
  <si>
    <t>secondary phase uptake</t>
  </si>
  <si>
    <t>CRF- including energy requirements and demolition emissions</t>
  </si>
  <si>
    <t>TAWP net' (calcination emissions followed by annual carbon uptake)</t>
  </si>
  <si>
    <t>GWP net' (calcinations emissions and total carbon uptake occuring simultaneously)</t>
  </si>
  <si>
    <t xml:space="preserve">TAWP net' calcination and energy emissions followed by annual carbon uptake </t>
  </si>
  <si>
    <t>GWP net' calcinations emissions and total carbon uptake occuring simultaneously</t>
  </si>
  <si>
    <t>Data for Supplementary figure 1: Effect of carbon uptake in cement on emissions from US cement consumption</t>
  </si>
  <si>
    <t>Data for Supplementary Data table 1: Summary table of cement mitigation strategies</t>
  </si>
  <si>
    <t>List of sources and calculations for concrete demolition emissions</t>
  </si>
  <si>
    <t>Supplementary Data Sheet 20</t>
  </si>
  <si>
    <t>Data for Supplementary Figure 1: Effect of carbon uptake in cement on emissions from US cement consumption</t>
  </si>
  <si>
    <t>Data for Supplementary Data Table 1: Summary table of cement mitigation strategies</t>
  </si>
  <si>
    <t>kg CO2e/tonne crushed concrete</t>
  </si>
  <si>
    <t>AVERAGE</t>
  </si>
  <si>
    <t>concrete to cement conversion</t>
  </si>
  <si>
    <t>cement content</t>
  </si>
  <si>
    <t>kg /m3</t>
  </si>
  <si>
    <t>concrete density</t>
  </si>
  <si>
    <t>kg/m3</t>
  </si>
  <si>
    <t>data point</t>
  </si>
  <si>
    <t>kg CO2e/kg cement</t>
  </si>
  <si>
    <t>kg CO2e/kg crushed concrete</t>
  </si>
  <si>
    <t>Applying concrete demolition emissions to Cao et al. results</t>
  </si>
  <si>
    <t>Cumulative cement in demolition from 2015 to 2100 (Gt)</t>
  </si>
  <si>
    <t>Estimated demolition emissions (Gt)</t>
  </si>
  <si>
    <t>% of estimated CO2 uptake estimated by Cao et al.</t>
  </si>
  <si>
    <t>Data for Figure 4a: Energy emissions and uptake associated with demolition</t>
  </si>
  <si>
    <t>Supplementary Data Sheet 21</t>
  </si>
  <si>
    <t>Data for Figure 4a: Energy emissions and uptake associated with concrete demolition</t>
  </si>
  <si>
    <t>Supplementary Data Sheet 22</t>
  </si>
  <si>
    <t>Cumulative carbon uptake (kg CO2/kg cement)</t>
  </si>
  <si>
    <t>Co2 uptake during demolition</t>
  </si>
  <si>
    <t>Energy emissions for demolition (kg CO2e/kg cement)</t>
  </si>
  <si>
    <t>Calculations for determining energy emissions from demolition</t>
  </si>
  <si>
    <t>starting diameter= 40 mm</t>
  </si>
  <si>
    <t>energy emissions =0.1</t>
  </si>
  <si>
    <t>energy emissions = 0.3</t>
  </si>
  <si>
    <t xml:space="preserve">slope = (0.3-0.1)/(8mm-40mm) </t>
  </si>
  <si>
    <t>slope=-0.00625</t>
  </si>
  <si>
    <t>b = 0.1-(40*-0.00625)</t>
  </si>
  <si>
    <t>b=0.35</t>
  </si>
  <si>
    <t>y</t>
  </si>
  <si>
    <t>1-20mm</t>
  </si>
  <si>
    <t>1-30mm</t>
  </si>
  <si>
    <t>Calcination and energy emissions (assuming decrease in coal consumption)</t>
  </si>
  <si>
    <t>% of cement in concrete</t>
  </si>
  <si>
    <t>% of cement in mortar</t>
  </si>
  <si>
    <r>
      <t>Uptake of CO</t>
    </r>
    <r>
      <rPr>
        <vertAlign val="subscript"/>
        <sz val="11"/>
        <color theme="1"/>
        <rFont val="Calibri"/>
        <family val="2"/>
        <scheme val="minor"/>
      </rPr>
      <t>2</t>
    </r>
    <r>
      <rPr>
        <sz val="11"/>
        <color theme="1"/>
        <rFont val="Calibri"/>
        <family val="2"/>
        <scheme val="minor"/>
      </rPr>
      <t xml:space="preserve"> by cement (including demolition emissions)</t>
    </r>
  </si>
  <si>
    <t>secondary phase excluded (only considering 64 year use phase and demolition)</t>
  </si>
  <si>
    <t xml:space="preserve">assuming: concrete is exposed, uncoated, urban environment during use, industrial environment at EoL. </t>
  </si>
  <si>
    <r>
      <t xml:space="preserve">Nedeljković, M. </t>
    </r>
    <r>
      <rPr>
        <i/>
        <sz val="11"/>
        <color theme="1"/>
        <rFont val="Calibri"/>
        <family val="2"/>
        <scheme val="minor"/>
      </rPr>
      <t>et al.</t>
    </r>
    <r>
      <rPr>
        <sz val="11"/>
        <color theme="1"/>
        <rFont val="Calibri"/>
        <family val="2"/>
        <scheme val="minor"/>
      </rPr>
      <t xml:space="preserve"> Energy consumption of a laboratory jaw crusher during normal and high strength concrete recycling. </t>
    </r>
    <r>
      <rPr>
        <i/>
        <sz val="11"/>
        <color theme="1"/>
        <rFont val="Calibri"/>
        <family val="2"/>
        <scheme val="minor"/>
      </rPr>
      <t>Miner. Eng.</t>
    </r>
    <r>
      <rPr>
        <sz val="11"/>
        <color theme="1"/>
        <rFont val="Calibri"/>
        <family val="2"/>
        <scheme val="minor"/>
      </rPr>
      <t xml:space="preserve"> </t>
    </r>
    <r>
      <rPr>
        <b/>
        <sz val="11"/>
        <color theme="1"/>
        <rFont val="Calibri"/>
        <family val="2"/>
        <scheme val="minor"/>
      </rPr>
      <t>204</t>
    </r>
    <r>
      <rPr>
        <sz val="11"/>
        <color theme="1"/>
        <rFont val="Calibri"/>
        <family val="2"/>
        <scheme val="minor"/>
      </rPr>
      <t>, (2023)</t>
    </r>
  </si>
  <si>
    <t>source:Nedeljković, M. et al. Energy consumption of a laboratory jaw crusher during normal and high strength concrete recycling. Miner. Eng. 204, (2023)</t>
  </si>
  <si>
    <t>Estanquueiro et al.</t>
  </si>
  <si>
    <t>Braga et al.</t>
  </si>
  <si>
    <t>Marinkovic et al.</t>
  </si>
  <si>
    <t>Hossain et al.</t>
  </si>
  <si>
    <t>Park et al.</t>
  </si>
  <si>
    <t>Tosic et al.</t>
  </si>
  <si>
    <t>Pradhan et al.</t>
  </si>
  <si>
    <t>Simion et al.</t>
  </si>
  <si>
    <t>Kikuchi and Kuroda</t>
  </si>
  <si>
    <r>
      <t xml:space="preserve">Estanqueiro, B., Dinis Silvestre, J., de Brito, J. &amp; Duarte Pinheiro, M. Environmental life cycle assessment of coarse natural and recycled aggregates for concrete. </t>
    </r>
    <r>
      <rPr>
        <i/>
        <sz val="11"/>
        <color theme="1"/>
        <rFont val="Calibri"/>
        <family val="2"/>
        <scheme val="minor"/>
      </rPr>
      <t>Eur. J. Environ. Civ. Eng.</t>
    </r>
    <r>
      <rPr>
        <sz val="11"/>
        <color theme="1"/>
        <rFont val="Calibri"/>
        <family val="2"/>
        <scheme val="minor"/>
      </rPr>
      <t xml:space="preserve"> </t>
    </r>
    <r>
      <rPr>
        <b/>
        <sz val="11"/>
        <color theme="1"/>
        <rFont val="Calibri"/>
        <family val="2"/>
        <scheme val="minor"/>
      </rPr>
      <t>22</t>
    </r>
    <r>
      <rPr>
        <sz val="11"/>
        <color theme="1"/>
        <rFont val="Calibri"/>
        <family val="2"/>
        <scheme val="minor"/>
      </rPr>
      <t>, 429–449 (2018).</t>
    </r>
  </si>
  <si>
    <r>
      <t>Braga, A.M.; Silvestre, J.D.; de Brito, J. Compared environmental and economic impact from cradle to gate of concrete with natural and recycled coarse aggregates. </t>
    </r>
    <r>
      <rPr>
        <i/>
        <sz val="11"/>
        <color rgb="FF222222"/>
        <rFont val="Calibri"/>
        <family val="2"/>
        <scheme val="minor"/>
      </rPr>
      <t>J. Clean. Prod.</t>
    </r>
    <r>
      <rPr>
        <sz val="11"/>
        <color rgb="FF222222"/>
        <rFont val="Calibri"/>
        <family val="2"/>
        <scheme val="minor"/>
      </rPr>
      <t> </t>
    </r>
    <r>
      <rPr>
        <b/>
        <sz val="11"/>
        <color rgb="FF222222"/>
        <rFont val="Calibri"/>
        <family val="2"/>
        <scheme val="minor"/>
      </rPr>
      <t>2017</t>
    </r>
    <r>
      <rPr>
        <sz val="11"/>
        <color rgb="FF222222"/>
        <rFont val="Calibri"/>
        <family val="2"/>
        <scheme val="minor"/>
      </rPr>
      <t>, </t>
    </r>
    <r>
      <rPr>
        <i/>
        <sz val="11"/>
        <color rgb="FF222222"/>
        <rFont val="Calibri"/>
        <family val="2"/>
        <scheme val="minor"/>
      </rPr>
      <t>162</t>
    </r>
    <r>
      <rPr>
        <sz val="11"/>
        <color rgb="FF222222"/>
        <rFont val="Calibri"/>
        <family val="2"/>
        <scheme val="minor"/>
      </rPr>
      <t>, 529–543</t>
    </r>
  </si>
  <si>
    <r>
      <t>Marinković, S.; Radonjanin, V.; Malešev, M.; Ignjatović, I. Comparative environmental assessment of natural and recycled aggregate concrete. </t>
    </r>
    <r>
      <rPr>
        <i/>
        <sz val="11"/>
        <color rgb="FF222222"/>
        <rFont val="Calibri"/>
        <family val="2"/>
        <scheme val="minor"/>
      </rPr>
      <t>Waste Manag.</t>
    </r>
    <r>
      <rPr>
        <sz val="11"/>
        <color rgb="FF222222"/>
        <rFont val="Calibri"/>
        <family val="2"/>
        <scheme val="minor"/>
      </rPr>
      <t> </t>
    </r>
    <r>
      <rPr>
        <b/>
        <sz val="11"/>
        <color rgb="FF222222"/>
        <rFont val="Calibri"/>
        <family val="2"/>
        <scheme val="minor"/>
      </rPr>
      <t>2010</t>
    </r>
    <r>
      <rPr>
        <sz val="11"/>
        <color rgb="FF222222"/>
        <rFont val="Calibri"/>
        <family val="2"/>
        <scheme val="minor"/>
      </rPr>
      <t>, </t>
    </r>
    <r>
      <rPr>
        <i/>
        <sz val="11"/>
        <color rgb="FF222222"/>
        <rFont val="Calibri"/>
        <family val="2"/>
        <scheme val="minor"/>
      </rPr>
      <t>30</t>
    </r>
    <r>
      <rPr>
        <sz val="11"/>
        <color rgb="FF222222"/>
        <rFont val="Calibri"/>
        <family val="2"/>
        <scheme val="minor"/>
      </rPr>
      <t>, 2255–2264.</t>
    </r>
  </si>
  <si>
    <r>
      <t>Hossain, M.U.; Poon, C.S.; Lo, I.M.C.; Cheng, J.C.P. Comparative environmental evaluation of aggregate production from recycled waste materials and virgin sources by LCA. </t>
    </r>
    <r>
      <rPr>
        <i/>
        <sz val="11"/>
        <color rgb="FF222222"/>
        <rFont val="Calibri"/>
        <family val="2"/>
        <scheme val="minor"/>
      </rPr>
      <t>Resour. Conserv. Recycl.</t>
    </r>
    <r>
      <rPr>
        <sz val="11"/>
        <color rgb="FF222222"/>
        <rFont val="Calibri"/>
        <family val="2"/>
        <scheme val="minor"/>
      </rPr>
      <t> </t>
    </r>
    <r>
      <rPr>
        <b/>
        <sz val="11"/>
        <color rgb="FF222222"/>
        <rFont val="Calibri"/>
        <family val="2"/>
        <scheme val="minor"/>
      </rPr>
      <t>2016</t>
    </r>
    <r>
      <rPr>
        <sz val="11"/>
        <color rgb="FF222222"/>
        <rFont val="Calibri"/>
        <family val="2"/>
        <scheme val="minor"/>
      </rPr>
      <t>, </t>
    </r>
    <r>
      <rPr>
        <i/>
        <sz val="11"/>
        <color rgb="FF222222"/>
        <rFont val="Calibri"/>
        <family val="2"/>
        <scheme val="minor"/>
      </rPr>
      <t>109</t>
    </r>
    <r>
      <rPr>
        <sz val="11"/>
        <color rgb="FF222222"/>
        <rFont val="Calibri"/>
        <family val="2"/>
        <scheme val="minor"/>
      </rPr>
      <t>, 67–77.</t>
    </r>
  </si>
  <si>
    <r>
      <t>Park, W.J.; Kim, T.; Roh, S.; Kim, R. Analysis of life cycle environmental impact of recycled aggregate. </t>
    </r>
    <r>
      <rPr>
        <i/>
        <sz val="11"/>
        <color rgb="FF222222"/>
        <rFont val="Calibri"/>
        <family val="2"/>
        <scheme val="minor"/>
      </rPr>
      <t>Appl. Sci.</t>
    </r>
    <r>
      <rPr>
        <sz val="11"/>
        <color rgb="FF222222"/>
        <rFont val="Calibri"/>
        <family val="2"/>
        <scheme val="minor"/>
      </rPr>
      <t> </t>
    </r>
    <r>
      <rPr>
        <b/>
        <sz val="11"/>
        <color rgb="FF222222"/>
        <rFont val="Calibri"/>
        <family val="2"/>
        <scheme val="minor"/>
      </rPr>
      <t>2019</t>
    </r>
    <r>
      <rPr>
        <sz val="11"/>
        <color rgb="FF222222"/>
        <rFont val="Calibri"/>
        <family val="2"/>
        <scheme val="minor"/>
      </rPr>
      <t>, </t>
    </r>
    <r>
      <rPr>
        <i/>
        <sz val="11"/>
        <color rgb="FF222222"/>
        <rFont val="Calibri"/>
        <family val="2"/>
        <scheme val="minor"/>
      </rPr>
      <t>9</t>
    </r>
    <r>
      <rPr>
        <sz val="11"/>
        <color rgb="FF222222"/>
        <rFont val="Calibri"/>
        <family val="2"/>
        <scheme val="minor"/>
      </rPr>
      <t>, 1021. </t>
    </r>
  </si>
  <si>
    <r>
      <t>Tošic, N.; Marinković, S.; Dašić, T.; Stanić, M. Multicriteria optimization of natural and recycled aggregate concrete for structural use. </t>
    </r>
    <r>
      <rPr>
        <i/>
        <sz val="11"/>
        <color rgb="FF222222"/>
        <rFont val="Calibri"/>
        <family val="2"/>
        <scheme val="minor"/>
      </rPr>
      <t>J. Clean. Prod.</t>
    </r>
    <r>
      <rPr>
        <sz val="11"/>
        <color rgb="FF222222"/>
        <rFont val="Calibri"/>
        <family val="2"/>
        <scheme val="minor"/>
      </rPr>
      <t> </t>
    </r>
    <r>
      <rPr>
        <b/>
        <sz val="11"/>
        <color rgb="FF222222"/>
        <rFont val="Calibri"/>
        <family val="2"/>
        <scheme val="minor"/>
      </rPr>
      <t>2015</t>
    </r>
    <r>
      <rPr>
        <sz val="11"/>
        <color rgb="FF222222"/>
        <rFont val="Calibri"/>
        <family val="2"/>
        <scheme val="minor"/>
      </rPr>
      <t>, </t>
    </r>
    <r>
      <rPr>
        <i/>
        <sz val="11"/>
        <color rgb="FF222222"/>
        <rFont val="Calibri"/>
        <family val="2"/>
        <scheme val="minor"/>
      </rPr>
      <t>87</t>
    </r>
    <r>
      <rPr>
        <sz val="11"/>
        <color rgb="FF222222"/>
        <rFont val="Calibri"/>
        <family val="2"/>
        <scheme val="minor"/>
      </rPr>
      <t>, 766–776. </t>
    </r>
  </si>
  <si>
    <r>
      <t xml:space="preserve">Pradhan, S., Tiwari, B. R., Kumar, S. &amp; Barai, S. V. Comparative LCA of recycled and natural aggregate concrete using Particle Packing Method and conventional method of design mix. </t>
    </r>
    <r>
      <rPr>
        <i/>
        <sz val="11"/>
        <color theme="1"/>
        <rFont val="Calibri"/>
        <family val="2"/>
        <scheme val="minor"/>
      </rPr>
      <t>J. Clean. Prod.</t>
    </r>
    <r>
      <rPr>
        <sz val="11"/>
        <color theme="1"/>
        <rFont val="Calibri"/>
        <family val="2"/>
        <scheme val="minor"/>
      </rPr>
      <t xml:space="preserve"> </t>
    </r>
    <r>
      <rPr>
        <b/>
        <sz val="11"/>
        <color theme="1"/>
        <rFont val="Calibri"/>
        <family val="2"/>
        <scheme val="minor"/>
      </rPr>
      <t>228</t>
    </r>
    <r>
      <rPr>
        <sz val="11"/>
        <color theme="1"/>
        <rFont val="Calibri"/>
        <family val="2"/>
        <scheme val="minor"/>
      </rPr>
      <t>, 679–691 (2019).</t>
    </r>
  </si>
  <si>
    <r>
      <t xml:space="preserve">Simion, I. M., Fortuna, M. E., Bonoli, A. &amp; Gavrilescu, M. Comparing environmental impacts of natural inert and recycled construction and demolition waste processing using LCA. </t>
    </r>
    <r>
      <rPr>
        <i/>
        <sz val="11"/>
        <color theme="1"/>
        <rFont val="Calibri"/>
        <family val="2"/>
        <scheme val="minor"/>
      </rPr>
      <t>J. Environ. Eng. Landsc. Manag.</t>
    </r>
    <r>
      <rPr>
        <sz val="11"/>
        <color theme="1"/>
        <rFont val="Calibri"/>
        <family val="2"/>
        <scheme val="minor"/>
      </rPr>
      <t xml:space="preserve"> </t>
    </r>
    <r>
      <rPr>
        <b/>
        <sz val="11"/>
        <color theme="1"/>
        <rFont val="Calibri"/>
        <family val="2"/>
        <scheme val="minor"/>
      </rPr>
      <t>21</t>
    </r>
    <r>
      <rPr>
        <sz val="11"/>
        <color theme="1"/>
        <rFont val="Calibri"/>
        <family val="2"/>
        <scheme val="minor"/>
      </rPr>
      <t>, 273–287 (2013).</t>
    </r>
  </si>
  <si>
    <r>
      <t xml:space="preserve">Kikuchi, T. &amp; Kuroda, Y. Carbon dioxide uptake in demolished and crushed concrete. </t>
    </r>
    <r>
      <rPr>
        <i/>
        <sz val="11"/>
        <color theme="1"/>
        <rFont val="Calibri"/>
        <family val="2"/>
        <scheme val="minor"/>
      </rPr>
      <t>J. Adv. Concr. Technol.</t>
    </r>
    <r>
      <rPr>
        <sz val="11"/>
        <color theme="1"/>
        <rFont val="Calibri"/>
        <family val="2"/>
        <scheme val="minor"/>
      </rPr>
      <t xml:space="preserve"> </t>
    </r>
    <r>
      <rPr>
        <b/>
        <sz val="11"/>
        <color theme="1"/>
        <rFont val="Calibri"/>
        <family val="2"/>
        <scheme val="minor"/>
      </rPr>
      <t>9</t>
    </r>
    <r>
      <rPr>
        <sz val="11"/>
        <color theme="1"/>
        <rFont val="Calibri"/>
        <family val="2"/>
        <scheme val="minor"/>
      </rPr>
      <t>, 115–124 (2011).</t>
    </r>
  </si>
  <si>
    <t>Reference</t>
  </si>
  <si>
    <t>Ecoinvent 2.2 "1 kg Disposal, building, reinforced concrete, to sorting plant/US* US-EI U (of project US-EI 2.2)"</t>
  </si>
  <si>
    <t>Ecoinvent 2.2 database: "1 kg Disposal, building, reinforced concrete, to sorting plant/US* US-EI U (of project US-EI 2.2)"</t>
  </si>
  <si>
    <t>Data for Supplementary Figure 2: Sensitvity of concrete strength</t>
  </si>
  <si>
    <t>cumulative uptake (high strength)</t>
  </si>
  <si>
    <t>Cumulative uptake (low strength)</t>
  </si>
  <si>
    <t>Given that concrete strength is tied to porosity, which therby impacts the rate of carbonation, we provide an example of how the rate of carbonation may differ for low strength (&lt;C15), and high strength ( &gt; C35) concrete</t>
  </si>
  <si>
    <t>upfront GHG reduciton (TAWP100)</t>
  </si>
  <si>
    <t>use-phase (TAWP100)</t>
  </si>
  <si>
    <t>use phase % reduction (TAWP 100)</t>
  </si>
  <si>
    <t>15% limestone</t>
  </si>
  <si>
    <t>15% silica fume</t>
  </si>
  <si>
    <t>25% slag</t>
  </si>
  <si>
    <t>25 % fly ash</t>
  </si>
  <si>
    <t>50% slag</t>
  </si>
  <si>
    <t>50% fly ash</t>
  </si>
  <si>
    <t>base case scenario</t>
  </si>
  <si>
    <t>Data for Figure 4b: Sensitivity of SCM replacement on TAWP reduction</t>
  </si>
  <si>
    <t>Assumptions: use phase 64 years, demolition phase 0.4 years. Urban environemntal during useful life, industrial environment at EoL. No coatings, and exposed in all life cycle stages.</t>
  </si>
  <si>
    <t>EoL GHG emissions (TAWP100)*</t>
  </si>
  <si>
    <t>*EoL GHG emissions is not considered demolition emisisons, but just considering carbon uptake. This is done to identify the difference between carbonation impacts for cement with and without SCMs present at end-of-life</t>
  </si>
  <si>
    <t>EoL phase % reduction (TAWP 100)</t>
  </si>
  <si>
    <t>SCM content</t>
  </si>
  <si>
    <t>base case GHG (no SCMs)</t>
  </si>
  <si>
    <t>Production impacts (kg CO2e/kg)</t>
  </si>
  <si>
    <t>Supplementary Data Sheet 23</t>
  </si>
  <si>
    <t>Senstivity of carbonation to concrete strength class</t>
  </si>
  <si>
    <t>Data for Figure 4b: Sensitivity of SCM type and replacement on TAWP reductions</t>
  </si>
  <si>
    <r>
      <t xml:space="preserve">Elisabeth Van Roijen </t>
    </r>
    <r>
      <rPr>
        <vertAlign val="superscript"/>
        <sz val="12"/>
        <color theme="1"/>
        <rFont val="Times New Roman"/>
        <family val="1"/>
      </rPr>
      <t>1, †</t>
    </r>
    <r>
      <rPr>
        <sz val="12"/>
        <color theme="1"/>
        <rFont val="Times New Roman"/>
        <family val="1"/>
      </rPr>
      <t xml:space="preserve">, Kati Sethares </t>
    </r>
    <r>
      <rPr>
        <vertAlign val="superscript"/>
        <sz val="12"/>
        <color theme="1"/>
        <rFont val="Times New Roman"/>
        <family val="1"/>
      </rPr>
      <t>1,†</t>
    </r>
    <r>
      <rPr>
        <sz val="12"/>
        <color theme="1"/>
        <rFont val="Times New Roman"/>
        <family val="1"/>
      </rPr>
      <t xml:space="preserve">, Alissa Kendall </t>
    </r>
    <r>
      <rPr>
        <vertAlign val="superscript"/>
        <sz val="12"/>
        <color theme="1"/>
        <rFont val="Times New Roman"/>
        <family val="1"/>
      </rPr>
      <t>1</t>
    </r>
    <r>
      <rPr>
        <sz val="12"/>
        <color theme="1"/>
        <rFont val="Times New Roman"/>
        <family val="1"/>
      </rPr>
      <t xml:space="preserve">, Sabbie A. Miller </t>
    </r>
    <r>
      <rPr>
        <vertAlign val="superscript"/>
        <sz val="12"/>
        <color theme="1"/>
        <rFont val="Times New Roman"/>
        <family val="1"/>
      </rPr>
      <t>1, *</t>
    </r>
  </si>
  <si>
    <r>
      <rPr>
        <vertAlign val="superscript"/>
        <sz val="10"/>
        <color theme="1"/>
        <rFont val="Times New Roman"/>
        <family val="1"/>
      </rPr>
      <t>†</t>
    </r>
    <r>
      <rPr>
        <sz val="10"/>
        <color theme="1"/>
        <rFont val="Times New Roman"/>
        <family val="1"/>
      </rPr>
      <t xml:space="preserve"> equal contributions</t>
    </r>
  </si>
  <si>
    <r>
      <rPr>
        <b/>
        <sz val="11"/>
        <color theme="1"/>
        <rFont val="Calibri"/>
        <family val="2"/>
        <scheme val="minor"/>
      </rPr>
      <t>Key assumption</t>
    </r>
    <r>
      <rPr>
        <sz val="11"/>
        <color theme="1"/>
        <rFont val="Calibri"/>
        <family val="2"/>
        <scheme val="minor"/>
      </rPr>
      <t>: decreaseing demolition particle size from 25 mm to 5 mm (80% reduction) requires three times the energy</t>
    </r>
  </si>
  <si>
    <t>reduced particle size 80% less) = 8mm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</si>
</sst>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
    <numFmt numFmtId="165" formatCode="#,##0;[Red]#,##0"/>
    <numFmt numFmtId="166" formatCode="0.0000"/>
  </numFmts>
  <fonts count="32">
    <font>
      <sz val="11"/>
      <color theme="1"/>
      <name val="Calibri"/>
      <family val="2"/>
      <scheme val="minor"/>
    </font>
    <font>
      <sz val="11"/>
      <color theme="1"/>
      <name val="Calibri"/>
      <family val="2"/>
      <scheme val="minor"/>
    </font>
    <font>
      <sz val="8"/>
      <color theme="1"/>
      <name val="Calibri"/>
      <family val="2"/>
      <scheme val="minor"/>
    </font>
    <font>
      <vertAlign val="superscript"/>
      <sz val="11"/>
      <color theme="1"/>
      <name val="Calibri"/>
      <family val="2"/>
      <scheme val="minor"/>
    </font>
    <font>
      <sz val="11"/>
      <color theme="1"/>
      <name val="Calibri"/>
      <family val="3"/>
      <charset val="134"/>
      <scheme val="minor"/>
    </font>
    <font>
      <sz val="10"/>
      <name val="Arial"/>
      <family val="2"/>
    </font>
    <font>
      <sz val="12"/>
      <color theme="1"/>
      <name val="Calibri"/>
      <family val="2"/>
      <scheme val="minor"/>
    </font>
    <font>
      <sz val="8"/>
      <name val="Times New Roman"/>
      <family val="1"/>
    </font>
    <font>
      <sz val="11"/>
      <name val="Calibri"/>
      <family val="2"/>
      <scheme val="minor"/>
    </font>
    <font>
      <b/>
      <sz val="14"/>
      <color theme="1"/>
      <name val="Times New Roman"/>
      <family val="1"/>
    </font>
    <font>
      <sz val="12"/>
      <color theme="1"/>
      <name val="Times New Roman"/>
      <family val="1"/>
    </font>
    <font>
      <b/>
      <sz val="10"/>
      <color theme="1"/>
      <name val="Times New Roman"/>
      <family val="1"/>
    </font>
    <font>
      <vertAlign val="superscript"/>
      <sz val="10"/>
      <color theme="1"/>
      <name val="Times New Roman"/>
      <family val="1"/>
    </font>
    <font>
      <sz val="10"/>
      <color theme="1"/>
      <name val="Times New Roman"/>
      <family val="1"/>
    </font>
    <font>
      <vertAlign val="superscript"/>
      <sz val="12"/>
      <color theme="1"/>
      <name val="Calibri"/>
      <family val="2"/>
      <scheme val="minor"/>
    </font>
    <font>
      <b/>
      <u/>
      <sz val="12"/>
      <color theme="1"/>
      <name val="Calibri"/>
      <family val="2"/>
      <scheme val="minor"/>
    </font>
    <font>
      <sz val="11"/>
      <color rgb="FF000000"/>
      <name val="Calibri"/>
      <family val="2"/>
      <scheme val="minor"/>
    </font>
    <font>
      <vertAlign val="subscript"/>
      <sz val="11"/>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11"/>
      <color rgb="FF333333"/>
      <name val="Calibri"/>
      <family val="2"/>
      <scheme val="minor"/>
    </font>
    <font>
      <b/>
      <sz val="10"/>
      <color theme="1"/>
      <name val="Calibri Light"/>
      <family val="2"/>
      <scheme val="major"/>
    </font>
    <font>
      <b/>
      <sz val="12"/>
      <color theme="1"/>
      <name val="Calibri"/>
      <family val="2"/>
      <scheme val="minor"/>
    </font>
    <font>
      <b/>
      <sz val="12"/>
      <color rgb="FF000000"/>
      <name val="Calibri"/>
      <family val="2"/>
      <scheme val="minor"/>
    </font>
    <font>
      <u/>
      <sz val="11"/>
      <color theme="10"/>
      <name val="Calibri"/>
      <family val="2"/>
      <scheme val="minor"/>
    </font>
    <font>
      <b/>
      <sz val="14"/>
      <color theme="1"/>
      <name val="Calibri"/>
      <family val="2"/>
      <scheme val="minor"/>
    </font>
    <font>
      <b/>
      <sz val="11"/>
      <color rgb="FF000000"/>
      <name val="Calibri"/>
      <family val="2"/>
      <scheme val="minor"/>
    </font>
    <font>
      <sz val="11"/>
      <color rgb="FF222222"/>
      <name val="Calibri"/>
      <family val="2"/>
      <scheme val="minor"/>
    </font>
    <font>
      <i/>
      <sz val="11"/>
      <color rgb="FF222222"/>
      <name val="Calibri"/>
      <family val="2"/>
      <scheme val="minor"/>
    </font>
    <font>
      <b/>
      <sz val="11"/>
      <color rgb="FF222222"/>
      <name val="Calibri"/>
      <family val="2"/>
      <scheme val="minor"/>
    </font>
    <font>
      <vertAlign val="superscript"/>
      <sz val="12"/>
      <color theme="1"/>
      <name val="Times New Roman"/>
      <family val="1"/>
    </font>
  </fonts>
  <fills count="7">
    <fill>
      <patternFill patternType="none"/>
    </fill>
    <fill>
      <patternFill patternType="gray125"/>
    </fill>
    <fill>
      <patternFill patternType="solid">
        <fgColor theme="9" tint="0.599963377788628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79998168889431442"/>
        <bgColor indexed="65"/>
      </patternFill>
    </fill>
    <fill>
      <patternFill patternType="solid">
        <fgColor theme="0" tint="-0.149998474074526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bottom/>
      <diagonal/>
    </border>
  </borders>
  <cellStyleXfs count="14">
    <xf numFmtId="0" fontId="0" fillId="0" borderId="0"/>
    <xf numFmtId="9" fontId="1" fillId="0" borderId="0" applyFont="0" applyFill="0" applyBorder="0" applyAlignment="0" applyProtection="0"/>
    <xf numFmtId="0" fontId="2" fillId="0" borderId="0"/>
    <xf numFmtId="9" fontId="1" fillId="0" borderId="0" applyFont="0" applyFill="0" applyBorder="0" applyAlignment="0" applyProtection="0">
      <alignment vertical="center"/>
    </xf>
    <xf numFmtId="0" fontId="4" fillId="0" borderId="0">
      <alignment vertical="center"/>
    </xf>
    <xf numFmtId="0" fontId="5" fillId="0" borderId="0"/>
    <xf numFmtId="9" fontId="1" fillId="0" borderId="0" applyFont="0" applyFill="0" applyBorder="0" applyAlignment="0" applyProtection="0"/>
    <xf numFmtId="0" fontId="4" fillId="0" borderId="0">
      <alignment vertical="center"/>
    </xf>
    <xf numFmtId="9" fontId="4" fillId="0" borderId="0" applyFont="0" applyFill="0" applyBorder="0" applyAlignment="0" applyProtection="0">
      <alignment vertical="center"/>
    </xf>
    <xf numFmtId="43" fontId="6" fillId="0" borderId="0" applyFont="0" applyFill="0" applyBorder="0" applyAlignment="0" applyProtection="0"/>
    <xf numFmtId="0" fontId="6" fillId="0" borderId="0"/>
    <xf numFmtId="0" fontId="7" fillId="0" borderId="0"/>
    <xf numFmtId="0" fontId="1" fillId="5" borderId="0" applyNumberFormat="0" applyBorder="0" applyAlignment="0" applyProtection="0"/>
    <xf numFmtId="0" fontId="25" fillId="0" borderId="0" applyNumberFormat="0" applyFill="0" applyBorder="0" applyAlignment="0" applyProtection="0"/>
  </cellStyleXfs>
  <cellXfs count="196">
    <xf numFmtId="0" fontId="0" fillId="0" borderId="0" xfId="0"/>
    <xf numFmtId="0" fontId="0" fillId="2" borderId="0" xfId="0" applyFill="1" applyAlignment="1">
      <alignment wrapText="1"/>
    </xf>
    <xf numFmtId="0" fontId="0" fillId="2" borderId="0" xfId="0" applyFill="1" applyAlignment="1">
      <alignment horizontal="center" vertical="center" wrapText="1"/>
    </xf>
    <xf numFmtId="0" fontId="0" fillId="2" borderId="0" xfId="0" applyFill="1" applyAlignment="1">
      <alignment vertical="center" wrapText="1"/>
    </xf>
    <xf numFmtId="164" fontId="0" fillId="0" borderId="0" xfId="0" applyNumberFormat="1"/>
    <xf numFmtId="11" fontId="0" fillId="0" borderId="0" xfId="0" applyNumberFormat="1"/>
    <xf numFmtId="0" fontId="0" fillId="0" borderId="0" xfId="0" applyAlignment="1">
      <alignment horizontal="right" vertical="center"/>
    </xf>
    <xf numFmtId="0" fontId="0" fillId="0" borderId="0" xfId="0" applyAlignment="1">
      <alignment horizontal="right"/>
    </xf>
    <xf numFmtId="0" fontId="0" fillId="2" borderId="0" xfId="0" applyFill="1"/>
    <xf numFmtId="164" fontId="0" fillId="2" borderId="0" xfId="0" applyNumberFormat="1" applyFill="1"/>
    <xf numFmtId="11" fontId="0" fillId="2" borderId="0" xfId="0" applyNumberFormat="1" applyFill="1"/>
    <xf numFmtId="0" fontId="0" fillId="0" borderId="0" xfId="0" applyAlignment="1">
      <alignment vertical="center"/>
    </xf>
    <xf numFmtId="0" fontId="0" fillId="0" borderId="0" xfId="0" applyAlignment="1">
      <alignment wrapText="1"/>
    </xf>
    <xf numFmtId="2" fontId="0" fillId="0" borderId="1" xfId="0" applyNumberFormat="1" applyBorder="1" applyAlignment="1">
      <alignment horizontal="center" vertical="center"/>
    </xf>
    <xf numFmtId="0" fontId="0" fillId="0" borderId="1" xfId="0" applyBorder="1" applyAlignment="1">
      <alignment horizontal="left" vertical="center"/>
    </xf>
    <xf numFmtId="2" fontId="0" fillId="0" borderId="1" xfId="0" applyNumberFormat="1" applyBorder="1"/>
    <xf numFmtId="2" fontId="0" fillId="0" borderId="1" xfId="0" applyNumberFormat="1" applyBorder="1" applyAlignment="1">
      <alignment horizontal="center"/>
    </xf>
    <xf numFmtId="0" fontId="0" fillId="0" borderId="1" xfId="0" applyBorder="1" applyAlignment="1">
      <alignment wrapText="1"/>
    </xf>
    <xf numFmtId="0" fontId="0" fillId="0" borderId="1" xfId="0" applyBorder="1"/>
    <xf numFmtId="1" fontId="0" fillId="0" borderId="0" xfId="0" applyNumberFormat="1"/>
    <xf numFmtId="0" fontId="0" fillId="0" borderId="6" xfId="0" applyBorder="1"/>
    <xf numFmtId="0" fontId="0" fillId="0" borderId="5" xfId="0" applyBorder="1" applyAlignment="1">
      <alignment vertical="center" wrapText="1"/>
    </xf>
    <xf numFmtId="0" fontId="0" fillId="0" borderId="1" xfId="0" applyBorder="1" applyAlignment="1">
      <alignment horizontal="right"/>
    </xf>
    <xf numFmtId="3" fontId="0" fillId="0" borderId="1" xfId="0" applyNumberFormat="1" applyBorder="1" applyAlignment="1">
      <alignment horizontal="right" vertical="center" wrapText="1"/>
    </xf>
    <xf numFmtId="165" fontId="8" fillId="0" borderId="1" xfId="11" applyNumberFormat="1" applyFont="1" applyBorder="1" applyAlignment="1">
      <alignment vertical="center"/>
    </xf>
    <xf numFmtId="165" fontId="8" fillId="0" borderId="1" xfId="0" applyNumberFormat="1" applyFont="1" applyBorder="1" applyAlignment="1">
      <alignment vertical="center"/>
    </xf>
    <xf numFmtId="3" fontId="8" fillId="0" borderId="1" xfId="0" applyNumberFormat="1" applyFont="1" applyBorder="1" applyAlignment="1">
      <alignment vertical="center"/>
    </xf>
    <xf numFmtId="0" fontId="0" fillId="0" borderId="1" xfId="0" applyBorder="1" applyAlignment="1">
      <alignment horizontal="right" wrapText="1"/>
    </xf>
    <xf numFmtId="4" fontId="8" fillId="0" borderId="1" xfId="0" applyNumberFormat="1" applyFont="1" applyBorder="1" applyAlignment="1">
      <alignment vertical="center"/>
    </xf>
    <xf numFmtId="3" fontId="8" fillId="0" borderId="0" xfId="0" applyNumberFormat="1" applyFont="1" applyAlignment="1">
      <alignment vertical="center"/>
    </xf>
    <xf numFmtId="0" fontId="0" fillId="3" borderId="0" xfId="0" applyFill="1" applyAlignment="1">
      <alignment vertical="center" wrapText="1"/>
    </xf>
    <xf numFmtId="11" fontId="0" fillId="3" borderId="0" xfId="0" applyNumberFormat="1" applyFill="1"/>
    <xf numFmtId="164" fontId="0" fillId="3" borderId="0" xfId="0" applyNumberFormat="1" applyFill="1"/>
    <xf numFmtId="0" fontId="0" fillId="0" borderId="3" xfId="0" applyBorder="1"/>
    <xf numFmtId="1" fontId="0" fillId="0" borderId="1" xfId="0" applyNumberFormat="1" applyBorder="1"/>
    <xf numFmtId="9" fontId="0" fillId="0" borderId="1" xfId="1" applyFont="1" applyBorder="1"/>
    <xf numFmtId="0" fontId="0" fillId="3" borderId="0" xfId="0" applyFill="1"/>
    <xf numFmtId="0" fontId="0" fillId="4" borderId="0" xfId="0" applyFill="1" applyAlignment="1">
      <alignment horizontal="center" vertical="center" wrapText="1"/>
    </xf>
    <xf numFmtId="0" fontId="0" fillId="4" borderId="0" xfId="0" applyFill="1" applyAlignment="1">
      <alignment vertical="center" wrapText="1"/>
    </xf>
    <xf numFmtId="9" fontId="0" fillId="0" borderId="0" xfId="1" applyFont="1"/>
    <xf numFmtId="9" fontId="0" fillId="0" borderId="0" xfId="0" applyNumberFormat="1"/>
    <xf numFmtId="0" fontId="9"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9" fontId="0" fillId="3" borderId="0" xfId="1" applyFont="1" applyFill="1"/>
    <xf numFmtId="0" fontId="0" fillId="0" borderId="0" xfId="0" applyAlignment="1">
      <alignment vertical="center" wrapText="1"/>
    </xf>
    <xf numFmtId="9" fontId="0" fillId="0" borderId="1" xfId="0" applyNumberFormat="1" applyBorder="1" applyAlignment="1">
      <alignment horizontal="center" vertical="center"/>
    </xf>
    <xf numFmtId="1" fontId="0" fillId="0" borderId="1" xfId="0" applyNumberFormat="1" applyBorder="1" applyAlignment="1">
      <alignment horizontal="center" vertical="center"/>
    </xf>
    <xf numFmtId="0" fontId="0" fillId="0" borderId="1" xfId="0" applyBorder="1" applyAlignment="1">
      <alignment vertical="center"/>
    </xf>
    <xf numFmtId="0" fontId="0" fillId="0" borderId="9" xfId="0"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xf>
    <xf numFmtId="0" fontId="0" fillId="0" borderId="10"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16" fillId="0" borderId="0" xfId="0" applyFont="1" applyAlignment="1">
      <alignment horizontal="left" vertical="center" indent="2" readingOrder="1"/>
    </xf>
    <xf numFmtId="0" fontId="0" fillId="0" borderId="1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0" fillId="0" borderId="1" xfId="0" applyBorder="1" applyAlignment="1">
      <alignment horizontal="center"/>
    </xf>
    <xf numFmtId="0" fontId="0" fillId="0" borderId="16" xfId="0" applyBorder="1" applyAlignment="1">
      <alignment horizontal="center"/>
    </xf>
    <xf numFmtId="0" fontId="0" fillId="0" borderId="24" xfId="0" applyBorder="1" applyAlignment="1">
      <alignment horizontal="center"/>
    </xf>
    <xf numFmtId="0" fontId="0" fillId="0" borderId="0" xfId="0" applyAlignment="1">
      <alignment horizontal="center" vertical="center" wrapText="1"/>
    </xf>
    <xf numFmtId="0" fontId="21" fillId="0" borderId="0" xfId="0" applyFont="1"/>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0" xfId="0" applyAlignment="1">
      <alignment horizontal="center" vertical="center"/>
    </xf>
    <xf numFmtId="166" fontId="0" fillId="0" borderId="1" xfId="0" applyNumberFormat="1" applyBorder="1" applyAlignment="1">
      <alignment horizontal="center"/>
    </xf>
    <xf numFmtId="0" fontId="0" fillId="0" borderId="7" xfId="0" applyBorder="1"/>
    <xf numFmtId="166" fontId="0" fillId="0" borderId="0" xfId="0" applyNumberFormat="1"/>
    <xf numFmtId="0" fontId="0" fillId="6" borderId="1" xfId="0" applyFill="1" applyBorder="1"/>
    <xf numFmtId="164" fontId="0" fillId="0" borderId="29" xfId="0" applyNumberFormat="1" applyBorder="1"/>
    <xf numFmtId="164" fontId="0" fillId="0" borderId="26" xfId="0" applyNumberFormat="1" applyBorder="1"/>
    <xf numFmtId="164" fontId="0" fillId="0" borderId="30" xfId="0" applyNumberFormat="1" applyBorder="1"/>
    <xf numFmtId="0" fontId="0" fillId="0" borderId="5" xfId="0" applyBorder="1"/>
    <xf numFmtId="0" fontId="0" fillId="0" borderId="28" xfId="0" applyBorder="1"/>
    <xf numFmtId="0" fontId="22" fillId="0" borderId="9" xfId="0" applyFont="1" applyBorder="1"/>
    <xf numFmtId="0" fontId="0" fillId="0" borderId="9" xfId="0" applyBorder="1"/>
    <xf numFmtId="0" fontId="1" fillId="0" borderId="29" xfId="12" applyFill="1" applyBorder="1"/>
    <xf numFmtId="9" fontId="1" fillId="0" borderId="26" xfId="1" applyFill="1" applyBorder="1"/>
    <xf numFmtId="9" fontId="0" fillId="0" borderId="26" xfId="1" applyFont="1" applyFill="1" applyBorder="1"/>
    <xf numFmtId="9" fontId="0" fillId="0" borderId="30" xfId="1" applyFont="1" applyFill="1" applyBorder="1"/>
    <xf numFmtId="0" fontId="8" fillId="0" borderId="29" xfId="12" applyFont="1" applyFill="1" applyBorder="1"/>
    <xf numFmtId="9" fontId="8" fillId="0" borderId="26" xfId="1" applyFont="1" applyFill="1" applyBorder="1"/>
    <xf numFmtId="9" fontId="8" fillId="0" borderId="30" xfId="1" applyFont="1" applyFill="1" applyBorder="1"/>
    <xf numFmtId="166" fontId="1" fillId="0" borderId="26" xfId="12" applyNumberFormat="1" applyFill="1" applyBorder="1"/>
    <xf numFmtId="166" fontId="1" fillId="0" borderId="30" xfId="12" applyNumberFormat="1" applyFill="1" applyBorder="1"/>
    <xf numFmtId="0" fontId="0" fillId="0" borderId="32" xfId="0" applyBorder="1"/>
    <xf numFmtId="0" fontId="0" fillId="0" borderId="33" xfId="0" applyBorder="1"/>
    <xf numFmtId="9" fontId="0" fillId="0" borderId="0" xfId="1" applyFont="1" applyBorder="1"/>
    <xf numFmtId="9" fontId="0" fillId="0" borderId="0" xfId="1" applyFont="1" applyFill="1" applyBorder="1"/>
    <xf numFmtId="0" fontId="13" fillId="0" borderId="0" xfId="0" applyFont="1"/>
    <xf numFmtId="0" fontId="10" fillId="0" borderId="0" xfId="0" applyFont="1" applyAlignment="1">
      <alignment horizontal="left" vertical="center"/>
    </xf>
    <xf numFmtId="164" fontId="0" fillId="0" borderId="0" xfId="0" applyNumberFormat="1" applyAlignment="1">
      <alignment horizontal="center" vertical="center"/>
    </xf>
    <xf numFmtId="0" fontId="9" fillId="0" borderId="0" xfId="0" applyFont="1"/>
    <xf numFmtId="0" fontId="23" fillId="0" borderId="27" xfId="0" applyFont="1" applyBorder="1"/>
    <xf numFmtId="0" fontId="24" fillId="0" borderId="27" xfId="0" applyFont="1" applyBorder="1"/>
    <xf numFmtId="0" fontId="18" fillId="0" borderId="0" xfId="0" applyFont="1"/>
    <xf numFmtId="0" fontId="18" fillId="0" borderId="0" xfId="0" applyFont="1" applyAlignment="1">
      <alignment horizontal="left"/>
    </xf>
    <xf numFmtId="2" fontId="0" fillId="0" borderId="0" xfId="0" applyNumberFormat="1"/>
    <xf numFmtId="9" fontId="18" fillId="0" borderId="0" xfId="1" applyFont="1" applyFill="1" applyBorder="1"/>
    <xf numFmtId="9" fontId="18" fillId="0" borderId="31" xfId="1" applyFont="1" applyFill="1" applyBorder="1"/>
    <xf numFmtId="0" fontId="25" fillId="0" borderId="0" xfId="13"/>
    <xf numFmtId="9" fontId="0" fillId="0" borderId="31" xfId="1" applyFont="1" applyFill="1" applyBorder="1"/>
    <xf numFmtId="10" fontId="0" fillId="0" borderId="0" xfId="0" applyNumberFormat="1"/>
    <xf numFmtId="16" fontId="0" fillId="0" borderId="0" xfId="0" applyNumberFormat="1"/>
    <xf numFmtId="0" fontId="26" fillId="0" borderId="0" xfId="0" applyFont="1"/>
    <xf numFmtId="166" fontId="0" fillId="0" borderId="7" xfId="0" applyNumberFormat="1" applyBorder="1" applyAlignment="1">
      <alignment horizontal="center"/>
    </xf>
    <xf numFmtId="166" fontId="0" fillId="0" borderId="9" xfId="0" applyNumberFormat="1" applyBorder="1"/>
    <xf numFmtId="166" fontId="0" fillId="0" borderId="9" xfId="0" applyNumberFormat="1" applyBorder="1" applyAlignment="1">
      <alignment horizontal="center"/>
    </xf>
    <xf numFmtId="0" fontId="18" fillId="0" borderId="10" xfId="0" applyFont="1" applyBorder="1" applyAlignment="1">
      <alignment horizontal="center"/>
    </xf>
    <xf numFmtId="0" fontId="18" fillId="0" borderId="25" xfId="0" applyFont="1" applyBorder="1" applyAlignment="1">
      <alignment horizontal="center" wrapText="1"/>
    </xf>
    <xf numFmtId="0" fontId="18" fillId="0" borderId="11" xfId="0" applyFont="1" applyBorder="1" applyAlignment="1">
      <alignment horizontal="center"/>
    </xf>
    <xf numFmtId="0" fontId="18" fillId="0" borderId="11" xfId="0" applyFont="1" applyBorder="1" applyAlignment="1">
      <alignment horizontal="center" wrapText="1"/>
    </xf>
    <xf numFmtId="0" fontId="18" fillId="0" borderId="23" xfId="0" applyFont="1" applyBorder="1" applyAlignment="1">
      <alignment horizontal="center"/>
    </xf>
    <xf numFmtId="0" fontId="0" fillId="0" borderId="22" xfId="0" quotePrefix="1" applyBorder="1" applyAlignment="1">
      <alignment horizontal="center" wrapText="1"/>
    </xf>
    <xf numFmtId="0" fontId="0" fillId="0" borderId="23" xfId="0" quotePrefix="1" applyBorder="1" applyAlignment="1">
      <alignment horizontal="center" wrapText="1"/>
    </xf>
    <xf numFmtId="0" fontId="0" fillId="0" borderId="1" xfId="0" quotePrefix="1" applyBorder="1" applyAlignment="1">
      <alignment horizontal="center" wrapText="1"/>
    </xf>
    <xf numFmtId="166" fontId="0" fillId="0" borderId="1" xfId="0" applyNumberFormat="1" applyBorder="1"/>
    <xf numFmtId="0" fontId="0" fillId="0" borderId="12" xfId="0" applyBorder="1"/>
    <xf numFmtId="166" fontId="0" fillId="0" borderId="16" xfId="0" applyNumberFormat="1" applyBorder="1"/>
    <xf numFmtId="0" fontId="0" fillId="0" borderId="11" xfId="0" applyBorder="1"/>
    <xf numFmtId="0" fontId="18" fillId="0" borderId="10" xfId="0" applyFont="1" applyBorder="1"/>
    <xf numFmtId="0" fontId="18" fillId="0" borderId="11" xfId="0" applyFont="1" applyBorder="1" applyAlignment="1">
      <alignment wrapText="1"/>
    </xf>
    <xf numFmtId="0" fontId="18" fillId="0" borderId="12" xfId="0" applyFont="1" applyBorder="1"/>
    <xf numFmtId="0" fontId="18" fillId="0" borderId="1" xfId="0" applyFont="1" applyBorder="1"/>
    <xf numFmtId="16" fontId="0" fillId="0" borderId="1" xfId="0" applyNumberFormat="1" applyBorder="1"/>
    <xf numFmtId="0" fontId="25" fillId="0" borderId="0" xfId="13" applyBorder="1"/>
    <xf numFmtId="0" fontId="8" fillId="0" borderId="0" xfId="13" applyFont="1" applyBorder="1"/>
    <xf numFmtId="0" fontId="13" fillId="0" borderId="0" xfId="0" applyFont="1" applyAlignment="1">
      <alignment wrapText="1"/>
    </xf>
    <xf numFmtId="9" fontId="1" fillId="0" borderId="0" xfId="1" applyFont="1" applyFill="1" applyBorder="1"/>
    <xf numFmtId="9" fontId="1" fillId="0" borderId="31" xfId="1" applyFont="1" applyFill="1" applyBorder="1"/>
    <xf numFmtId="0" fontId="0" fillId="0" borderId="0" xfId="0" applyAlignment="1">
      <alignment vertical="top"/>
    </xf>
    <xf numFmtId="0" fontId="28" fillId="0" borderId="0" xfId="0" applyFont="1" applyAlignment="1">
      <alignment vertical="top"/>
    </xf>
    <xf numFmtId="0" fontId="8" fillId="0" borderId="14" xfId="0" applyFont="1" applyBorder="1"/>
    <xf numFmtId="0" fontId="8" fillId="0" borderId="14" xfId="13" applyFont="1" applyBorder="1"/>
    <xf numFmtId="2" fontId="0" fillId="0" borderId="32" xfId="0" applyNumberFormat="1" applyBorder="1"/>
    <xf numFmtId="0" fontId="0" fillId="0" borderId="38" xfId="0" applyBorder="1"/>
    <xf numFmtId="0" fontId="0" fillId="0" borderId="29" xfId="0" applyBorder="1"/>
    <xf numFmtId="0" fontId="0" fillId="0" borderId="26" xfId="0" applyBorder="1"/>
    <xf numFmtId="0" fontId="18" fillId="0" borderId="27" xfId="0" applyFont="1" applyBorder="1"/>
    <xf numFmtId="0" fontId="18" fillId="0" borderId="5" xfId="0" applyFont="1" applyBorder="1" applyAlignment="1">
      <alignment wrapText="1"/>
    </xf>
    <xf numFmtId="0" fontId="18" fillId="0" borderId="28" xfId="0" applyFont="1" applyBorder="1" applyAlignment="1">
      <alignment wrapText="1"/>
    </xf>
    <xf numFmtId="0" fontId="0" fillId="6" borderId="1" xfId="0" applyFill="1" applyBorder="1" applyAlignment="1">
      <alignment horizontal="center"/>
    </xf>
    <xf numFmtId="0" fontId="24" fillId="0" borderId="27" xfId="0" applyFont="1" applyBorder="1" applyAlignment="1">
      <alignment horizontal="left" wrapText="1"/>
    </xf>
    <xf numFmtId="0" fontId="24" fillId="0" borderId="5" xfId="0" applyFont="1" applyBorder="1" applyAlignment="1">
      <alignment horizontal="left" wrapText="1"/>
    </xf>
    <xf numFmtId="0" fontId="24" fillId="0" borderId="28" xfId="0" applyFont="1" applyBorder="1" applyAlignment="1">
      <alignment horizontal="left" wrapText="1"/>
    </xf>
    <xf numFmtId="0" fontId="24" fillId="0" borderId="29" xfId="0" applyFont="1" applyBorder="1" applyAlignment="1">
      <alignment horizontal="left" wrapText="1"/>
    </xf>
    <xf numFmtId="0" fontId="24" fillId="0" borderId="26" xfId="0" applyFont="1" applyBorder="1" applyAlignment="1">
      <alignment horizontal="left" wrapText="1"/>
    </xf>
    <xf numFmtId="0" fontId="24" fillId="0" borderId="30" xfId="0" applyFont="1" applyBorder="1" applyAlignment="1">
      <alignment horizontal="left" wrapText="1"/>
    </xf>
    <xf numFmtId="0" fontId="0" fillId="0" borderId="9" xfId="0" applyBorder="1" applyAlignment="1">
      <alignment horizontal="left" wrapText="1"/>
    </xf>
    <xf numFmtId="0" fontId="0" fillId="0" borderId="0" xfId="0" applyAlignment="1">
      <alignment horizontal="left" wrapText="1"/>
    </xf>
    <xf numFmtId="0" fontId="0" fillId="0" borderId="6" xfId="0" applyBorder="1" applyAlignment="1">
      <alignment horizontal="left" wrapText="1"/>
    </xf>
    <xf numFmtId="0" fontId="0" fillId="0" borderId="7" xfId="0" applyBorder="1" applyAlignment="1">
      <alignment horizontal="center"/>
    </xf>
    <xf numFmtId="0" fontId="0" fillId="0" borderId="8" xfId="0" applyBorder="1" applyAlignment="1">
      <alignment horizontal="center"/>
    </xf>
    <xf numFmtId="0" fontId="0" fillId="0" borderId="1" xfId="0" applyBorder="1" applyAlignment="1">
      <alignment horizont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wrapText="1"/>
    </xf>
    <xf numFmtId="0" fontId="0" fillId="0" borderId="1" xfId="0"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14" xfId="0" applyBorder="1" applyAlignment="1">
      <alignment horizontal="center"/>
    </xf>
    <xf numFmtId="0" fontId="0" fillId="0" borderId="6" xfId="0" applyBorder="1" applyAlignment="1">
      <alignment horizontal="center"/>
    </xf>
    <xf numFmtId="9" fontId="0" fillId="0" borderId="0" xfId="0" applyNumberFormat="1" applyAlignment="1">
      <alignment horizontal="center"/>
    </xf>
    <xf numFmtId="10" fontId="0" fillId="0" borderId="0" xfId="0" applyNumberFormat="1" applyAlignment="1">
      <alignment horizontal="center"/>
    </xf>
    <xf numFmtId="0" fontId="18" fillId="0" borderId="34" xfId="0" applyFont="1" applyBorder="1" applyAlignment="1">
      <alignment horizontal="center" wrapText="1"/>
    </xf>
    <xf numFmtId="0" fontId="18" fillId="0" borderId="35" xfId="0" applyFont="1" applyBorder="1" applyAlignment="1">
      <alignment horizontal="center" wrapText="1"/>
    </xf>
    <xf numFmtId="0" fontId="18" fillId="0" borderId="36" xfId="0" applyFont="1" applyBorder="1" applyAlignment="1">
      <alignment horizontal="center" wrapText="1"/>
    </xf>
    <xf numFmtId="0" fontId="0" fillId="0" borderId="18" xfId="0" applyBorder="1" applyAlignment="1">
      <alignment horizontal="center" wrapText="1"/>
    </xf>
    <xf numFmtId="0" fontId="0" fillId="0" borderId="37" xfId="0" applyBorder="1" applyAlignment="1">
      <alignment horizontal="center" wrapText="1"/>
    </xf>
    <xf numFmtId="0" fontId="0" fillId="0" borderId="19" xfId="0" applyBorder="1" applyAlignment="1">
      <alignment horizontal="center" wrapText="1"/>
    </xf>
    <xf numFmtId="11" fontId="0" fillId="0" borderId="0" xfId="0" applyNumberFormat="1" applyBorder="1"/>
    <xf numFmtId="0" fontId="0" fillId="0" borderId="0" xfId="0" applyBorder="1"/>
    <xf numFmtId="0" fontId="18" fillId="0" borderId="0" xfId="0" applyFont="1" applyFill="1"/>
  </cellXfs>
  <cellStyles count="14">
    <cellStyle name="20% - Accent3" xfId="12" builtinId="38"/>
    <cellStyle name="Comma 4" xfId="9" xr:uid="{7343BD1D-AE52-4082-9FE4-8148F377C7C9}"/>
    <cellStyle name="Hyperlink" xfId="13" builtinId="8"/>
    <cellStyle name="Normal" xfId="0" builtinId="0"/>
    <cellStyle name="Normal 3" xfId="2" xr:uid="{29F9F595-9590-4ADB-93B3-9201847AB096}"/>
    <cellStyle name="Normal 5" xfId="10" xr:uid="{D8D12F17-35FA-48B8-861B-BC77BA85EDE1}"/>
    <cellStyle name="Normal 7" xfId="11" xr:uid="{8430A21F-0C12-40F1-8C29-F724EEBD864F}"/>
    <cellStyle name="Percent" xfId="1" builtinId="5"/>
    <cellStyle name="Percent 2" xfId="3" xr:uid="{B13EC9E7-B36A-4CD3-9CC9-00EE14B9FAA6}"/>
    <cellStyle name="常规 2" xfId="4" xr:uid="{509C5FAC-FDE3-482E-8304-F9DCC810D8D2}"/>
    <cellStyle name="常规 3" xfId="5" xr:uid="{9FE5A97A-34E7-464A-A445-CEED490086CC}"/>
    <cellStyle name="常规 4" xfId="7" xr:uid="{6C86164E-16B9-403F-9A3E-3B051EC610D7}"/>
    <cellStyle name="百分比 2" xfId="6" xr:uid="{BD5F25CA-3A8C-4AAB-B34F-F5D100062E31}"/>
    <cellStyle name="百分比 3" xfId="8" xr:uid="{DBEDC329-97AD-4B31-A377-C203B6003D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onnections" Target="connection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91659644113884"/>
          <c:y val="9.3687400620603586E-2"/>
          <c:w val="0.81348834189475572"/>
          <c:h val="0.8126251987587928"/>
        </c:manualLayout>
      </c:layout>
      <c:scatterChart>
        <c:scatterStyle val="smoothMarker"/>
        <c:varyColors val="0"/>
        <c:ser>
          <c:idx val="0"/>
          <c:order val="0"/>
          <c:tx>
            <c:strRef>
              <c:f>'SDS19'!$C$3:$C$4</c:f>
              <c:strCache>
                <c:ptCount val="2"/>
                <c:pt idx="0">
                  <c:v>Annual Consumption</c:v>
                </c:pt>
                <c:pt idx="1">
                  <c:v>kg cement</c:v>
                </c:pt>
              </c:strCache>
            </c:strRef>
          </c:tx>
          <c:spPr>
            <a:ln w="19050" cap="rnd">
              <a:solidFill>
                <a:schemeClr val="accent1"/>
              </a:solidFill>
              <a:round/>
            </a:ln>
            <a:effectLst/>
          </c:spPr>
          <c:marker>
            <c:symbol val="none"/>
          </c:marker>
          <c:xVal>
            <c:numRef>
              <c:f>'SDS19'!$B$5:$B$124</c:f>
              <c:numCache>
                <c:formatCode>General</c:formatCode>
                <c:ptCount val="120"/>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pt idx="16">
                  <c:v>1916</c:v>
                </c:pt>
                <c:pt idx="17">
                  <c:v>1917</c:v>
                </c:pt>
                <c:pt idx="18">
                  <c:v>1918</c:v>
                </c:pt>
                <c:pt idx="19">
                  <c:v>1919</c:v>
                </c:pt>
                <c:pt idx="20">
                  <c:v>1920</c:v>
                </c:pt>
                <c:pt idx="21">
                  <c:v>1921</c:v>
                </c:pt>
                <c:pt idx="22">
                  <c:v>1922</c:v>
                </c:pt>
                <c:pt idx="23">
                  <c:v>1923</c:v>
                </c:pt>
                <c:pt idx="24">
                  <c:v>1924</c:v>
                </c:pt>
                <c:pt idx="25">
                  <c:v>1925</c:v>
                </c:pt>
                <c:pt idx="26">
                  <c:v>1926</c:v>
                </c:pt>
                <c:pt idx="27">
                  <c:v>1927</c:v>
                </c:pt>
                <c:pt idx="28">
                  <c:v>1928</c:v>
                </c:pt>
                <c:pt idx="29">
                  <c:v>1929</c:v>
                </c:pt>
                <c:pt idx="30">
                  <c:v>1930</c:v>
                </c:pt>
                <c:pt idx="31">
                  <c:v>1931</c:v>
                </c:pt>
                <c:pt idx="32">
                  <c:v>1932</c:v>
                </c:pt>
                <c:pt idx="33">
                  <c:v>1933</c:v>
                </c:pt>
                <c:pt idx="34">
                  <c:v>1934</c:v>
                </c:pt>
                <c:pt idx="35">
                  <c:v>1935</c:v>
                </c:pt>
                <c:pt idx="36">
                  <c:v>1936</c:v>
                </c:pt>
                <c:pt idx="37">
                  <c:v>1937</c:v>
                </c:pt>
                <c:pt idx="38">
                  <c:v>1938</c:v>
                </c:pt>
                <c:pt idx="39">
                  <c:v>1939</c:v>
                </c:pt>
                <c:pt idx="40">
                  <c:v>1940</c:v>
                </c:pt>
                <c:pt idx="41">
                  <c:v>1941</c:v>
                </c:pt>
                <c:pt idx="42">
                  <c:v>1942</c:v>
                </c:pt>
                <c:pt idx="43">
                  <c:v>1943</c:v>
                </c:pt>
                <c:pt idx="44">
                  <c:v>1944</c:v>
                </c:pt>
                <c:pt idx="45">
                  <c:v>1945</c:v>
                </c:pt>
                <c:pt idx="46">
                  <c:v>1946</c:v>
                </c:pt>
                <c:pt idx="47">
                  <c:v>1947</c:v>
                </c:pt>
                <c:pt idx="48">
                  <c:v>1948</c:v>
                </c:pt>
                <c:pt idx="49">
                  <c:v>1949</c:v>
                </c:pt>
                <c:pt idx="50">
                  <c:v>1950</c:v>
                </c:pt>
                <c:pt idx="51">
                  <c:v>1951</c:v>
                </c:pt>
                <c:pt idx="52">
                  <c:v>1952</c:v>
                </c:pt>
                <c:pt idx="53">
                  <c:v>1953</c:v>
                </c:pt>
                <c:pt idx="54">
                  <c:v>1954</c:v>
                </c:pt>
                <c:pt idx="55">
                  <c:v>1955</c:v>
                </c:pt>
                <c:pt idx="56">
                  <c:v>1956</c:v>
                </c:pt>
                <c:pt idx="57">
                  <c:v>1957</c:v>
                </c:pt>
                <c:pt idx="58">
                  <c:v>1958</c:v>
                </c:pt>
                <c:pt idx="59">
                  <c:v>1959</c:v>
                </c:pt>
                <c:pt idx="60">
                  <c:v>1960</c:v>
                </c:pt>
                <c:pt idx="61">
                  <c:v>1961</c:v>
                </c:pt>
                <c:pt idx="62">
                  <c:v>1962</c:v>
                </c:pt>
                <c:pt idx="63">
                  <c:v>1963</c:v>
                </c:pt>
                <c:pt idx="64">
                  <c:v>1964</c:v>
                </c:pt>
                <c:pt idx="65">
                  <c:v>1965</c:v>
                </c:pt>
                <c:pt idx="66">
                  <c:v>1966</c:v>
                </c:pt>
                <c:pt idx="67">
                  <c:v>1967</c:v>
                </c:pt>
                <c:pt idx="68">
                  <c:v>1968</c:v>
                </c:pt>
                <c:pt idx="69">
                  <c:v>1969</c:v>
                </c:pt>
                <c:pt idx="70">
                  <c:v>1970</c:v>
                </c:pt>
                <c:pt idx="71">
                  <c:v>1971</c:v>
                </c:pt>
                <c:pt idx="72">
                  <c:v>1972</c:v>
                </c:pt>
                <c:pt idx="73">
                  <c:v>1973</c:v>
                </c:pt>
                <c:pt idx="74">
                  <c:v>1974</c:v>
                </c:pt>
                <c:pt idx="75">
                  <c:v>1975</c:v>
                </c:pt>
                <c:pt idx="76">
                  <c:v>1976</c:v>
                </c:pt>
                <c:pt idx="77">
                  <c:v>1977</c:v>
                </c:pt>
                <c:pt idx="78">
                  <c:v>1978</c:v>
                </c:pt>
                <c:pt idx="79">
                  <c:v>1979</c:v>
                </c:pt>
                <c:pt idx="80">
                  <c:v>1980</c:v>
                </c:pt>
                <c:pt idx="81">
                  <c:v>1981</c:v>
                </c:pt>
                <c:pt idx="82">
                  <c:v>1982</c:v>
                </c:pt>
                <c:pt idx="83">
                  <c:v>1983</c:v>
                </c:pt>
                <c:pt idx="84">
                  <c:v>1984</c:v>
                </c:pt>
                <c:pt idx="85">
                  <c:v>1985</c:v>
                </c:pt>
                <c:pt idx="86">
                  <c:v>1986</c:v>
                </c:pt>
                <c:pt idx="87">
                  <c:v>1987</c:v>
                </c:pt>
                <c:pt idx="88">
                  <c:v>1988</c:v>
                </c:pt>
                <c:pt idx="89">
                  <c:v>1989</c:v>
                </c:pt>
                <c:pt idx="90">
                  <c:v>1990</c:v>
                </c:pt>
                <c:pt idx="91">
                  <c:v>1991</c:v>
                </c:pt>
                <c:pt idx="92">
                  <c:v>1992</c:v>
                </c:pt>
                <c:pt idx="93">
                  <c:v>1993</c:v>
                </c:pt>
                <c:pt idx="94">
                  <c:v>1994</c:v>
                </c:pt>
                <c:pt idx="95">
                  <c:v>1995</c:v>
                </c:pt>
                <c:pt idx="96">
                  <c:v>1996</c:v>
                </c:pt>
                <c:pt idx="97">
                  <c:v>1997</c:v>
                </c:pt>
                <c:pt idx="98">
                  <c:v>1998</c:v>
                </c:pt>
                <c:pt idx="99">
                  <c:v>1999</c:v>
                </c:pt>
                <c:pt idx="100">
                  <c:v>2000</c:v>
                </c:pt>
                <c:pt idx="101">
                  <c:v>2001</c:v>
                </c:pt>
                <c:pt idx="102">
                  <c:v>2002</c:v>
                </c:pt>
                <c:pt idx="103">
                  <c:v>2003</c:v>
                </c:pt>
                <c:pt idx="104">
                  <c:v>2004</c:v>
                </c:pt>
                <c:pt idx="105">
                  <c:v>2005</c:v>
                </c:pt>
                <c:pt idx="106">
                  <c:v>2006</c:v>
                </c:pt>
                <c:pt idx="107">
                  <c:v>2007</c:v>
                </c:pt>
                <c:pt idx="108">
                  <c:v>2008</c:v>
                </c:pt>
                <c:pt idx="109">
                  <c:v>2009</c:v>
                </c:pt>
                <c:pt idx="110">
                  <c:v>2010</c:v>
                </c:pt>
                <c:pt idx="111">
                  <c:v>2011</c:v>
                </c:pt>
                <c:pt idx="112">
                  <c:v>2012</c:v>
                </c:pt>
                <c:pt idx="113">
                  <c:v>2013</c:v>
                </c:pt>
                <c:pt idx="114">
                  <c:v>2014</c:v>
                </c:pt>
                <c:pt idx="115">
                  <c:v>2015</c:v>
                </c:pt>
                <c:pt idx="116">
                  <c:v>2016</c:v>
                </c:pt>
                <c:pt idx="117">
                  <c:v>2017</c:v>
                </c:pt>
                <c:pt idx="118">
                  <c:v>2018</c:v>
                </c:pt>
                <c:pt idx="119">
                  <c:v>2019</c:v>
                </c:pt>
              </c:numCache>
            </c:numRef>
          </c:xVal>
          <c:yVal>
            <c:numRef>
              <c:f>'SDS19'!$C$5:$C$124</c:f>
              <c:numCache>
                <c:formatCode>General</c:formatCode>
                <c:ptCount val="120"/>
                <c:pt idx="0">
                  <c:v>3074600.0000000005</c:v>
                </c:pt>
                <c:pt idx="1">
                  <c:v>3299799.9999999995</c:v>
                </c:pt>
                <c:pt idx="2">
                  <c:v>4427100</c:v>
                </c:pt>
                <c:pt idx="3">
                  <c:v>5237099.9999999991</c:v>
                </c:pt>
                <c:pt idx="4">
                  <c:v>5315900</c:v>
                </c:pt>
                <c:pt idx="5">
                  <c:v>6750099.9999999991</c:v>
                </c:pt>
                <c:pt idx="6">
                  <c:v>8934900.0000000019</c:v>
                </c:pt>
                <c:pt idx="7">
                  <c:v>9092900</c:v>
                </c:pt>
                <c:pt idx="8">
                  <c:v>9058199.9999999981</c:v>
                </c:pt>
                <c:pt idx="9">
                  <c:v>11332000</c:v>
                </c:pt>
                <c:pt idx="10">
                  <c:v>12992000</c:v>
                </c:pt>
                <c:pt idx="11">
                  <c:v>13166000</c:v>
                </c:pt>
                <c:pt idx="12">
                  <c:v>13623000</c:v>
                </c:pt>
                <c:pt idx="13">
                  <c:v>15498000</c:v>
                </c:pt>
                <c:pt idx="14">
                  <c:v>14974000</c:v>
                </c:pt>
                <c:pt idx="15">
                  <c:v>14484000</c:v>
                </c:pt>
                <c:pt idx="16">
                  <c:v>15448000</c:v>
                </c:pt>
                <c:pt idx="17">
                  <c:v>15639000</c:v>
                </c:pt>
                <c:pt idx="18">
                  <c:v>11923000</c:v>
                </c:pt>
                <c:pt idx="19">
                  <c:v>13572000</c:v>
                </c:pt>
                <c:pt idx="20">
                  <c:v>16744000</c:v>
                </c:pt>
                <c:pt idx="21">
                  <c:v>16769000</c:v>
                </c:pt>
                <c:pt idx="22">
                  <c:v>19597000</c:v>
                </c:pt>
                <c:pt idx="23">
                  <c:v>23791000</c:v>
                </c:pt>
                <c:pt idx="24">
                  <c:v>25910000</c:v>
                </c:pt>
                <c:pt idx="25">
                  <c:v>28318000</c:v>
                </c:pt>
                <c:pt idx="26">
                  <c:v>28807000</c:v>
                </c:pt>
                <c:pt idx="27">
                  <c:v>29540000</c:v>
                </c:pt>
                <c:pt idx="28">
                  <c:v>30231000</c:v>
                </c:pt>
                <c:pt idx="29">
                  <c:v>29202000</c:v>
                </c:pt>
                <c:pt idx="30">
                  <c:v>27227000</c:v>
                </c:pt>
                <c:pt idx="31">
                  <c:v>21745000</c:v>
                </c:pt>
                <c:pt idx="32">
                  <c:v>13729000</c:v>
                </c:pt>
                <c:pt idx="33">
                  <c:v>10860000</c:v>
                </c:pt>
                <c:pt idx="34">
                  <c:v>12877000</c:v>
                </c:pt>
                <c:pt idx="35">
                  <c:v>12745000</c:v>
                </c:pt>
                <c:pt idx="36">
                  <c:v>19129000</c:v>
                </c:pt>
                <c:pt idx="37">
                  <c:v>19469000</c:v>
                </c:pt>
                <c:pt idx="38">
                  <c:v>18211000</c:v>
                </c:pt>
                <c:pt idx="39">
                  <c:v>21046000</c:v>
                </c:pt>
                <c:pt idx="40">
                  <c:v>21793000</c:v>
                </c:pt>
                <c:pt idx="41">
                  <c:v>28378000</c:v>
                </c:pt>
                <c:pt idx="42">
                  <c:v>31045000</c:v>
                </c:pt>
                <c:pt idx="43">
                  <c:v>21226000</c:v>
                </c:pt>
                <c:pt idx="44">
                  <c:v>15497000</c:v>
                </c:pt>
                <c:pt idx="45">
                  <c:v>17378000</c:v>
                </c:pt>
                <c:pt idx="46">
                  <c:v>19493000</c:v>
                </c:pt>
                <c:pt idx="47">
                  <c:v>32634000</c:v>
                </c:pt>
                <c:pt idx="48">
                  <c:v>35856000</c:v>
                </c:pt>
                <c:pt idx="49">
                  <c:v>36265000</c:v>
                </c:pt>
                <c:pt idx="50">
                  <c:v>40891000</c:v>
                </c:pt>
                <c:pt idx="51">
                  <c:v>42695000</c:v>
                </c:pt>
                <c:pt idx="52">
                  <c:v>44335000</c:v>
                </c:pt>
                <c:pt idx="53">
                  <c:v>46047000</c:v>
                </c:pt>
                <c:pt idx="54">
                  <c:v>48897000</c:v>
                </c:pt>
                <c:pt idx="55">
                  <c:v>53589000</c:v>
                </c:pt>
                <c:pt idx="56">
                  <c:v>55225000</c:v>
                </c:pt>
                <c:pt idx="57">
                  <c:v>51638000</c:v>
                </c:pt>
                <c:pt idx="58">
                  <c:v>54542000</c:v>
                </c:pt>
                <c:pt idx="59">
                  <c:v>59899000</c:v>
                </c:pt>
                <c:pt idx="60">
                  <c:v>55526000</c:v>
                </c:pt>
                <c:pt idx="61">
                  <c:v>56826000</c:v>
                </c:pt>
                <c:pt idx="62">
                  <c:v>58983000</c:v>
                </c:pt>
                <c:pt idx="63">
                  <c:v>63648000</c:v>
                </c:pt>
                <c:pt idx="64">
                  <c:v>66149000</c:v>
                </c:pt>
                <c:pt idx="65">
                  <c:v>67589000</c:v>
                </c:pt>
                <c:pt idx="66">
                  <c:v>68490000</c:v>
                </c:pt>
                <c:pt idx="67">
                  <c:v>67459000</c:v>
                </c:pt>
                <c:pt idx="68">
                  <c:v>71220000</c:v>
                </c:pt>
                <c:pt idx="69">
                  <c:v>71101000</c:v>
                </c:pt>
                <c:pt idx="70">
                  <c:v>67476000</c:v>
                </c:pt>
                <c:pt idx="71">
                  <c:v>72842000</c:v>
                </c:pt>
                <c:pt idx="72">
                  <c:v>76768000</c:v>
                </c:pt>
                <c:pt idx="73">
                  <c:v>81941000</c:v>
                </c:pt>
                <c:pt idx="74">
                  <c:v>74844000</c:v>
                </c:pt>
                <c:pt idx="75">
                  <c:v>63608000</c:v>
                </c:pt>
                <c:pt idx="76">
                  <c:v>67509000</c:v>
                </c:pt>
                <c:pt idx="77">
                  <c:v>73427000</c:v>
                </c:pt>
                <c:pt idx="78">
                  <c:v>79288000</c:v>
                </c:pt>
                <c:pt idx="79">
                  <c:v>78964000</c:v>
                </c:pt>
                <c:pt idx="80">
                  <c:v>70173000</c:v>
                </c:pt>
                <c:pt idx="81">
                  <c:v>66092000</c:v>
                </c:pt>
                <c:pt idx="82">
                  <c:v>59572000</c:v>
                </c:pt>
                <c:pt idx="83">
                  <c:v>65838000</c:v>
                </c:pt>
                <c:pt idx="84">
                  <c:v>76186000</c:v>
                </c:pt>
                <c:pt idx="85">
                  <c:v>78836000</c:v>
                </c:pt>
                <c:pt idx="86">
                  <c:v>82837000</c:v>
                </c:pt>
                <c:pt idx="87">
                  <c:v>84204000</c:v>
                </c:pt>
                <c:pt idx="88">
                  <c:v>83851000</c:v>
                </c:pt>
                <c:pt idx="89">
                  <c:v>82414000</c:v>
                </c:pt>
                <c:pt idx="90">
                  <c:v>80964000</c:v>
                </c:pt>
                <c:pt idx="91">
                  <c:v>71800000</c:v>
                </c:pt>
                <c:pt idx="92">
                  <c:v>76169000</c:v>
                </c:pt>
                <c:pt idx="93">
                  <c:v>79701000</c:v>
                </c:pt>
                <c:pt idx="94">
                  <c:v>86476000</c:v>
                </c:pt>
                <c:pt idx="95">
                  <c:v>86003000</c:v>
                </c:pt>
                <c:pt idx="96">
                  <c:v>90355000</c:v>
                </c:pt>
                <c:pt idx="97">
                  <c:v>96018000</c:v>
                </c:pt>
                <c:pt idx="98">
                  <c:v>103457000</c:v>
                </c:pt>
                <c:pt idx="99">
                  <c:v>108862000</c:v>
                </c:pt>
                <c:pt idx="100">
                  <c:v>110470000</c:v>
                </c:pt>
                <c:pt idx="101">
                  <c:v>112800000</c:v>
                </c:pt>
                <c:pt idx="102">
                  <c:v>110020000</c:v>
                </c:pt>
                <c:pt idx="103">
                  <c:v>114090000</c:v>
                </c:pt>
                <c:pt idx="104">
                  <c:v>121980000</c:v>
                </c:pt>
                <c:pt idx="105">
                  <c:v>128250000</c:v>
                </c:pt>
                <c:pt idx="106">
                  <c:v>127660000</c:v>
                </c:pt>
                <c:pt idx="107">
                  <c:v>116550000</c:v>
                </c:pt>
                <c:pt idx="108">
                  <c:v>96760000</c:v>
                </c:pt>
                <c:pt idx="109">
                  <c:v>71540000</c:v>
                </c:pt>
                <c:pt idx="110">
                  <c:v>71190000</c:v>
                </c:pt>
                <c:pt idx="111">
                  <c:v>72200000</c:v>
                </c:pt>
                <c:pt idx="112">
                  <c:v>77900000</c:v>
                </c:pt>
                <c:pt idx="113">
                  <c:v>81750000</c:v>
                </c:pt>
                <c:pt idx="114">
                  <c:v>89220000</c:v>
                </c:pt>
                <c:pt idx="115">
                  <c:v>92150000</c:v>
                </c:pt>
                <c:pt idx="116">
                  <c:v>95150000</c:v>
                </c:pt>
                <c:pt idx="117">
                  <c:v>97160000</c:v>
                </c:pt>
                <c:pt idx="118">
                  <c:v>98500000</c:v>
                </c:pt>
                <c:pt idx="119">
                  <c:v>101600000</c:v>
                </c:pt>
              </c:numCache>
            </c:numRef>
          </c:yVal>
          <c:smooth val="1"/>
          <c:extLst>
            <c:ext xmlns:c16="http://schemas.microsoft.com/office/drawing/2014/chart" uri="{C3380CC4-5D6E-409C-BE32-E72D297353CC}">
              <c16:uniqueId val="{00000000-82DB-43F0-9FCE-16658ABA2D90}"/>
            </c:ext>
          </c:extLst>
        </c:ser>
        <c:dLbls>
          <c:showLegendKey val="0"/>
          <c:showVal val="0"/>
          <c:showCatName val="0"/>
          <c:showSerName val="0"/>
          <c:showPercent val="0"/>
          <c:showBubbleSize val="0"/>
        </c:dLbls>
        <c:axId val="282530784"/>
        <c:axId val="411317344"/>
      </c:scatterChart>
      <c:valAx>
        <c:axId val="282530784"/>
        <c:scaling>
          <c:orientation val="minMax"/>
          <c:max val="2120"/>
          <c:min val="1900"/>
        </c:scaling>
        <c:delete val="1"/>
        <c:axPos val="b"/>
        <c:numFmt formatCode="General" sourceLinked="1"/>
        <c:majorTickMark val="out"/>
        <c:minorTickMark val="none"/>
        <c:tickLblPos val="nextTo"/>
        <c:crossAx val="411317344"/>
        <c:crosses val="autoZero"/>
        <c:crossBetween val="midCat"/>
      </c:valAx>
      <c:valAx>
        <c:axId val="411317344"/>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Annual Cement Consumption (kg)</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82530784"/>
        <c:crosses val="autoZero"/>
        <c:crossBetween val="midCat"/>
      </c:valAx>
      <c:spPr>
        <a:noFill/>
        <a:ln>
          <a:noFill/>
        </a:ln>
        <a:effectLst/>
      </c:spPr>
    </c:plotArea>
    <c:legend>
      <c:legendPos val="r"/>
      <c:layout>
        <c:manualLayout>
          <c:xMode val="edge"/>
          <c:yMode val="edge"/>
          <c:x val="0.60805576516116155"/>
          <c:y val="0.3003811206139777"/>
          <c:w val="0.3083366290130099"/>
          <c:h val="0.14959135539900173"/>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30820426351361"/>
          <c:y val="5.0925925925925923E-2"/>
          <c:w val="0.81280278289689245"/>
          <c:h val="0.84572397200349936"/>
        </c:manualLayout>
      </c:layout>
      <c:scatterChart>
        <c:scatterStyle val="smoothMarker"/>
        <c:varyColors val="0"/>
        <c:ser>
          <c:idx val="0"/>
          <c:order val="0"/>
          <c:tx>
            <c:strRef>
              <c:f>'SDS19'!$D$4</c:f>
              <c:strCache>
                <c:ptCount val="1"/>
                <c:pt idx="0">
                  <c:v>Calcination and energy emissions (assuming decrease in coal consumption)</c:v>
                </c:pt>
              </c:strCache>
            </c:strRef>
          </c:tx>
          <c:spPr>
            <a:ln w="19050" cap="rnd">
              <a:solidFill>
                <a:schemeClr val="accent1"/>
              </a:solidFill>
              <a:round/>
            </a:ln>
            <a:effectLst/>
          </c:spPr>
          <c:marker>
            <c:symbol val="none"/>
          </c:marker>
          <c:xVal>
            <c:numRef>
              <c:f>'SDS19'!$B$5:$B$124</c:f>
              <c:numCache>
                <c:formatCode>General</c:formatCode>
                <c:ptCount val="120"/>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pt idx="16">
                  <c:v>1916</c:v>
                </c:pt>
                <c:pt idx="17">
                  <c:v>1917</c:v>
                </c:pt>
                <c:pt idx="18">
                  <c:v>1918</c:v>
                </c:pt>
                <c:pt idx="19">
                  <c:v>1919</c:v>
                </c:pt>
                <c:pt idx="20">
                  <c:v>1920</c:v>
                </c:pt>
                <c:pt idx="21">
                  <c:v>1921</c:v>
                </c:pt>
                <c:pt idx="22">
                  <c:v>1922</c:v>
                </c:pt>
                <c:pt idx="23">
                  <c:v>1923</c:v>
                </c:pt>
                <c:pt idx="24">
                  <c:v>1924</c:v>
                </c:pt>
                <c:pt idx="25">
                  <c:v>1925</c:v>
                </c:pt>
                <c:pt idx="26">
                  <c:v>1926</c:v>
                </c:pt>
                <c:pt idx="27">
                  <c:v>1927</c:v>
                </c:pt>
                <c:pt idx="28">
                  <c:v>1928</c:v>
                </c:pt>
                <c:pt idx="29">
                  <c:v>1929</c:v>
                </c:pt>
                <c:pt idx="30">
                  <c:v>1930</c:v>
                </c:pt>
                <c:pt idx="31">
                  <c:v>1931</c:v>
                </c:pt>
                <c:pt idx="32">
                  <c:v>1932</c:v>
                </c:pt>
                <c:pt idx="33">
                  <c:v>1933</c:v>
                </c:pt>
                <c:pt idx="34">
                  <c:v>1934</c:v>
                </c:pt>
                <c:pt idx="35">
                  <c:v>1935</c:v>
                </c:pt>
                <c:pt idx="36">
                  <c:v>1936</c:v>
                </c:pt>
                <c:pt idx="37">
                  <c:v>1937</c:v>
                </c:pt>
                <c:pt idx="38">
                  <c:v>1938</c:v>
                </c:pt>
                <c:pt idx="39">
                  <c:v>1939</c:v>
                </c:pt>
                <c:pt idx="40">
                  <c:v>1940</c:v>
                </c:pt>
                <c:pt idx="41">
                  <c:v>1941</c:v>
                </c:pt>
                <c:pt idx="42">
                  <c:v>1942</c:v>
                </c:pt>
                <c:pt idx="43">
                  <c:v>1943</c:v>
                </c:pt>
                <c:pt idx="44">
                  <c:v>1944</c:v>
                </c:pt>
                <c:pt idx="45">
                  <c:v>1945</c:v>
                </c:pt>
                <c:pt idx="46">
                  <c:v>1946</c:v>
                </c:pt>
                <c:pt idx="47">
                  <c:v>1947</c:v>
                </c:pt>
                <c:pt idx="48">
                  <c:v>1948</c:v>
                </c:pt>
                <c:pt idx="49">
                  <c:v>1949</c:v>
                </c:pt>
                <c:pt idx="50">
                  <c:v>1950</c:v>
                </c:pt>
                <c:pt idx="51">
                  <c:v>1951</c:v>
                </c:pt>
                <c:pt idx="52">
                  <c:v>1952</c:v>
                </c:pt>
                <c:pt idx="53">
                  <c:v>1953</c:v>
                </c:pt>
                <c:pt idx="54">
                  <c:v>1954</c:v>
                </c:pt>
                <c:pt idx="55">
                  <c:v>1955</c:v>
                </c:pt>
                <c:pt idx="56">
                  <c:v>1956</c:v>
                </c:pt>
                <c:pt idx="57">
                  <c:v>1957</c:v>
                </c:pt>
                <c:pt idx="58">
                  <c:v>1958</c:v>
                </c:pt>
                <c:pt idx="59">
                  <c:v>1959</c:v>
                </c:pt>
                <c:pt idx="60">
                  <c:v>1960</c:v>
                </c:pt>
                <c:pt idx="61">
                  <c:v>1961</c:v>
                </c:pt>
                <c:pt idx="62">
                  <c:v>1962</c:v>
                </c:pt>
                <c:pt idx="63">
                  <c:v>1963</c:v>
                </c:pt>
                <c:pt idx="64">
                  <c:v>1964</c:v>
                </c:pt>
                <c:pt idx="65">
                  <c:v>1965</c:v>
                </c:pt>
                <c:pt idx="66">
                  <c:v>1966</c:v>
                </c:pt>
                <c:pt idx="67">
                  <c:v>1967</c:v>
                </c:pt>
                <c:pt idx="68">
                  <c:v>1968</c:v>
                </c:pt>
                <c:pt idx="69">
                  <c:v>1969</c:v>
                </c:pt>
                <c:pt idx="70">
                  <c:v>1970</c:v>
                </c:pt>
                <c:pt idx="71">
                  <c:v>1971</c:v>
                </c:pt>
                <c:pt idx="72">
                  <c:v>1972</c:v>
                </c:pt>
                <c:pt idx="73">
                  <c:v>1973</c:v>
                </c:pt>
                <c:pt idx="74">
                  <c:v>1974</c:v>
                </c:pt>
                <c:pt idx="75">
                  <c:v>1975</c:v>
                </c:pt>
                <c:pt idx="76">
                  <c:v>1976</c:v>
                </c:pt>
                <c:pt idx="77">
                  <c:v>1977</c:v>
                </c:pt>
                <c:pt idx="78">
                  <c:v>1978</c:v>
                </c:pt>
                <c:pt idx="79">
                  <c:v>1979</c:v>
                </c:pt>
                <c:pt idx="80">
                  <c:v>1980</c:v>
                </c:pt>
                <c:pt idx="81">
                  <c:v>1981</c:v>
                </c:pt>
                <c:pt idx="82">
                  <c:v>1982</c:v>
                </c:pt>
                <c:pt idx="83">
                  <c:v>1983</c:v>
                </c:pt>
                <c:pt idx="84">
                  <c:v>1984</c:v>
                </c:pt>
                <c:pt idx="85">
                  <c:v>1985</c:v>
                </c:pt>
                <c:pt idx="86">
                  <c:v>1986</c:v>
                </c:pt>
                <c:pt idx="87">
                  <c:v>1987</c:v>
                </c:pt>
                <c:pt idx="88">
                  <c:v>1988</c:v>
                </c:pt>
                <c:pt idx="89">
                  <c:v>1989</c:v>
                </c:pt>
                <c:pt idx="90">
                  <c:v>1990</c:v>
                </c:pt>
                <c:pt idx="91">
                  <c:v>1991</c:v>
                </c:pt>
                <c:pt idx="92">
                  <c:v>1992</c:v>
                </c:pt>
                <c:pt idx="93">
                  <c:v>1993</c:v>
                </c:pt>
                <c:pt idx="94">
                  <c:v>1994</c:v>
                </c:pt>
                <c:pt idx="95">
                  <c:v>1995</c:v>
                </c:pt>
                <c:pt idx="96">
                  <c:v>1996</c:v>
                </c:pt>
                <c:pt idx="97">
                  <c:v>1997</c:v>
                </c:pt>
                <c:pt idx="98">
                  <c:v>1998</c:v>
                </c:pt>
                <c:pt idx="99">
                  <c:v>1999</c:v>
                </c:pt>
                <c:pt idx="100">
                  <c:v>2000</c:v>
                </c:pt>
                <c:pt idx="101">
                  <c:v>2001</c:v>
                </c:pt>
                <c:pt idx="102">
                  <c:v>2002</c:v>
                </c:pt>
                <c:pt idx="103">
                  <c:v>2003</c:v>
                </c:pt>
                <c:pt idx="104">
                  <c:v>2004</c:v>
                </c:pt>
                <c:pt idx="105">
                  <c:v>2005</c:v>
                </c:pt>
                <c:pt idx="106">
                  <c:v>2006</c:v>
                </c:pt>
                <c:pt idx="107">
                  <c:v>2007</c:v>
                </c:pt>
                <c:pt idx="108">
                  <c:v>2008</c:v>
                </c:pt>
                <c:pt idx="109">
                  <c:v>2009</c:v>
                </c:pt>
                <c:pt idx="110">
                  <c:v>2010</c:v>
                </c:pt>
                <c:pt idx="111">
                  <c:v>2011</c:v>
                </c:pt>
                <c:pt idx="112">
                  <c:v>2012</c:v>
                </c:pt>
                <c:pt idx="113">
                  <c:v>2013</c:v>
                </c:pt>
                <c:pt idx="114">
                  <c:v>2014</c:v>
                </c:pt>
                <c:pt idx="115">
                  <c:v>2015</c:v>
                </c:pt>
                <c:pt idx="116">
                  <c:v>2016</c:v>
                </c:pt>
                <c:pt idx="117">
                  <c:v>2017</c:v>
                </c:pt>
                <c:pt idx="118">
                  <c:v>2018</c:v>
                </c:pt>
                <c:pt idx="119">
                  <c:v>2019</c:v>
                </c:pt>
              </c:numCache>
            </c:numRef>
          </c:xVal>
          <c:yVal>
            <c:numRef>
              <c:f>'SDS19'!$D$5:$D$124</c:f>
              <c:numCache>
                <c:formatCode>0.00E+00</c:formatCode>
                <c:ptCount val="120"/>
                <c:pt idx="0">
                  <c:v>2623151.5816219472</c:v>
                </c:pt>
                <c:pt idx="1">
                  <c:v>2798276.7571985931</c:v>
                </c:pt>
                <c:pt idx="2">
                  <c:v>3731424.1371447877</c:v>
                </c:pt>
                <c:pt idx="3">
                  <c:v>4387146.6000539185</c:v>
                </c:pt>
                <c:pt idx="4">
                  <c:v>4425757.7302780328</c:v>
                </c:pt>
                <c:pt idx="5">
                  <c:v>5585009.9094177643</c:v>
                </c:pt>
                <c:pt idx="6">
                  <c:v>7346652.3693671664</c:v>
                </c:pt>
                <c:pt idx="7">
                  <c:v>7429698.5874489173</c:v>
                </c:pt>
                <c:pt idx="8">
                  <c:v>7354656.4344414715</c:v>
                </c:pt>
                <c:pt idx="9">
                  <c:v>9142421.7470374927</c:v>
                </c:pt>
                <c:pt idx="10">
                  <c:v>10414709.78238854</c:v>
                </c:pt>
                <c:pt idx="11">
                  <c:v>10486330.229388809</c:v>
                </c:pt>
                <c:pt idx="12">
                  <c:v>10780099.420158254</c:v>
                </c:pt>
                <c:pt idx="13">
                  <c:v>12183934.898365034</c:v>
                </c:pt>
                <c:pt idx="14">
                  <c:v>11694804.786093298</c:v>
                </c:pt>
                <c:pt idx="15">
                  <c:v>11237455.444066772</c:v>
                </c:pt>
                <c:pt idx="16">
                  <c:v>11905753.257932469</c:v>
                </c:pt>
                <c:pt idx="17">
                  <c:v>11972347.706563795</c:v>
                </c:pt>
                <c:pt idx="18">
                  <c:v>9066129.5862939898</c:v>
                </c:pt>
                <c:pt idx="19">
                  <c:v>10250057.700705595</c:v>
                </c:pt>
                <c:pt idx="20">
                  <c:v>12559360.490941284</c:v>
                </c:pt>
                <c:pt idx="21">
                  <c:v>12491679.098208616</c:v>
                </c:pt>
                <c:pt idx="22">
                  <c:v>14497322.409005186</c:v>
                </c:pt>
                <c:pt idx="23">
                  <c:v>17477301.105768338</c:v>
                </c:pt>
                <c:pt idx="24">
                  <c:v>18900407.620231431</c:v>
                </c:pt>
                <c:pt idx="25">
                  <c:v>20510995.401919175</c:v>
                </c:pt>
                <c:pt idx="26">
                  <c:v>20716701.147948433</c:v>
                </c:pt>
                <c:pt idx="27">
                  <c:v>21091582.114828549</c:v>
                </c:pt>
                <c:pt idx="28">
                  <c:v>14662035</c:v>
                </c:pt>
                <c:pt idx="29">
                  <c:v>14162970</c:v>
                </c:pt>
                <c:pt idx="30">
                  <c:v>13205095</c:v>
                </c:pt>
                <c:pt idx="31">
                  <c:v>10546325</c:v>
                </c:pt>
                <c:pt idx="32">
                  <c:v>6658565</c:v>
                </c:pt>
                <c:pt idx="33">
                  <c:v>5267100</c:v>
                </c:pt>
                <c:pt idx="34">
                  <c:v>6245345</c:v>
                </c:pt>
                <c:pt idx="35">
                  <c:v>6181325</c:v>
                </c:pt>
                <c:pt idx="36">
                  <c:v>9277565</c:v>
                </c:pt>
                <c:pt idx="37">
                  <c:v>9442465</c:v>
                </c:pt>
                <c:pt idx="38">
                  <c:v>8832335</c:v>
                </c:pt>
                <c:pt idx="39">
                  <c:v>10207310</c:v>
                </c:pt>
                <c:pt idx="40">
                  <c:v>10569605</c:v>
                </c:pt>
                <c:pt idx="41">
                  <c:v>13763330</c:v>
                </c:pt>
                <c:pt idx="42">
                  <c:v>15056825</c:v>
                </c:pt>
                <c:pt idx="43">
                  <c:v>10294610</c:v>
                </c:pt>
                <c:pt idx="44">
                  <c:v>7516045</c:v>
                </c:pt>
                <c:pt idx="45">
                  <c:v>8428330</c:v>
                </c:pt>
                <c:pt idx="46">
                  <c:v>9454105</c:v>
                </c:pt>
                <c:pt idx="47">
                  <c:v>15827490</c:v>
                </c:pt>
                <c:pt idx="48">
                  <c:v>17390160</c:v>
                </c:pt>
                <c:pt idx="49">
                  <c:v>17588525</c:v>
                </c:pt>
                <c:pt idx="50">
                  <c:v>19832135</c:v>
                </c:pt>
                <c:pt idx="51">
                  <c:v>20707075</c:v>
                </c:pt>
                <c:pt idx="52">
                  <c:v>21502475</c:v>
                </c:pt>
                <c:pt idx="53">
                  <c:v>22332795</c:v>
                </c:pt>
                <c:pt idx="54">
                  <c:v>23715045</c:v>
                </c:pt>
                <c:pt idx="55">
                  <c:v>25990665</c:v>
                </c:pt>
                <c:pt idx="56">
                  <c:v>26784125</c:v>
                </c:pt>
                <c:pt idx="57">
                  <c:v>25044430</c:v>
                </c:pt>
                <c:pt idx="58">
                  <c:v>26452870</c:v>
                </c:pt>
                <c:pt idx="59">
                  <c:v>29051015</c:v>
                </c:pt>
                <c:pt idx="60">
                  <c:v>26930110</c:v>
                </c:pt>
                <c:pt idx="61">
                  <c:v>27560610</c:v>
                </c:pt>
                <c:pt idx="62">
                  <c:v>28606755</c:v>
                </c:pt>
                <c:pt idx="63">
                  <c:v>30869280</c:v>
                </c:pt>
                <c:pt idx="64">
                  <c:v>32082265</c:v>
                </c:pt>
                <c:pt idx="65">
                  <c:v>32780665</c:v>
                </c:pt>
                <c:pt idx="66">
                  <c:v>33217650</c:v>
                </c:pt>
                <c:pt idx="67">
                  <c:v>32717615</c:v>
                </c:pt>
                <c:pt idx="68">
                  <c:v>34541700</c:v>
                </c:pt>
                <c:pt idx="69">
                  <c:v>34483985</c:v>
                </c:pt>
                <c:pt idx="70">
                  <c:v>32725860</c:v>
                </c:pt>
                <c:pt idx="71">
                  <c:v>35328370</c:v>
                </c:pt>
                <c:pt idx="72">
                  <c:v>37232480</c:v>
                </c:pt>
                <c:pt idx="73">
                  <c:v>39741385</c:v>
                </c:pt>
                <c:pt idx="74">
                  <c:v>36299340</c:v>
                </c:pt>
                <c:pt idx="75">
                  <c:v>30849880</c:v>
                </c:pt>
                <c:pt idx="76">
                  <c:v>32741865</c:v>
                </c:pt>
                <c:pt idx="77">
                  <c:v>35612095</c:v>
                </c:pt>
                <c:pt idx="78">
                  <c:v>38454680</c:v>
                </c:pt>
                <c:pt idx="79">
                  <c:v>38297540</c:v>
                </c:pt>
                <c:pt idx="80">
                  <c:v>34033905</c:v>
                </c:pt>
                <c:pt idx="81">
                  <c:v>32054620</c:v>
                </c:pt>
                <c:pt idx="82">
                  <c:v>28892420</c:v>
                </c:pt>
                <c:pt idx="83">
                  <c:v>31931430</c:v>
                </c:pt>
                <c:pt idx="84">
                  <c:v>36950210</c:v>
                </c:pt>
                <c:pt idx="85">
                  <c:v>38235460</c:v>
                </c:pt>
                <c:pt idx="86">
                  <c:v>40175945</c:v>
                </c:pt>
                <c:pt idx="87">
                  <c:v>40838940</c:v>
                </c:pt>
                <c:pt idx="88">
                  <c:v>40667735</c:v>
                </c:pt>
                <c:pt idx="89">
                  <c:v>39970790</c:v>
                </c:pt>
                <c:pt idx="90">
                  <c:v>39267540</c:v>
                </c:pt>
                <c:pt idx="91">
                  <c:v>34823000</c:v>
                </c:pt>
                <c:pt idx="92">
                  <c:v>36941965</c:v>
                </c:pt>
                <c:pt idx="93">
                  <c:v>38654985</c:v>
                </c:pt>
                <c:pt idx="94">
                  <c:v>41940860</c:v>
                </c:pt>
                <c:pt idx="95">
                  <c:v>41711455</c:v>
                </c:pt>
                <c:pt idx="96">
                  <c:v>43822175</c:v>
                </c:pt>
                <c:pt idx="97">
                  <c:v>46568730</c:v>
                </c:pt>
                <c:pt idx="98">
                  <c:v>50176645</c:v>
                </c:pt>
                <c:pt idx="99">
                  <c:v>52798070</c:v>
                </c:pt>
                <c:pt idx="100">
                  <c:v>53577950</c:v>
                </c:pt>
                <c:pt idx="101">
                  <c:v>54708000</c:v>
                </c:pt>
                <c:pt idx="102">
                  <c:v>53359700</c:v>
                </c:pt>
                <c:pt idx="103">
                  <c:v>55333650</c:v>
                </c:pt>
                <c:pt idx="104">
                  <c:v>59160300</c:v>
                </c:pt>
                <c:pt idx="105">
                  <c:v>62201250</c:v>
                </c:pt>
                <c:pt idx="106">
                  <c:v>61915100</c:v>
                </c:pt>
                <c:pt idx="107">
                  <c:v>56526750</c:v>
                </c:pt>
                <c:pt idx="108">
                  <c:v>46928600</c:v>
                </c:pt>
                <c:pt idx="109">
                  <c:v>34696900</c:v>
                </c:pt>
                <c:pt idx="110">
                  <c:v>34527150</c:v>
                </c:pt>
                <c:pt idx="111">
                  <c:v>35017000</c:v>
                </c:pt>
                <c:pt idx="112">
                  <c:v>37781500</c:v>
                </c:pt>
                <c:pt idx="113">
                  <c:v>39648750</c:v>
                </c:pt>
                <c:pt idx="114">
                  <c:v>43271700</c:v>
                </c:pt>
                <c:pt idx="115">
                  <c:v>44692750</c:v>
                </c:pt>
                <c:pt idx="116">
                  <c:v>46147750</c:v>
                </c:pt>
                <c:pt idx="117">
                  <c:v>47122600</c:v>
                </c:pt>
                <c:pt idx="118">
                  <c:v>47772500</c:v>
                </c:pt>
                <c:pt idx="119">
                  <c:v>49276000</c:v>
                </c:pt>
              </c:numCache>
            </c:numRef>
          </c:yVal>
          <c:smooth val="1"/>
          <c:extLst>
            <c:ext xmlns:c16="http://schemas.microsoft.com/office/drawing/2014/chart" uri="{C3380CC4-5D6E-409C-BE32-E72D297353CC}">
              <c16:uniqueId val="{00000000-AD47-4CCC-B8D5-BEAEDE5ADF49}"/>
            </c:ext>
          </c:extLst>
        </c:ser>
        <c:ser>
          <c:idx val="1"/>
          <c:order val="1"/>
          <c:tx>
            <c:strRef>
              <c:f>'SDS19'!$E$4</c:f>
              <c:strCache>
                <c:ptCount val="1"/>
                <c:pt idx="0">
                  <c:v>Uptake of CO2 by cement</c:v>
                </c:pt>
              </c:strCache>
            </c:strRef>
          </c:tx>
          <c:spPr>
            <a:ln w="19050" cap="rnd">
              <a:solidFill>
                <a:schemeClr val="accent3"/>
              </a:solidFill>
              <a:round/>
            </a:ln>
            <a:effectLst/>
          </c:spPr>
          <c:marker>
            <c:symbol val="none"/>
          </c:marker>
          <c:xVal>
            <c:numRef>
              <c:f>'SDS19'!$B$5:$B$124</c:f>
              <c:numCache>
                <c:formatCode>General</c:formatCode>
                <c:ptCount val="120"/>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pt idx="16">
                  <c:v>1916</c:v>
                </c:pt>
                <c:pt idx="17">
                  <c:v>1917</c:v>
                </c:pt>
                <c:pt idx="18">
                  <c:v>1918</c:v>
                </c:pt>
                <c:pt idx="19">
                  <c:v>1919</c:v>
                </c:pt>
                <c:pt idx="20">
                  <c:v>1920</c:v>
                </c:pt>
                <c:pt idx="21">
                  <c:v>1921</c:v>
                </c:pt>
                <c:pt idx="22">
                  <c:v>1922</c:v>
                </c:pt>
                <c:pt idx="23">
                  <c:v>1923</c:v>
                </c:pt>
                <c:pt idx="24">
                  <c:v>1924</c:v>
                </c:pt>
                <c:pt idx="25">
                  <c:v>1925</c:v>
                </c:pt>
                <c:pt idx="26">
                  <c:v>1926</c:v>
                </c:pt>
                <c:pt idx="27">
                  <c:v>1927</c:v>
                </c:pt>
                <c:pt idx="28">
                  <c:v>1928</c:v>
                </c:pt>
                <c:pt idx="29">
                  <c:v>1929</c:v>
                </c:pt>
                <c:pt idx="30">
                  <c:v>1930</c:v>
                </c:pt>
                <c:pt idx="31">
                  <c:v>1931</c:v>
                </c:pt>
                <c:pt idx="32">
                  <c:v>1932</c:v>
                </c:pt>
                <c:pt idx="33">
                  <c:v>1933</c:v>
                </c:pt>
                <c:pt idx="34">
                  <c:v>1934</c:v>
                </c:pt>
                <c:pt idx="35">
                  <c:v>1935</c:v>
                </c:pt>
                <c:pt idx="36">
                  <c:v>1936</c:v>
                </c:pt>
                <c:pt idx="37">
                  <c:v>1937</c:v>
                </c:pt>
                <c:pt idx="38">
                  <c:v>1938</c:v>
                </c:pt>
                <c:pt idx="39">
                  <c:v>1939</c:v>
                </c:pt>
                <c:pt idx="40">
                  <c:v>1940</c:v>
                </c:pt>
                <c:pt idx="41">
                  <c:v>1941</c:v>
                </c:pt>
                <c:pt idx="42">
                  <c:v>1942</c:v>
                </c:pt>
                <c:pt idx="43">
                  <c:v>1943</c:v>
                </c:pt>
                <c:pt idx="44">
                  <c:v>1944</c:v>
                </c:pt>
                <c:pt idx="45">
                  <c:v>1945</c:v>
                </c:pt>
                <c:pt idx="46">
                  <c:v>1946</c:v>
                </c:pt>
                <c:pt idx="47">
                  <c:v>1947</c:v>
                </c:pt>
                <c:pt idx="48">
                  <c:v>1948</c:v>
                </c:pt>
                <c:pt idx="49">
                  <c:v>1949</c:v>
                </c:pt>
                <c:pt idx="50">
                  <c:v>1950</c:v>
                </c:pt>
                <c:pt idx="51">
                  <c:v>1951</c:v>
                </c:pt>
                <c:pt idx="52">
                  <c:v>1952</c:v>
                </c:pt>
                <c:pt idx="53">
                  <c:v>1953</c:v>
                </c:pt>
                <c:pt idx="54">
                  <c:v>1954</c:v>
                </c:pt>
                <c:pt idx="55">
                  <c:v>1955</c:v>
                </c:pt>
                <c:pt idx="56">
                  <c:v>1956</c:v>
                </c:pt>
                <c:pt idx="57">
                  <c:v>1957</c:v>
                </c:pt>
                <c:pt idx="58">
                  <c:v>1958</c:v>
                </c:pt>
                <c:pt idx="59">
                  <c:v>1959</c:v>
                </c:pt>
                <c:pt idx="60">
                  <c:v>1960</c:v>
                </c:pt>
                <c:pt idx="61">
                  <c:v>1961</c:v>
                </c:pt>
                <c:pt idx="62">
                  <c:v>1962</c:v>
                </c:pt>
                <c:pt idx="63">
                  <c:v>1963</c:v>
                </c:pt>
                <c:pt idx="64">
                  <c:v>1964</c:v>
                </c:pt>
                <c:pt idx="65">
                  <c:v>1965</c:v>
                </c:pt>
                <c:pt idx="66">
                  <c:v>1966</c:v>
                </c:pt>
                <c:pt idx="67">
                  <c:v>1967</c:v>
                </c:pt>
                <c:pt idx="68">
                  <c:v>1968</c:v>
                </c:pt>
                <c:pt idx="69">
                  <c:v>1969</c:v>
                </c:pt>
                <c:pt idx="70">
                  <c:v>1970</c:v>
                </c:pt>
                <c:pt idx="71">
                  <c:v>1971</c:v>
                </c:pt>
                <c:pt idx="72">
                  <c:v>1972</c:v>
                </c:pt>
                <c:pt idx="73">
                  <c:v>1973</c:v>
                </c:pt>
                <c:pt idx="74">
                  <c:v>1974</c:v>
                </c:pt>
                <c:pt idx="75">
                  <c:v>1975</c:v>
                </c:pt>
                <c:pt idx="76">
                  <c:v>1976</c:v>
                </c:pt>
                <c:pt idx="77">
                  <c:v>1977</c:v>
                </c:pt>
                <c:pt idx="78">
                  <c:v>1978</c:v>
                </c:pt>
                <c:pt idx="79">
                  <c:v>1979</c:v>
                </c:pt>
                <c:pt idx="80">
                  <c:v>1980</c:v>
                </c:pt>
                <c:pt idx="81">
                  <c:v>1981</c:v>
                </c:pt>
                <c:pt idx="82">
                  <c:v>1982</c:v>
                </c:pt>
                <c:pt idx="83">
                  <c:v>1983</c:v>
                </c:pt>
                <c:pt idx="84">
                  <c:v>1984</c:v>
                </c:pt>
                <c:pt idx="85">
                  <c:v>1985</c:v>
                </c:pt>
                <c:pt idx="86">
                  <c:v>1986</c:v>
                </c:pt>
                <c:pt idx="87">
                  <c:v>1987</c:v>
                </c:pt>
                <c:pt idx="88">
                  <c:v>1988</c:v>
                </c:pt>
                <c:pt idx="89">
                  <c:v>1989</c:v>
                </c:pt>
                <c:pt idx="90">
                  <c:v>1990</c:v>
                </c:pt>
                <c:pt idx="91">
                  <c:v>1991</c:v>
                </c:pt>
                <c:pt idx="92">
                  <c:v>1992</c:v>
                </c:pt>
                <c:pt idx="93">
                  <c:v>1993</c:v>
                </c:pt>
                <c:pt idx="94">
                  <c:v>1994</c:v>
                </c:pt>
                <c:pt idx="95">
                  <c:v>1995</c:v>
                </c:pt>
                <c:pt idx="96">
                  <c:v>1996</c:v>
                </c:pt>
                <c:pt idx="97">
                  <c:v>1997</c:v>
                </c:pt>
                <c:pt idx="98">
                  <c:v>1998</c:v>
                </c:pt>
                <c:pt idx="99">
                  <c:v>1999</c:v>
                </c:pt>
                <c:pt idx="100">
                  <c:v>2000</c:v>
                </c:pt>
                <c:pt idx="101">
                  <c:v>2001</c:v>
                </c:pt>
                <c:pt idx="102">
                  <c:v>2002</c:v>
                </c:pt>
                <c:pt idx="103">
                  <c:v>2003</c:v>
                </c:pt>
                <c:pt idx="104">
                  <c:v>2004</c:v>
                </c:pt>
                <c:pt idx="105">
                  <c:v>2005</c:v>
                </c:pt>
                <c:pt idx="106">
                  <c:v>2006</c:v>
                </c:pt>
                <c:pt idx="107">
                  <c:v>2007</c:v>
                </c:pt>
                <c:pt idx="108">
                  <c:v>2008</c:v>
                </c:pt>
                <c:pt idx="109">
                  <c:v>2009</c:v>
                </c:pt>
                <c:pt idx="110">
                  <c:v>2010</c:v>
                </c:pt>
                <c:pt idx="111">
                  <c:v>2011</c:v>
                </c:pt>
                <c:pt idx="112">
                  <c:v>2012</c:v>
                </c:pt>
                <c:pt idx="113">
                  <c:v>2013</c:v>
                </c:pt>
                <c:pt idx="114">
                  <c:v>2014</c:v>
                </c:pt>
                <c:pt idx="115">
                  <c:v>2015</c:v>
                </c:pt>
                <c:pt idx="116">
                  <c:v>2016</c:v>
                </c:pt>
                <c:pt idx="117">
                  <c:v>2017</c:v>
                </c:pt>
                <c:pt idx="118">
                  <c:v>2018</c:v>
                </c:pt>
                <c:pt idx="119">
                  <c:v>2019</c:v>
                </c:pt>
              </c:numCache>
            </c:numRef>
          </c:xVal>
          <c:yVal>
            <c:numRef>
              <c:f>'SDS19'!$E$5:$E$124</c:f>
              <c:numCache>
                <c:formatCode>General</c:formatCode>
                <c:ptCount val="120"/>
                <c:pt idx="0">
                  <c:v>-67973.370367148906</c:v>
                </c:pt>
                <c:pt idx="1">
                  <c:v>-101107.64091757699</c:v>
                </c:pt>
                <c:pt idx="2">
                  <c:v>-149696.828679175</c:v>
                </c:pt>
                <c:pt idx="3">
                  <c:v>-197723.43671277599</c:v>
                </c:pt>
                <c:pt idx="4">
                  <c:v>-232184.78071963301</c:v>
                </c:pt>
                <c:pt idx="5">
                  <c:v>-292665.74653659901</c:v>
                </c:pt>
                <c:pt idx="6">
                  <c:v>-379739.645840679</c:v>
                </c:pt>
                <c:pt idx="7">
                  <c:v>-436725.161262876</c:v>
                </c:pt>
                <c:pt idx="8">
                  <c:v>-482949.27213638998</c:v>
                </c:pt>
                <c:pt idx="9">
                  <c:v>-574762.45344937197</c:v>
                </c:pt>
                <c:pt idx="10">
                  <c:v>-670334.40343045001</c:v>
                </c:pt>
                <c:pt idx="11">
                  <c:v>-740738.69290518702</c:v>
                </c:pt>
                <c:pt idx="12">
                  <c:v>-810806.55223827204</c:v>
                </c:pt>
                <c:pt idx="13">
                  <c:v>-910830.87411093398</c:v>
                </c:pt>
                <c:pt idx="14">
                  <c:v>-970010.21601642796</c:v>
                </c:pt>
                <c:pt idx="15">
                  <c:v>-1017528.6726212</c:v>
                </c:pt>
                <c:pt idx="16">
                  <c:v>-1088894.1863680601</c:v>
                </c:pt>
                <c:pt idx="17">
                  <c:v>-1149938.8208486401</c:v>
                </c:pt>
                <c:pt idx="18">
                  <c:v>-1122271.01404948</c:v>
                </c:pt>
                <c:pt idx="19">
                  <c:v>-1175876.63918465</c:v>
                </c:pt>
                <c:pt idx="20">
                  <c:v>-1283638.49134204</c:v>
                </c:pt>
                <c:pt idx="21">
                  <c:v>-1349369.33522415</c:v>
                </c:pt>
                <c:pt idx="22">
                  <c:v>-1469551.9073027801</c:v>
                </c:pt>
                <c:pt idx="23">
                  <c:v>-1641412.9788824499</c:v>
                </c:pt>
                <c:pt idx="24">
                  <c:v>-1796710.4592747299</c:v>
                </c:pt>
                <c:pt idx="25">
                  <c:v>-1963380.55947104</c:v>
                </c:pt>
                <c:pt idx="26">
                  <c:v>-2096608.4528952001</c:v>
                </c:pt>
                <c:pt idx="27">
                  <c:v>-2226228.02152419</c:v>
                </c:pt>
                <c:pt idx="28">
                  <c:v>-2351839.7053321898</c:v>
                </c:pt>
                <c:pt idx="29">
                  <c:v>-2437188.4950190601</c:v>
                </c:pt>
                <c:pt idx="30">
                  <c:v>-2484475.1419714</c:v>
                </c:pt>
                <c:pt idx="31">
                  <c:v>-2432619.99978024</c:v>
                </c:pt>
                <c:pt idx="32">
                  <c:v>-2275300.5876138899</c:v>
                </c:pt>
                <c:pt idx="33">
                  <c:v>-2169117.3786250502</c:v>
                </c:pt>
                <c:pt idx="34">
                  <c:v>-2166426.1907340898</c:v>
                </c:pt>
                <c:pt idx="35">
                  <c:v>-2152017.1392913498</c:v>
                </c:pt>
                <c:pt idx="36">
                  <c:v>-2286224.95824767</c:v>
                </c:pt>
                <c:pt idx="37">
                  <c:v>-2350003.3061162699</c:v>
                </c:pt>
                <c:pt idx="38">
                  <c:v>-2371438.1780413799</c:v>
                </c:pt>
                <c:pt idx="39">
                  <c:v>-2466698.8570181802</c:v>
                </c:pt>
                <c:pt idx="40">
                  <c:v>-2541591.2926052501</c:v>
                </c:pt>
                <c:pt idx="41">
                  <c:v>-2745896.6624604901</c:v>
                </c:pt>
                <c:pt idx="42">
                  <c:v>-2918733.8185859001</c:v>
                </c:pt>
                <c:pt idx="43">
                  <c:v>-2822712.3186916299</c:v>
                </c:pt>
                <c:pt idx="44">
                  <c:v>-2711952.3270930299</c:v>
                </c:pt>
                <c:pt idx="45">
                  <c:v>-2823639.0925824801</c:v>
                </c:pt>
                <c:pt idx="46">
                  <c:v>-3018992.2591132601</c:v>
                </c:pt>
                <c:pt idx="47">
                  <c:v>-3406488.2252040301</c:v>
                </c:pt>
                <c:pt idx="48">
                  <c:v>-3717898.1746859602</c:v>
                </c:pt>
                <c:pt idx="49">
                  <c:v>-3935695.9636156401</c:v>
                </c:pt>
                <c:pt idx="50">
                  <c:v>-4240131.2454233402</c:v>
                </c:pt>
                <c:pt idx="51">
                  <c:v>-4588840.2145849904</c:v>
                </c:pt>
                <c:pt idx="52">
                  <c:v>-4907548.5626383899</c:v>
                </c:pt>
                <c:pt idx="53">
                  <c:v>-5142786.2824539999</c:v>
                </c:pt>
                <c:pt idx="54">
                  <c:v>-5461407.0653795404</c:v>
                </c:pt>
                <c:pt idx="55">
                  <c:v>-5909328.1405422902</c:v>
                </c:pt>
                <c:pt idx="56">
                  <c:v>-6256433.7686743299</c:v>
                </c:pt>
                <c:pt idx="57">
                  <c:v>-6431087.5598792499</c:v>
                </c:pt>
                <c:pt idx="58">
                  <c:v>-6749550.7093917802</c:v>
                </c:pt>
                <c:pt idx="59">
                  <c:v>-7130081.6137955198</c:v>
                </c:pt>
                <c:pt idx="60">
                  <c:v>-7282237.9376651999</c:v>
                </c:pt>
                <c:pt idx="61">
                  <c:v>-7553026.6452358803</c:v>
                </c:pt>
                <c:pt idx="62">
                  <c:v>-7853208.3478378505</c:v>
                </c:pt>
                <c:pt idx="63">
                  <c:v>-8082136.7076890804</c:v>
                </c:pt>
                <c:pt idx="64">
                  <c:v>-7864215.6279221904</c:v>
                </c:pt>
                <c:pt idx="65">
                  <c:v>-8265024.9336246802</c:v>
                </c:pt>
                <c:pt idx="66">
                  <c:v>-8548709.8991300594</c:v>
                </c:pt>
                <c:pt idx="67">
                  <c:v>-8783559.0119332094</c:v>
                </c:pt>
                <c:pt idx="68">
                  <c:v>-9320785.62223031</c:v>
                </c:pt>
                <c:pt idx="69">
                  <c:v>-9654692.9629627503</c:v>
                </c:pt>
                <c:pt idx="70">
                  <c:v>-9804235.37432402</c:v>
                </c:pt>
                <c:pt idx="71">
                  <c:v>-10329745.749152699</c:v>
                </c:pt>
                <c:pt idx="72">
                  <c:v>-10770507.396934301</c:v>
                </c:pt>
                <c:pt idx="73">
                  <c:v>-10986943.456494</c:v>
                </c:pt>
                <c:pt idx="74">
                  <c:v>-10961116.649459301</c:v>
                </c:pt>
                <c:pt idx="75">
                  <c:v>-10814128.1653491</c:v>
                </c:pt>
                <c:pt idx="76">
                  <c:v>-10751895.7888058</c:v>
                </c:pt>
                <c:pt idx="77">
                  <c:v>-10358093.365433</c:v>
                </c:pt>
                <c:pt idx="78">
                  <c:v>-10247416.8362399</c:v>
                </c:pt>
                <c:pt idx="79">
                  <c:v>-10394279.299605601</c:v>
                </c:pt>
                <c:pt idx="80">
                  <c:v>-10502882.3836181</c:v>
                </c:pt>
                <c:pt idx="81">
                  <c:v>-10575523.230692901</c:v>
                </c:pt>
                <c:pt idx="82">
                  <c:v>-11371582.997672301</c:v>
                </c:pt>
                <c:pt idx="83">
                  <c:v>-11443111.6984111</c:v>
                </c:pt>
                <c:pt idx="84">
                  <c:v>-11532378.514560601</c:v>
                </c:pt>
                <c:pt idx="85">
                  <c:v>-12072068.6829718</c:v>
                </c:pt>
                <c:pt idx="86">
                  <c:v>-12299190.5947841</c:v>
                </c:pt>
                <c:pt idx="87">
                  <c:v>-12327446.885546001</c:v>
                </c:pt>
                <c:pt idx="88">
                  <c:v>-12134466.648492301</c:v>
                </c:pt>
                <c:pt idx="89">
                  <c:v>-11471470.1214641</c:v>
                </c:pt>
                <c:pt idx="90">
                  <c:v>-11305762.2702948</c:v>
                </c:pt>
                <c:pt idx="91">
                  <c:v>-11128174.9150146</c:v>
                </c:pt>
                <c:pt idx="92">
                  <c:v>-11544981.0518909</c:v>
                </c:pt>
                <c:pt idx="93">
                  <c:v>-12497986.7026788</c:v>
                </c:pt>
                <c:pt idx="94">
                  <c:v>-13250639.983092999</c:v>
                </c:pt>
                <c:pt idx="95">
                  <c:v>-14583147.287709201</c:v>
                </c:pt>
                <c:pt idx="96">
                  <c:v>-16359057.113935599</c:v>
                </c:pt>
                <c:pt idx="97">
                  <c:v>-17394422.011849999</c:v>
                </c:pt>
                <c:pt idx="98">
                  <c:v>-17658366.701420099</c:v>
                </c:pt>
                <c:pt idx="99">
                  <c:v>-18647349.516691901</c:v>
                </c:pt>
                <c:pt idx="100">
                  <c:v>-18494574.063632801</c:v>
                </c:pt>
                <c:pt idx="101">
                  <c:v>-18893265.321955901</c:v>
                </c:pt>
                <c:pt idx="102">
                  <c:v>-19310194.0254451</c:v>
                </c:pt>
                <c:pt idx="103">
                  <c:v>-18975840.299974602</c:v>
                </c:pt>
                <c:pt idx="104">
                  <c:v>-19181090.972054198</c:v>
                </c:pt>
                <c:pt idx="105">
                  <c:v>-18721108.856872398</c:v>
                </c:pt>
                <c:pt idx="106">
                  <c:v>-18453475.463062301</c:v>
                </c:pt>
                <c:pt idx="107">
                  <c:v>-20339689.028202001</c:v>
                </c:pt>
                <c:pt idx="108">
                  <c:v>-21337033.7383084</c:v>
                </c:pt>
                <c:pt idx="109">
                  <c:v>-20898992.147660598</c:v>
                </c:pt>
                <c:pt idx="110">
                  <c:v>-20955863.958708301</c:v>
                </c:pt>
                <c:pt idx="111">
                  <c:v>-19501896.7604011</c:v>
                </c:pt>
                <c:pt idx="112">
                  <c:v>-19534668.029569801</c:v>
                </c:pt>
                <c:pt idx="113">
                  <c:v>-20173433.335014898</c:v>
                </c:pt>
                <c:pt idx="114">
                  <c:v>-20178167.328267001</c:v>
                </c:pt>
                <c:pt idx="115">
                  <c:v>-19780511.649599101</c:v>
                </c:pt>
                <c:pt idx="116">
                  <c:v>-19630605.783178098</c:v>
                </c:pt>
                <c:pt idx="117">
                  <c:v>-19761359.632855002</c:v>
                </c:pt>
                <c:pt idx="118">
                  <c:v>-19974518.625603899</c:v>
                </c:pt>
                <c:pt idx="119">
                  <c:v>-14051097.471527999</c:v>
                </c:pt>
              </c:numCache>
            </c:numRef>
          </c:yVal>
          <c:smooth val="1"/>
          <c:extLst>
            <c:ext xmlns:c16="http://schemas.microsoft.com/office/drawing/2014/chart" uri="{C3380CC4-5D6E-409C-BE32-E72D297353CC}">
              <c16:uniqueId val="{00000001-AD47-4CCC-B8D5-BEAEDE5ADF49}"/>
            </c:ext>
          </c:extLst>
        </c:ser>
        <c:ser>
          <c:idx val="2"/>
          <c:order val="2"/>
          <c:tx>
            <c:strRef>
              <c:f>'SDS19'!$F$4</c:f>
              <c:strCache>
                <c:ptCount val="1"/>
                <c:pt idx="0">
                  <c:v>Net emissions</c:v>
                </c:pt>
              </c:strCache>
            </c:strRef>
          </c:tx>
          <c:spPr>
            <a:ln w="19050" cap="rnd">
              <a:solidFill>
                <a:schemeClr val="tx1"/>
              </a:solidFill>
              <a:prstDash val="dash"/>
              <a:round/>
            </a:ln>
            <a:effectLst/>
          </c:spPr>
          <c:marker>
            <c:symbol val="none"/>
          </c:marker>
          <c:xVal>
            <c:numRef>
              <c:f>'SDS19'!$B$5:$B$124</c:f>
              <c:numCache>
                <c:formatCode>General</c:formatCode>
                <c:ptCount val="120"/>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pt idx="16">
                  <c:v>1916</c:v>
                </c:pt>
                <c:pt idx="17">
                  <c:v>1917</c:v>
                </c:pt>
                <c:pt idx="18">
                  <c:v>1918</c:v>
                </c:pt>
                <c:pt idx="19">
                  <c:v>1919</c:v>
                </c:pt>
                <c:pt idx="20">
                  <c:v>1920</c:v>
                </c:pt>
                <c:pt idx="21">
                  <c:v>1921</c:v>
                </c:pt>
                <c:pt idx="22">
                  <c:v>1922</c:v>
                </c:pt>
                <c:pt idx="23">
                  <c:v>1923</c:v>
                </c:pt>
                <c:pt idx="24">
                  <c:v>1924</c:v>
                </c:pt>
                <c:pt idx="25">
                  <c:v>1925</c:v>
                </c:pt>
                <c:pt idx="26">
                  <c:v>1926</c:v>
                </c:pt>
                <c:pt idx="27">
                  <c:v>1927</c:v>
                </c:pt>
                <c:pt idx="28">
                  <c:v>1928</c:v>
                </c:pt>
                <c:pt idx="29">
                  <c:v>1929</c:v>
                </c:pt>
                <c:pt idx="30">
                  <c:v>1930</c:v>
                </c:pt>
                <c:pt idx="31">
                  <c:v>1931</c:v>
                </c:pt>
                <c:pt idx="32">
                  <c:v>1932</c:v>
                </c:pt>
                <c:pt idx="33">
                  <c:v>1933</c:v>
                </c:pt>
                <c:pt idx="34">
                  <c:v>1934</c:v>
                </c:pt>
                <c:pt idx="35">
                  <c:v>1935</c:v>
                </c:pt>
                <c:pt idx="36">
                  <c:v>1936</c:v>
                </c:pt>
                <c:pt idx="37">
                  <c:v>1937</c:v>
                </c:pt>
                <c:pt idx="38">
                  <c:v>1938</c:v>
                </c:pt>
                <c:pt idx="39">
                  <c:v>1939</c:v>
                </c:pt>
                <c:pt idx="40">
                  <c:v>1940</c:v>
                </c:pt>
                <c:pt idx="41">
                  <c:v>1941</c:v>
                </c:pt>
                <c:pt idx="42">
                  <c:v>1942</c:v>
                </c:pt>
                <c:pt idx="43">
                  <c:v>1943</c:v>
                </c:pt>
                <c:pt idx="44">
                  <c:v>1944</c:v>
                </c:pt>
                <c:pt idx="45">
                  <c:v>1945</c:v>
                </c:pt>
                <c:pt idx="46">
                  <c:v>1946</c:v>
                </c:pt>
                <c:pt idx="47">
                  <c:v>1947</c:v>
                </c:pt>
                <c:pt idx="48">
                  <c:v>1948</c:v>
                </c:pt>
                <c:pt idx="49">
                  <c:v>1949</c:v>
                </c:pt>
                <c:pt idx="50">
                  <c:v>1950</c:v>
                </c:pt>
                <c:pt idx="51">
                  <c:v>1951</c:v>
                </c:pt>
                <c:pt idx="52">
                  <c:v>1952</c:v>
                </c:pt>
                <c:pt idx="53">
                  <c:v>1953</c:v>
                </c:pt>
                <c:pt idx="54">
                  <c:v>1954</c:v>
                </c:pt>
                <c:pt idx="55">
                  <c:v>1955</c:v>
                </c:pt>
                <c:pt idx="56">
                  <c:v>1956</c:v>
                </c:pt>
                <c:pt idx="57">
                  <c:v>1957</c:v>
                </c:pt>
                <c:pt idx="58">
                  <c:v>1958</c:v>
                </c:pt>
                <c:pt idx="59">
                  <c:v>1959</c:v>
                </c:pt>
                <c:pt idx="60">
                  <c:v>1960</c:v>
                </c:pt>
                <c:pt idx="61">
                  <c:v>1961</c:v>
                </c:pt>
                <c:pt idx="62">
                  <c:v>1962</c:v>
                </c:pt>
                <c:pt idx="63">
                  <c:v>1963</c:v>
                </c:pt>
                <c:pt idx="64">
                  <c:v>1964</c:v>
                </c:pt>
                <c:pt idx="65">
                  <c:v>1965</c:v>
                </c:pt>
                <c:pt idx="66">
                  <c:v>1966</c:v>
                </c:pt>
                <c:pt idx="67">
                  <c:v>1967</c:v>
                </c:pt>
                <c:pt idx="68">
                  <c:v>1968</c:v>
                </c:pt>
                <c:pt idx="69">
                  <c:v>1969</c:v>
                </c:pt>
                <c:pt idx="70">
                  <c:v>1970</c:v>
                </c:pt>
                <c:pt idx="71">
                  <c:v>1971</c:v>
                </c:pt>
                <c:pt idx="72">
                  <c:v>1972</c:v>
                </c:pt>
                <c:pt idx="73">
                  <c:v>1973</c:v>
                </c:pt>
                <c:pt idx="74">
                  <c:v>1974</c:v>
                </c:pt>
                <c:pt idx="75">
                  <c:v>1975</c:v>
                </c:pt>
                <c:pt idx="76">
                  <c:v>1976</c:v>
                </c:pt>
                <c:pt idx="77">
                  <c:v>1977</c:v>
                </c:pt>
                <c:pt idx="78">
                  <c:v>1978</c:v>
                </c:pt>
                <c:pt idx="79">
                  <c:v>1979</c:v>
                </c:pt>
                <c:pt idx="80">
                  <c:v>1980</c:v>
                </c:pt>
                <c:pt idx="81">
                  <c:v>1981</c:v>
                </c:pt>
                <c:pt idx="82">
                  <c:v>1982</c:v>
                </c:pt>
                <c:pt idx="83">
                  <c:v>1983</c:v>
                </c:pt>
                <c:pt idx="84">
                  <c:v>1984</c:v>
                </c:pt>
                <c:pt idx="85">
                  <c:v>1985</c:v>
                </c:pt>
                <c:pt idx="86">
                  <c:v>1986</c:v>
                </c:pt>
                <c:pt idx="87">
                  <c:v>1987</c:v>
                </c:pt>
                <c:pt idx="88">
                  <c:v>1988</c:v>
                </c:pt>
                <c:pt idx="89">
                  <c:v>1989</c:v>
                </c:pt>
                <c:pt idx="90">
                  <c:v>1990</c:v>
                </c:pt>
                <c:pt idx="91">
                  <c:v>1991</c:v>
                </c:pt>
                <c:pt idx="92">
                  <c:v>1992</c:v>
                </c:pt>
                <c:pt idx="93">
                  <c:v>1993</c:v>
                </c:pt>
                <c:pt idx="94">
                  <c:v>1994</c:v>
                </c:pt>
                <c:pt idx="95">
                  <c:v>1995</c:v>
                </c:pt>
                <c:pt idx="96">
                  <c:v>1996</c:v>
                </c:pt>
                <c:pt idx="97">
                  <c:v>1997</c:v>
                </c:pt>
                <c:pt idx="98">
                  <c:v>1998</c:v>
                </c:pt>
                <c:pt idx="99">
                  <c:v>1999</c:v>
                </c:pt>
                <c:pt idx="100">
                  <c:v>2000</c:v>
                </c:pt>
                <c:pt idx="101">
                  <c:v>2001</c:v>
                </c:pt>
                <c:pt idx="102">
                  <c:v>2002</c:v>
                </c:pt>
                <c:pt idx="103">
                  <c:v>2003</c:v>
                </c:pt>
                <c:pt idx="104">
                  <c:v>2004</c:v>
                </c:pt>
                <c:pt idx="105">
                  <c:v>2005</c:v>
                </c:pt>
                <c:pt idx="106">
                  <c:v>2006</c:v>
                </c:pt>
                <c:pt idx="107">
                  <c:v>2007</c:v>
                </c:pt>
                <c:pt idx="108">
                  <c:v>2008</c:v>
                </c:pt>
                <c:pt idx="109">
                  <c:v>2009</c:v>
                </c:pt>
                <c:pt idx="110">
                  <c:v>2010</c:v>
                </c:pt>
                <c:pt idx="111">
                  <c:v>2011</c:v>
                </c:pt>
                <c:pt idx="112">
                  <c:v>2012</c:v>
                </c:pt>
                <c:pt idx="113">
                  <c:v>2013</c:v>
                </c:pt>
                <c:pt idx="114">
                  <c:v>2014</c:v>
                </c:pt>
                <c:pt idx="115">
                  <c:v>2015</c:v>
                </c:pt>
                <c:pt idx="116">
                  <c:v>2016</c:v>
                </c:pt>
                <c:pt idx="117">
                  <c:v>2017</c:v>
                </c:pt>
                <c:pt idx="118">
                  <c:v>2018</c:v>
                </c:pt>
                <c:pt idx="119">
                  <c:v>2019</c:v>
                </c:pt>
              </c:numCache>
            </c:numRef>
          </c:xVal>
          <c:yVal>
            <c:numRef>
              <c:f>'SDS19'!$F$5:$F$124</c:f>
              <c:numCache>
                <c:formatCode>General</c:formatCode>
                <c:ptCount val="120"/>
                <c:pt idx="0">
                  <c:v>2555178.2112547983</c:v>
                </c:pt>
                <c:pt idx="1">
                  <c:v>2697169.1162810163</c:v>
                </c:pt>
                <c:pt idx="2">
                  <c:v>3581727.3084656126</c:v>
                </c:pt>
                <c:pt idx="3">
                  <c:v>4189423.1633411427</c:v>
                </c:pt>
                <c:pt idx="4">
                  <c:v>4193572.9495583996</c:v>
                </c:pt>
                <c:pt idx="5">
                  <c:v>5292344.1628811657</c:v>
                </c:pt>
                <c:pt idx="6">
                  <c:v>6966912.7235264871</c:v>
                </c:pt>
                <c:pt idx="7">
                  <c:v>6992973.426186041</c:v>
                </c:pt>
                <c:pt idx="8">
                  <c:v>6871707.1623050813</c:v>
                </c:pt>
                <c:pt idx="9">
                  <c:v>8567659.2935881205</c:v>
                </c:pt>
                <c:pt idx="10">
                  <c:v>9744375.3789580893</c:v>
                </c:pt>
                <c:pt idx="11">
                  <c:v>9745591.5364836212</c:v>
                </c:pt>
                <c:pt idx="12">
                  <c:v>9969292.8679199815</c:v>
                </c:pt>
                <c:pt idx="13">
                  <c:v>11273104.0242541</c:v>
                </c:pt>
                <c:pt idx="14">
                  <c:v>10724794.57007687</c:v>
                </c:pt>
                <c:pt idx="15">
                  <c:v>10219926.771445572</c:v>
                </c:pt>
                <c:pt idx="16">
                  <c:v>10816859.07156441</c:v>
                </c:pt>
                <c:pt idx="17">
                  <c:v>10822408.885715155</c:v>
                </c:pt>
                <c:pt idx="18">
                  <c:v>7943858.5722445101</c:v>
                </c:pt>
                <c:pt idx="19">
                  <c:v>9074181.0615209453</c:v>
                </c:pt>
                <c:pt idx="20">
                  <c:v>11275721.999599244</c:v>
                </c:pt>
                <c:pt idx="21">
                  <c:v>11142309.762984466</c:v>
                </c:pt>
                <c:pt idx="22">
                  <c:v>13027770.501702406</c:v>
                </c:pt>
                <c:pt idx="23">
                  <c:v>15835888.126885887</c:v>
                </c:pt>
                <c:pt idx="24">
                  <c:v>17103697.160956699</c:v>
                </c:pt>
                <c:pt idx="25">
                  <c:v>18547614.842448134</c:v>
                </c:pt>
                <c:pt idx="26">
                  <c:v>18620092.695053231</c:v>
                </c:pt>
                <c:pt idx="27">
                  <c:v>18865354.093304358</c:v>
                </c:pt>
                <c:pt idx="28">
                  <c:v>12310195.29466781</c:v>
                </c:pt>
                <c:pt idx="29">
                  <c:v>11725781.50498094</c:v>
                </c:pt>
                <c:pt idx="30">
                  <c:v>10720619.8580286</c:v>
                </c:pt>
                <c:pt idx="31">
                  <c:v>8113705.0002197605</c:v>
                </c:pt>
                <c:pt idx="32">
                  <c:v>4383264.4123861101</c:v>
                </c:pt>
                <c:pt idx="33">
                  <c:v>3097982.6213749498</c:v>
                </c:pt>
                <c:pt idx="34">
                  <c:v>4078918.8092659102</c:v>
                </c:pt>
                <c:pt idx="35">
                  <c:v>4029307.8607086502</c:v>
                </c:pt>
                <c:pt idx="36">
                  <c:v>6991340.04175233</c:v>
                </c:pt>
                <c:pt idx="37">
                  <c:v>7092461.6938837301</c:v>
                </c:pt>
                <c:pt idx="38">
                  <c:v>6460896.8219586201</c:v>
                </c:pt>
                <c:pt idx="39">
                  <c:v>7740611.1429818198</c:v>
                </c:pt>
                <c:pt idx="40">
                  <c:v>8028013.7073947499</c:v>
                </c:pt>
                <c:pt idx="41">
                  <c:v>11017433.337539509</c:v>
                </c:pt>
                <c:pt idx="42">
                  <c:v>12138091.181414099</c:v>
                </c:pt>
                <c:pt idx="43">
                  <c:v>7471897.6813083701</c:v>
                </c:pt>
                <c:pt idx="44">
                  <c:v>4804092.6729069706</c:v>
                </c:pt>
                <c:pt idx="45">
                  <c:v>5604690.9074175199</c:v>
                </c:pt>
                <c:pt idx="46">
                  <c:v>6435112.7408867404</c:v>
                </c:pt>
                <c:pt idx="47">
                  <c:v>12421001.77479597</c:v>
                </c:pt>
                <c:pt idx="48">
                  <c:v>13672261.825314039</c:v>
                </c:pt>
                <c:pt idx="49">
                  <c:v>13652829.036384359</c:v>
                </c:pt>
                <c:pt idx="50">
                  <c:v>15592003.754576661</c:v>
                </c:pt>
                <c:pt idx="51">
                  <c:v>16118234.785415009</c:v>
                </c:pt>
                <c:pt idx="52">
                  <c:v>16594926.437361609</c:v>
                </c:pt>
                <c:pt idx="53">
                  <c:v>17190008.717546001</c:v>
                </c:pt>
                <c:pt idx="54">
                  <c:v>18253637.934620459</c:v>
                </c:pt>
                <c:pt idx="55">
                  <c:v>20081336.859457709</c:v>
                </c:pt>
                <c:pt idx="56">
                  <c:v>20527691.231325671</c:v>
                </c:pt>
                <c:pt idx="57">
                  <c:v>18613342.440120749</c:v>
                </c:pt>
                <c:pt idx="58">
                  <c:v>19703319.29060822</c:v>
                </c:pt>
                <c:pt idx="59">
                  <c:v>21920933.386204481</c:v>
                </c:pt>
                <c:pt idx="60">
                  <c:v>19647872.062334798</c:v>
                </c:pt>
                <c:pt idx="61">
                  <c:v>20007583.354764119</c:v>
                </c:pt>
                <c:pt idx="62">
                  <c:v>20753546.65216215</c:v>
                </c:pt>
                <c:pt idx="63">
                  <c:v>22787143.29231092</c:v>
                </c:pt>
                <c:pt idx="64">
                  <c:v>24218049.372077808</c:v>
                </c:pt>
                <c:pt idx="65">
                  <c:v>24515640.066375319</c:v>
                </c:pt>
                <c:pt idx="66">
                  <c:v>24668940.100869939</c:v>
                </c:pt>
                <c:pt idx="67">
                  <c:v>23934055.988066792</c:v>
                </c:pt>
                <c:pt idx="68">
                  <c:v>25220914.37776969</c:v>
                </c:pt>
                <c:pt idx="69">
                  <c:v>24829292.03703725</c:v>
                </c:pt>
                <c:pt idx="70">
                  <c:v>22921624.62567598</c:v>
                </c:pt>
                <c:pt idx="71">
                  <c:v>24998624.250847302</c:v>
                </c:pt>
                <c:pt idx="72">
                  <c:v>26461972.603065699</c:v>
                </c:pt>
                <c:pt idx="73">
                  <c:v>28754441.543506</c:v>
                </c:pt>
                <c:pt idx="74">
                  <c:v>25338223.350540698</c:v>
                </c:pt>
                <c:pt idx="75">
                  <c:v>20035751.8346509</c:v>
                </c:pt>
                <c:pt idx="76">
                  <c:v>21989969.211194202</c:v>
                </c:pt>
                <c:pt idx="77">
                  <c:v>25254001.634567</c:v>
                </c:pt>
                <c:pt idx="78">
                  <c:v>28207263.1637601</c:v>
                </c:pt>
                <c:pt idx="79">
                  <c:v>27903260.700394399</c:v>
                </c:pt>
                <c:pt idx="80">
                  <c:v>23531022.616381899</c:v>
                </c:pt>
                <c:pt idx="81">
                  <c:v>21479096.769307099</c:v>
                </c:pt>
                <c:pt idx="82">
                  <c:v>17520837.002327699</c:v>
                </c:pt>
                <c:pt idx="83">
                  <c:v>20488318.3015889</c:v>
                </c:pt>
                <c:pt idx="84">
                  <c:v>25417831.485439397</c:v>
                </c:pt>
                <c:pt idx="85">
                  <c:v>26163391.317028202</c:v>
                </c:pt>
                <c:pt idx="86">
                  <c:v>27876754.4052159</c:v>
                </c:pt>
                <c:pt idx="87">
                  <c:v>28511493.114454001</c:v>
                </c:pt>
                <c:pt idx="88">
                  <c:v>28533268.351507701</c:v>
                </c:pt>
                <c:pt idx="89">
                  <c:v>28499319.8785359</c:v>
                </c:pt>
                <c:pt idx="90">
                  <c:v>27961777.7297052</c:v>
                </c:pt>
                <c:pt idx="91">
                  <c:v>23694825.084985398</c:v>
                </c:pt>
                <c:pt idx="92">
                  <c:v>25396983.948109098</c:v>
                </c:pt>
                <c:pt idx="93">
                  <c:v>26156998.2973212</c:v>
                </c:pt>
                <c:pt idx="94">
                  <c:v>28690220.016906999</c:v>
                </c:pt>
                <c:pt idx="95">
                  <c:v>27128307.712290801</c:v>
                </c:pt>
                <c:pt idx="96">
                  <c:v>27463117.886064403</c:v>
                </c:pt>
                <c:pt idx="97">
                  <c:v>29174307.988150001</c:v>
                </c:pt>
                <c:pt idx="98">
                  <c:v>32518278.298579901</c:v>
                </c:pt>
                <c:pt idx="99">
                  <c:v>34150720.483308099</c:v>
                </c:pt>
                <c:pt idx="100">
                  <c:v>35083375.936367199</c:v>
                </c:pt>
                <c:pt idx="101">
                  <c:v>35814734.678044096</c:v>
                </c:pt>
                <c:pt idx="102">
                  <c:v>34049505.974554896</c:v>
                </c:pt>
                <c:pt idx="103">
                  <c:v>36357809.700025395</c:v>
                </c:pt>
                <c:pt idx="104">
                  <c:v>39979209.027945802</c:v>
                </c:pt>
                <c:pt idx="105">
                  <c:v>43480141.143127605</c:v>
                </c:pt>
                <c:pt idx="106">
                  <c:v>43461624.536937699</c:v>
                </c:pt>
                <c:pt idx="107">
                  <c:v>36187060.971798003</c:v>
                </c:pt>
                <c:pt idx="108">
                  <c:v>25591566.2616916</c:v>
                </c:pt>
                <c:pt idx="109">
                  <c:v>13797907.852339402</c:v>
                </c:pt>
                <c:pt idx="110">
                  <c:v>13571286.041291699</c:v>
                </c:pt>
                <c:pt idx="111">
                  <c:v>15515103.2395989</c:v>
                </c:pt>
                <c:pt idx="112">
                  <c:v>18246831.970430199</c:v>
                </c:pt>
                <c:pt idx="113">
                  <c:v>19475316.664985102</c:v>
                </c:pt>
                <c:pt idx="114">
                  <c:v>23093532.671732999</c:v>
                </c:pt>
                <c:pt idx="115">
                  <c:v>24912238.350400899</c:v>
                </c:pt>
                <c:pt idx="116">
                  <c:v>26517144.216821902</c:v>
                </c:pt>
                <c:pt idx="117">
                  <c:v>27361240.367144998</c:v>
                </c:pt>
                <c:pt idx="118">
                  <c:v>27797981.374396101</c:v>
                </c:pt>
                <c:pt idx="119">
                  <c:v>35224902.528471999</c:v>
                </c:pt>
              </c:numCache>
            </c:numRef>
          </c:yVal>
          <c:smooth val="1"/>
          <c:extLst>
            <c:ext xmlns:c16="http://schemas.microsoft.com/office/drawing/2014/chart" uri="{C3380CC4-5D6E-409C-BE32-E72D297353CC}">
              <c16:uniqueId val="{00000002-AD47-4CCC-B8D5-BEAEDE5ADF49}"/>
            </c:ext>
          </c:extLst>
        </c:ser>
        <c:dLbls>
          <c:showLegendKey val="0"/>
          <c:showVal val="0"/>
          <c:showCatName val="0"/>
          <c:showSerName val="0"/>
          <c:showPercent val="0"/>
          <c:showBubbleSize val="0"/>
        </c:dLbls>
        <c:axId val="408612544"/>
        <c:axId val="1535214032"/>
      </c:scatterChart>
      <c:valAx>
        <c:axId val="408612544"/>
        <c:scaling>
          <c:orientation val="minMax"/>
          <c:max val="2120"/>
          <c:min val="1900"/>
        </c:scaling>
        <c:delete val="1"/>
        <c:axPos val="b"/>
        <c:numFmt formatCode="General" sourceLinked="1"/>
        <c:majorTickMark val="out"/>
        <c:minorTickMark val="none"/>
        <c:tickLblPos val="nextTo"/>
        <c:crossAx val="1535214032"/>
        <c:crosses val="autoZero"/>
        <c:crossBetween val="midCat"/>
      </c:valAx>
      <c:valAx>
        <c:axId val="1535214032"/>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Annual CO2 flux (kg)</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408612544"/>
        <c:crosses val="autoZero"/>
        <c:crossBetween val="midCat"/>
      </c:valAx>
      <c:spPr>
        <a:noFill/>
        <a:ln>
          <a:noFill/>
        </a:ln>
        <a:effectLst/>
      </c:spPr>
    </c:plotArea>
    <c:legend>
      <c:legendPos val="b"/>
      <c:layout>
        <c:manualLayout>
          <c:xMode val="edge"/>
          <c:yMode val="edge"/>
          <c:x val="0.59066260040860763"/>
          <c:y val="0.10293628946515701"/>
          <c:w val="0.4068701936070418"/>
          <c:h val="0.56617599102228178"/>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96096387158878"/>
          <c:y val="7.0940857566804752E-2"/>
          <c:w val="0.80319628538384513"/>
          <c:h val="0.63192409683706352"/>
        </c:manualLayout>
      </c:layout>
      <c:scatterChart>
        <c:scatterStyle val="smoothMarker"/>
        <c:varyColors val="0"/>
        <c:ser>
          <c:idx val="0"/>
          <c:order val="0"/>
          <c:tx>
            <c:strRef>
              <c:f>'SDS19'!$H$4</c:f>
              <c:strCache>
                <c:ptCount val="1"/>
                <c:pt idx="0">
                  <c:v>Uptake of CO2 by cement</c:v>
                </c:pt>
              </c:strCache>
            </c:strRef>
          </c:tx>
          <c:spPr>
            <a:ln w="19050" cap="rnd">
              <a:solidFill>
                <a:schemeClr val="accent3"/>
              </a:solidFill>
              <a:round/>
            </a:ln>
            <a:effectLst/>
          </c:spPr>
          <c:marker>
            <c:symbol val="none"/>
          </c:marker>
          <c:xVal>
            <c:numRef>
              <c:f>'SDS19'!$B$5:$B$223</c:f>
              <c:numCache>
                <c:formatCode>General</c:formatCode>
                <c:ptCount val="219"/>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pt idx="16">
                  <c:v>1916</c:v>
                </c:pt>
                <c:pt idx="17">
                  <c:v>1917</c:v>
                </c:pt>
                <c:pt idx="18">
                  <c:v>1918</c:v>
                </c:pt>
                <c:pt idx="19">
                  <c:v>1919</c:v>
                </c:pt>
                <c:pt idx="20">
                  <c:v>1920</c:v>
                </c:pt>
                <c:pt idx="21">
                  <c:v>1921</c:v>
                </c:pt>
                <c:pt idx="22">
                  <c:v>1922</c:v>
                </c:pt>
                <c:pt idx="23">
                  <c:v>1923</c:v>
                </c:pt>
                <c:pt idx="24">
                  <c:v>1924</c:v>
                </c:pt>
                <c:pt idx="25">
                  <c:v>1925</c:v>
                </c:pt>
                <c:pt idx="26">
                  <c:v>1926</c:v>
                </c:pt>
                <c:pt idx="27">
                  <c:v>1927</c:v>
                </c:pt>
                <c:pt idx="28">
                  <c:v>1928</c:v>
                </c:pt>
                <c:pt idx="29">
                  <c:v>1929</c:v>
                </c:pt>
                <c:pt idx="30">
                  <c:v>1930</c:v>
                </c:pt>
                <c:pt idx="31">
                  <c:v>1931</c:v>
                </c:pt>
                <c:pt idx="32">
                  <c:v>1932</c:v>
                </c:pt>
                <c:pt idx="33">
                  <c:v>1933</c:v>
                </c:pt>
                <c:pt idx="34">
                  <c:v>1934</c:v>
                </c:pt>
                <c:pt idx="35">
                  <c:v>1935</c:v>
                </c:pt>
                <c:pt idx="36">
                  <c:v>1936</c:v>
                </c:pt>
                <c:pt idx="37">
                  <c:v>1937</c:v>
                </c:pt>
                <c:pt idx="38">
                  <c:v>1938</c:v>
                </c:pt>
                <c:pt idx="39">
                  <c:v>1939</c:v>
                </c:pt>
                <c:pt idx="40">
                  <c:v>1940</c:v>
                </c:pt>
                <c:pt idx="41">
                  <c:v>1941</c:v>
                </c:pt>
                <c:pt idx="42">
                  <c:v>1942</c:v>
                </c:pt>
                <c:pt idx="43">
                  <c:v>1943</c:v>
                </c:pt>
                <c:pt idx="44">
                  <c:v>1944</c:v>
                </c:pt>
                <c:pt idx="45">
                  <c:v>1945</c:v>
                </c:pt>
                <c:pt idx="46">
                  <c:v>1946</c:v>
                </c:pt>
                <c:pt idx="47">
                  <c:v>1947</c:v>
                </c:pt>
                <c:pt idx="48">
                  <c:v>1948</c:v>
                </c:pt>
                <c:pt idx="49">
                  <c:v>1949</c:v>
                </c:pt>
                <c:pt idx="50">
                  <c:v>1950</c:v>
                </c:pt>
                <c:pt idx="51">
                  <c:v>1951</c:v>
                </c:pt>
                <c:pt idx="52">
                  <c:v>1952</c:v>
                </c:pt>
                <c:pt idx="53">
                  <c:v>1953</c:v>
                </c:pt>
                <c:pt idx="54">
                  <c:v>1954</c:v>
                </c:pt>
                <c:pt idx="55">
                  <c:v>1955</c:v>
                </c:pt>
                <c:pt idx="56">
                  <c:v>1956</c:v>
                </c:pt>
                <c:pt idx="57">
                  <c:v>1957</c:v>
                </c:pt>
                <c:pt idx="58">
                  <c:v>1958</c:v>
                </c:pt>
                <c:pt idx="59">
                  <c:v>1959</c:v>
                </c:pt>
                <c:pt idx="60">
                  <c:v>1960</c:v>
                </c:pt>
                <c:pt idx="61">
                  <c:v>1961</c:v>
                </c:pt>
                <c:pt idx="62">
                  <c:v>1962</c:v>
                </c:pt>
                <c:pt idx="63">
                  <c:v>1963</c:v>
                </c:pt>
                <c:pt idx="64">
                  <c:v>1964</c:v>
                </c:pt>
                <c:pt idx="65">
                  <c:v>1965</c:v>
                </c:pt>
                <c:pt idx="66">
                  <c:v>1966</c:v>
                </c:pt>
                <c:pt idx="67">
                  <c:v>1967</c:v>
                </c:pt>
                <c:pt idx="68">
                  <c:v>1968</c:v>
                </c:pt>
                <c:pt idx="69">
                  <c:v>1969</c:v>
                </c:pt>
                <c:pt idx="70">
                  <c:v>1970</c:v>
                </c:pt>
                <c:pt idx="71">
                  <c:v>1971</c:v>
                </c:pt>
                <c:pt idx="72">
                  <c:v>1972</c:v>
                </c:pt>
                <c:pt idx="73">
                  <c:v>1973</c:v>
                </c:pt>
                <c:pt idx="74">
                  <c:v>1974</c:v>
                </c:pt>
                <c:pt idx="75">
                  <c:v>1975</c:v>
                </c:pt>
                <c:pt idx="76">
                  <c:v>1976</c:v>
                </c:pt>
                <c:pt idx="77">
                  <c:v>1977</c:v>
                </c:pt>
                <c:pt idx="78">
                  <c:v>1978</c:v>
                </c:pt>
                <c:pt idx="79">
                  <c:v>1979</c:v>
                </c:pt>
                <c:pt idx="80">
                  <c:v>1980</c:v>
                </c:pt>
                <c:pt idx="81">
                  <c:v>1981</c:v>
                </c:pt>
                <c:pt idx="82">
                  <c:v>1982</c:v>
                </c:pt>
                <c:pt idx="83">
                  <c:v>1983</c:v>
                </c:pt>
                <c:pt idx="84">
                  <c:v>1984</c:v>
                </c:pt>
                <c:pt idx="85">
                  <c:v>1985</c:v>
                </c:pt>
                <c:pt idx="86">
                  <c:v>1986</c:v>
                </c:pt>
                <c:pt idx="87">
                  <c:v>1987</c:v>
                </c:pt>
                <c:pt idx="88">
                  <c:v>1988</c:v>
                </c:pt>
                <c:pt idx="89">
                  <c:v>1989</c:v>
                </c:pt>
                <c:pt idx="90">
                  <c:v>1990</c:v>
                </c:pt>
                <c:pt idx="91">
                  <c:v>1991</c:v>
                </c:pt>
                <c:pt idx="92">
                  <c:v>1992</c:v>
                </c:pt>
                <c:pt idx="93">
                  <c:v>1993</c:v>
                </c:pt>
                <c:pt idx="94">
                  <c:v>1994</c:v>
                </c:pt>
                <c:pt idx="95">
                  <c:v>1995</c:v>
                </c:pt>
                <c:pt idx="96">
                  <c:v>1996</c:v>
                </c:pt>
                <c:pt idx="97">
                  <c:v>1997</c:v>
                </c:pt>
                <c:pt idx="98">
                  <c:v>1998</c:v>
                </c:pt>
                <c:pt idx="99">
                  <c:v>1999</c:v>
                </c:pt>
                <c:pt idx="100">
                  <c:v>2000</c:v>
                </c:pt>
                <c:pt idx="101">
                  <c:v>2001</c:v>
                </c:pt>
                <c:pt idx="102">
                  <c:v>2002</c:v>
                </c:pt>
                <c:pt idx="103">
                  <c:v>2003</c:v>
                </c:pt>
                <c:pt idx="104">
                  <c:v>2004</c:v>
                </c:pt>
                <c:pt idx="105">
                  <c:v>2005</c:v>
                </c:pt>
                <c:pt idx="106">
                  <c:v>2006</c:v>
                </c:pt>
                <c:pt idx="107">
                  <c:v>2007</c:v>
                </c:pt>
                <c:pt idx="108">
                  <c:v>2008</c:v>
                </c:pt>
                <c:pt idx="109">
                  <c:v>2009</c:v>
                </c:pt>
                <c:pt idx="110">
                  <c:v>2010</c:v>
                </c:pt>
                <c:pt idx="111">
                  <c:v>2011</c:v>
                </c:pt>
                <c:pt idx="112">
                  <c:v>2012</c:v>
                </c:pt>
                <c:pt idx="113">
                  <c:v>2013</c:v>
                </c:pt>
                <c:pt idx="114">
                  <c:v>2014</c:v>
                </c:pt>
                <c:pt idx="115">
                  <c:v>2015</c:v>
                </c:pt>
                <c:pt idx="116">
                  <c:v>2016</c:v>
                </c:pt>
                <c:pt idx="117">
                  <c:v>2017</c:v>
                </c:pt>
                <c:pt idx="118">
                  <c:v>2018</c:v>
                </c:pt>
                <c:pt idx="119">
                  <c:v>2019</c:v>
                </c:pt>
                <c:pt idx="120">
                  <c:v>2020</c:v>
                </c:pt>
                <c:pt idx="121">
                  <c:v>2021</c:v>
                </c:pt>
                <c:pt idx="122">
                  <c:v>2022</c:v>
                </c:pt>
                <c:pt idx="123">
                  <c:v>2023</c:v>
                </c:pt>
                <c:pt idx="124">
                  <c:v>2024</c:v>
                </c:pt>
                <c:pt idx="125">
                  <c:v>2025</c:v>
                </c:pt>
                <c:pt idx="126">
                  <c:v>2026</c:v>
                </c:pt>
                <c:pt idx="127">
                  <c:v>2027</c:v>
                </c:pt>
                <c:pt idx="128">
                  <c:v>2028</c:v>
                </c:pt>
                <c:pt idx="129">
                  <c:v>2029</c:v>
                </c:pt>
                <c:pt idx="130">
                  <c:v>2030</c:v>
                </c:pt>
                <c:pt idx="131">
                  <c:v>2031</c:v>
                </c:pt>
                <c:pt idx="132">
                  <c:v>2032</c:v>
                </c:pt>
                <c:pt idx="133">
                  <c:v>2033</c:v>
                </c:pt>
                <c:pt idx="134">
                  <c:v>2034</c:v>
                </c:pt>
                <c:pt idx="135">
                  <c:v>2035</c:v>
                </c:pt>
                <c:pt idx="136">
                  <c:v>2036</c:v>
                </c:pt>
                <c:pt idx="137">
                  <c:v>2037</c:v>
                </c:pt>
                <c:pt idx="138">
                  <c:v>2038</c:v>
                </c:pt>
                <c:pt idx="139">
                  <c:v>2039</c:v>
                </c:pt>
                <c:pt idx="140">
                  <c:v>2040</c:v>
                </c:pt>
                <c:pt idx="141">
                  <c:v>2041</c:v>
                </c:pt>
                <c:pt idx="142">
                  <c:v>2042</c:v>
                </c:pt>
                <c:pt idx="143">
                  <c:v>2043</c:v>
                </c:pt>
                <c:pt idx="144">
                  <c:v>2044</c:v>
                </c:pt>
                <c:pt idx="145">
                  <c:v>2045</c:v>
                </c:pt>
                <c:pt idx="146">
                  <c:v>2046</c:v>
                </c:pt>
                <c:pt idx="147">
                  <c:v>2047</c:v>
                </c:pt>
                <c:pt idx="148">
                  <c:v>2048</c:v>
                </c:pt>
                <c:pt idx="149">
                  <c:v>2049</c:v>
                </c:pt>
                <c:pt idx="150">
                  <c:v>2050</c:v>
                </c:pt>
                <c:pt idx="151">
                  <c:v>2051</c:v>
                </c:pt>
                <c:pt idx="152">
                  <c:v>2052</c:v>
                </c:pt>
                <c:pt idx="153">
                  <c:v>2053</c:v>
                </c:pt>
                <c:pt idx="154">
                  <c:v>2054</c:v>
                </c:pt>
                <c:pt idx="155">
                  <c:v>2055</c:v>
                </c:pt>
                <c:pt idx="156">
                  <c:v>2056</c:v>
                </c:pt>
                <c:pt idx="157">
                  <c:v>2057</c:v>
                </c:pt>
                <c:pt idx="158">
                  <c:v>2058</c:v>
                </c:pt>
                <c:pt idx="159">
                  <c:v>2059</c:v>
                </c:pt>
                <c:pt idx="160">
                  <c:v>2060</c:v>
                </c:pt>
                <c:pt idx="161">
                  <c:v>2061</c:v>
                </c:pt>
                <c:pt idx="162">
                  <c:v>2062</c:v>
                </c:pt>
                <c:pt idx="163">
                  <c:v>2063</c:v>
                </c:pt>
                <c:pt idx="164">
                  <c:v>2064</c:v>
                </c:pt>
                <c:pt idx="165">
                  <c:v>2065</c:v>
                </c:pt>
                <c:pt idx="166">
                  <c:v>2066</c:v>
                </c:pt>
                <c:pt idx="167">
                  <c:v>2067</c:v>
                </c:pt>
                <c:pt idx="168">
                  <c:v>2068</c:v>
                </c:pt>
                <c:pt idx="169">
                  <c:v>2069</c:v>
                </c:pt>
                <c:pt idx="170">
                  <c:v>2070</c:v>
                </c:pt>
                <c:pt idx="171">
                  <c:v>2071</c:v>
                </c:pt>
                <c:pt idx="172">
                  <c:v>2072</c:v>
                </c:pt>
                <c:pt idx="173">
                  <c:v>2073</c:v>
                </c:pt>
                <c:pt idx="174">
                  <c:v>2074</c:v>
                </c:pt>
                <c:pt idx="175">
                  <c:v>2075</c:v>
                </c:pt>
                <c:pt idx="176">
                  <c:v>2076</c:v>
                </c:pt>
                <c:pt idx="177">
                  <c:v>2077</c:v>
                </c:pt>
                <c:pt idx="178">
                  <c:v>2078</c:v>
                </c:pt>
                <c:pt idx="179">
                  <c:v>2079</c:v>
                </c:pt>
                <c:pt idx="180">
                  <c:v>2080</c:v>
                </c:pt>
                <c:pt idx="181">
                  <c:v>2081</c:v>
                </c:pt>
                <c:pt idx="182">
                  <c:v>2082</c:v>
                </c:pt>
                <c:pt idx="183">
                  <c:v>2083</c:v>
                </c:pt>
                <c:pt idx="184">
                  <c:v>2084</c:v>
                </c:pt>
                <c:pt idx="185">
                  <c:v>2085</c:v>
                </c:pt>
                <c:pt idx="186">
                  <c:v>2086</c:v>
                </c:pt>
                <c:pt idx="187">
                  <c:v>2087</c:v>
                </c:pt>
                <c:pt idx="188">
                  <c:v>2088</c:v>
                </c:pt>
                <c:pt idx="189">
                  <c:v>2089</c:v>
                </c:pt>
                <c:pt idx="190">
                  <c:v>2090</c:v>
                </c:pt>
                <c:pt idx="191">
                  <c:v>2091</c:v>
                </c:pt>
                <c:pt idx="192">
                  <c:v>2092</c:v>
                </c:pt>
                <c:pt idx="193">
                  <c:v>2093</c:v>
                </c:pt>
                <c:pt idx="194">
                  <c:v>2094</c:v>
                </c:pt>
                <c:pt idx="195">
                  <c:v>2095</c:v>
                </c:pt>
                <c:pt idx="196">
                  <c:v>2096</c:v>
                </c:pt>
                <c:pt idx="197">
                  <c:v>2097</c:v>
                </c:pt>
                <c:pt idx="198">
                  <c:v>2098</c:v>
                </c:pt>
                <c:pt idx="199">
                  <c:v>2099</c:v>
                </c:pt>
                <c:pt idx="200">
                  <c:v>2100</c:v>
                </c:pt>
                <c:pt idx="201">
                  <c:v>2101</c:v>
                </c:pt>
                <c:pt idx="202">
                  <c:v>2102</c:v>
                </c:pt>
                <c:pt idx="203">
                  <c:v>2103</c:v>
                </c:pt>
                <c:pt idx="204">
                  <c:v>2104</c:v>
                </c:pt>
                <c:pt idx="205">
                  <c:v>2105</c:v>
                </c:pt>
                <c:pt idx="206">
                  <c:v>2106</c:v>
                </c:pt>
                <c:pt idx="207">
                  <c:v>2107</c:v>
                </c:pt>
                <c:pt idx="208">
                  <c:v>2108</c:v>
                </c:pt>
                <c:pt idx="209">
                  <c:v>2109</c:v>
                </c:pt>
                <c:pt idx="210">
                  <c:v>2110</c:v>
                </c:pt>
                <c:pt idx="211">
                  <c:v>2111</c:v>
                </c:pt>
                <c:pt idx="212">
                  <c:v>2112</c:v>
                </c:pt>
                <c:pt idx="213">
                  <c:v>2113</c:v>
                </c:pt>
                <c:pt idx="214">
                  <c:v>2114</c:v>
                </c:pt>
                <c:pt idx="215">
                  <c:v>2115</c:v>
                </c:pt>
                <c:pt idx="216">
                  <c:v>2116</c:v>
                </c:pt>
                <c:pt idx="217">
                  <c:v>2117</c:v>
                </c:pt>
                <c:pt idx="218">
                  <c:v>2118</c:v>
                </c:pt>
              </c:numCache>
            </c:numRef>
          </c:xVal>
          <c:yVal>
            <c:numRef>
              <c:f>'SDS19'!$H$5:$H$223</c:f>
              <c:numCache>
                <c:formatCode>General</c:formatCode>
                <c:ptCount val="219"/>
                <c:pt idx="0">
                  <c:v>0</c:v>
                </c:pt>
                <c:pt idx="1">
                  <c:v>-1.1503679152083121E-10</c:v>
                </c:pt>
                <c:pt idx="2">
                  <c:v>-3.9413694939900035E-10</c:v>
                </c:pt>
                <c:pt idx="3">
                  <c:v>-9.1033263038499439E-10</c:v>
                </c:pt>
                <c:pt idx="4">
                  <c:v>-1.732315818053216E-9</c:v>
                </c:pt>
                <c:pt idx="5">
                  <c:v>-2.9030747296263883E-9</c:v>
                </c:pt>
                <c:pt idx="6">
                  <c:v>-4.5087481783562551E-9</c:v>
                </c:pt>
                <c:pt idx="7">
                  <c:v>-6.6770042089213395E-9</c:v>
                </c:pt>
                <c:pt idx="8">
                  <c:v>-9.4789347823128791E-9</c:v>
                </c:pt>
                <c:pt idx="9">
                  <c:v>-1.2965850275781686E-8</c:v>
                </c:pt>
                <c:pt idx="10">
                  <c:v>-1.7265963139855564E-8</c:v>
                </c:pt>
                <c:pt idx="11">
                  <c:v>-2.2508826221667683E-8</c:v>
                </c:pt>
                <c:pt idx="12">
                  <c:v>-2.8776820822329942E-8</c:v>
                </c:pt>
                <c:pt idx="13">
                  <c:v>-3.6150526716653882E-8</c:v>
                </c:pt>
                <c:pt idx="14">
                  <c:v>-4.4760136696190662E-8</c:v>
                </c:pt>
                <c:pt idx="15">
                  <c:v>-5.4662613327742435E-8</c:v>
                </c:pt>
                <c:pt idx="16">
                  <c:v>-6.5895954089328268E-8</c:v>
                </c:pt>
                <c:pt idx="17">
                  <c:v>-7.8540232270189913E-8</c:v>
                </c:pt>
                <c:pt idx="18">
                  <c:v>-9.2656873419382632E-8</c:v>
                </c:pt>
                <c:pt idx="19">
                  <c:v>-1.0815717306705232E-7</c:v>
                </c:pt>
                <c:pt idx="20">
                  <c:v>-1.2509907701309679E-7</c:v>
                </c:pt>
                <c:pt idx="21">
                  <c:v>-1.4363110438282104E-7</c:v>
                </c:pt>
                <c:pt idx="22">
                  <c:v>-1.6382408860076979E-7</c:v>
                </c:pt>
                <c:pt idx="23">
                  <c:v>-1.8583996147511472E-7</c:v>
                </c:pt>
                <c:pt idx="24">
                  <c:v>-2.0992152643324427E-7</c:v>
                </c:pt>
                <c:pt idx="25">
                  <c:v>-2.3627273046755619E-7</c:v>
                </c:pt>
                <c:pt idx="26">
                  <c:v>-2.6510953446332059E-7</c:v>
                </c:pt>
                <c:pt idx="27">
                  <c:v>-2.9658407120499873E-7</c:v>
                </c:pt>
                <c:pt idx="28">
                  <c:v>-3.308397630852373E-7</c:v>
                </c:pt>
                <c:pt idx="29">
                  <c:v>-3.6801131462181512E-7</c:v>
                </c:pt>
                <c:pt idx="30">
                  <c:v>-4.0816394200143644E-7</c:v>
                </c:pt>
                <c:pt idx="31">
                  <c:v>-4.5130133850414089E-7</c:v>
                </c:pt>
                <c:pt idx="32">
                  <c:v>-4.9726554696323257E-7</c:v>
                </c:pt>
                <c:pt idx="33">
                  <c:v>-5.457352648202281E-7</c:v>
                </c:pt>
                <c:pt idx="34">
                  <c:v>-5.9649892104740031E-7</c:v>
                </c:pt>
                <c:pt idx="35">
                  <c:v>-6.4953368778523692E-7</c:v>
                </c:pt>
                <c:pt idx="36">
                  <c:v>-7.0479732164354761E-7</c:v>
                </c:pt>
                <c:pt idx="37">
                  <c:v>-7.6250073531477621E-7</c:v>
                </c:pt>
                <c:pt idx="38">
                  <c:v>-8.227216584103831E-7</c:v>
                </c:pt>
                <c:pt idx="39">
                  <c:v>-8.8546211040516912E-7</c:v>
                </c:pt>
                <c:pt idx="40">
                  <c:v>-9.5085015845585874E-7</c:v>
                </c:pt>
                <c:pt idx="41">
                  <c:v>-1.0189726552076784E-6</c:v>
                </c:pt>
                <c:pt idx="42">
                  <c:v>-1.090132079999123E-6</c:v>
                </c:pt>
                <c:pt idx="43">
                  <c:v>-1.1645614489629898E-6</c:v>
                </c:pt>
                <c:pt idx="44">
                  <c:v>-1.2420287526393638E-6</c:v>
                </c:pt>
                <c:pt idx="45">
                  <c:v>-1.3222966430731894E-6</c:v>
                </c:pt>
                <c:pt idx="46">
                  <c:v>-1.4055216678063814E-6</c:v>
                </c:pt>
                <c:pt idx="47">
                  <c:v>-1.4919931090703376E-6</c:v>
                </c:pt>
                <c:pt idx="48">
                  <c:v>-1.5823095350246265E-6</c:v>
                </c:pt>
                <c:pt idx="49">
                  <c:v>-1.6769078197640619E-6</c:v>
                </c:pt>
                <c:pt idx="50">
                  <c:v>-1.7760473105950757E-6</c:v>
                </c:pt>
                <c:pt idx="51">
                  <c:v>-1.8801278761204802E-6</c:v>
                </c:pt>
                <c:pt idx="52">
                  <c:v>-1.9896100781937888E-6</c:v>
                </c:pt>
                <c:pt idx="53">
                  <c:v>-2.10488720525808E-6</c:v>
                </c:pt>
                <c:pt idx="54">
                  <c:v>-2.2262005882483174E-6</c:v>
                </c:pt>
                <c:pt idx="55">
                  <c:v>-2.3539322243199422E-6</c:v>
                </c:pt>
                <c:pt idx="56">
                  <c:v>-2.4886735333657975E-6</c:v>
                </c:pt>
                <c:pt idx="57">
                  <c:v>-2.6308238507027618E-6</c:v>
                </c:pt>
                <c:pt idx="58">
                  <c:v>-2.7804831738649432E-6</c:v>
                </c:pt>
                <c:pt idx="59">
                  <c:v>-2.9380061924527163E-6</c:v>
                </c:pt>
                <c:pt idx="60">
                  <c:v>-3.1038465114072264E-6</c:v>
                </c:pt>
                <c:pt idx="61">
                  <c:v>-3.2780593990531431E-6</c:v>
                </c:pt>
                <c:pt idx="62">
                  <c:v>-3.4609144998824994E-6</c:v>
                </c:pt>
                <c:pt idx="63">
                  <c:v>-3.6527295965282157E-6</c:v>
                </c:pt>
                <c:pt idx="64">
                  <c:v>-3.8536971708533236E-6</c:v>
                </c:pt>
                <c:pt idx="65">
                  <c:v>-4.0632566607528832E-6</c:v>
                </c:pt>
                <c:pt idx="66">
                  <c:v>-4.2819432411811609E-6</c:v>
                </c:pt>
                <c:pt idx="67">
                  <c:v>-4.5100691291787294E-6</c:v>
                </c:pt>
                <c:pt idx="68">
                  <c:v>-4.7478557057178431E-6</c:v>
                </c:pt>
                <c:pt idx="69">
                  <c:v>-4.9960342601966246E-6</c:v>
                </c:pt>
                <c:pt idx="70">
                  <c:v>-5.2549589117695847E-6</c:v>
                </c:pt>
                <c:pt idx="71">
                  <c:v>-5.5246655881889721E-6</c:v>
                </c:pt>
                <c:pt idx="72">
                  <c:v>-5.8058402300141751E-6</c:v>
                </c:pt>
                <c:pt idx="73">
                  <c:v>-6.0989972408213277E-6</c:v>
                </c:pt>
                <c:pt idx="74">
                  <c:v>-6.4042569118297458E-6</c:v>
                </c:pt>
                <c:pt idx="75">
                  <c:v>-6.7213405959419848E-6</c:v>
                </c:pt>
                <c:pt idx="76">
                  <c:v>-7.0497983509729596E-6</c:v>
                </c:pt>
                <c:pt idx="77">
                  <c:v>-7.3893634884040276E-6</c:v>
                </c:pt>
                <c:pt idx="78">
                  <c:v>-7.7392317375310911E-6</c:v>
                </c:pt>
                <c:pt idx="79">
                  <c:v>-8.0991315971286883E-6</c:v>
                </c:pt>
                <c:pt idx="80">
                  <c:v>-8.469241947702463E-6</c:v>
                </c:pt>
                <c:pt idx="81">
                  <c:v>-8.8496623543642197E-6</c:v>
                </c:pt>
                <c:pt idx="82">
                  <c:v>-9.2404238880894102E-6</c:v>
                </c:pt>
                <c:pt idx="83">
                  <c:v>-9.6427796448001256E-6</c:v>
                </c:pt>
                <c:pt idx="84">
                  <c:v>-1.0056679849131899E-5</c:v>
                </c:pt>
                <c:pt idx="85">
                  <c:v>-1.0482117360755768E-5</c:v>
                </c:pt>
                <c:pt idx="86">
                  <c:v>-1.091985566581798E-5</c:v>
                </c:pt>
                <c:pt idx="87">
                  <c:v>-1.1370089292479785E-5</c:v>
                </c:pt>
                <c:pt idx="88">
                  <c:v>-1.1832675904016704E-5</c:v>
                </c:pt>
                <c:pt idx="89">
                  <c:v>-1.2307118920106421E-5</c:v>
                </c:pt>
                <c:pt idx="90">
                  <c:v>-1.2792165559322674E-5</c:v>
                </c:pt>
                <c:pt idx="91">
                  <c:v>-1.3287485367183738E-5</c:v>
                </c:pt>
                <c:pt idx="92">
                  <c:v>-1.3792742265039348E-5</c:v>
                </c:pt>
                <c:pt idx="93">
                  <c:v>-1.4308619552720334E-5</c:v>
                </c:pt>
                <c:pt idx="94">
                  <c:v>-1.4836657734470512E-5</c:v>
                </c:pt>
                <c:pt idx="95">
                  <c:v>-1.5377961992653948E-5</c:v>
                </c:pt>
                <c:pt idx="96">
                  <c:v>-1.5934561151993156E-5</c:v>
                </c:pt>
                <c:pt idx="97">
                  <c:v>-1.6509126975024954E-5</c:v>
                </c:pt>
                <c:pt idx="98">
                  <c:v>-1.7102943711179674E-5</c:v>
                </c:pt>
                <c:pt idx="99">
                  <c:v>-1.7715956345333138E-5</c:v>
                </c:pt>
                <c:pt idx="100">
                  <c:v>-1.8349388053585532E-5</c:v>
                </c:pt>
                <c:pt idx="101">
                  <c:v>-1.8971195153555444E-5</c:v>
                </c:pt>
                <c:pt idx="102">
                  <c:v>-1.9582899304135866E-5</c:v>
                </c:pt>
                <c:pt idx="103">
                  <c:v>-2.0185727922552276E-5</c:v>
                </c:pt>
                <c:pt idx="104">
                  <c:v>-2.0780674621681846E-5</c:v>
                </c:pt>
                <c:pt idx="105">
                  <c:v>-2.1368547132475427E-5</c:v>
                </c:pt>
                <c:pt idx="106">
                  <c:v>-2.1950005305721443E-5</c:v>
                </c:pt>
                <c:pt idx="107">
                  <c:v>-2.2525591249551301E-5</c:v>
                </c:pt>
                <c:pt idx="108">
                  <c:v>-2.3095753232753708E-5</c:v>
                </c:pt>
                <c:pt idx="109">
                  <c:v>-2.3660864646021753E-5</c:v>
                </c:pt>
                <c:pt idx="110">
                  <c:v>-2.4221239045377664E-5</c:v>
                </c:pt>
                <c:pt idx="111">
                  <c:v>-2.4777142089678409E-5</c:v>
                </c:pt>
                <c:pt idx="112">
                  <c:v>-2.5328801015786797E-5</c:v>
                </c:pt>
                <c:pt idx="113">
                  <c:v>-2.5876412161571566E-5</c:v>
                </c:pt>
                <c:pt idx="114">
                  <c:v>-2.6420146941139115E-5</c:v>
                </c:pt>
                <c:pt idx="115">
                  <c:v>-2.696015659286561E-5</c:v>
                </c:pt>
                <c:pt idx="116">
                  <c:v>-2.7496575954345424E-5</c:v>
                </c:pt>
                <c:pt idx="117">
                  <c:v>-2.8029526465695073E-5</c:v>
                </c:pt>
                <c:pt idx="118">
                  <c:v>-2.8559118560897345E-5</c:v>
                </c:pt>
                <c:pt idx="119">
                  <c:v>-2.9085453573771193E-5</c:v>
                </c:pt>
                <c:pt idx="120">
                  <c:v>-2.9608625258916726E-5</c:v>
                </c:pt>
                <c:pt idx="121">
                  <c:v>-3.0128721007186969E-5</c:v>
                </c:pt>
                <c:pt idx="122">
                  <c:v>-3.0645822818752771E-5</c:v>
                </c:pt>
                <c:pt idx="123">
                  <c:v>-3.1160008083759072E-5</c:v>
                </c:pt>
                <c:pt idx="124">
                  <c:v>-3.167135021021129E-5</c:v>
                </c:pt>
                <c:pt idx="125">
                  <c:v>-3.2179919130520437E-5</c:v>
                </c:pt>
                <c:pt idx="126">
                  <c:v>-3.2685781711625047E-5</c:v>
                </c:pt>
                <c:pt idx="127">
                  <c:v>-3.3189002088449094E-5</c:v>
                </c:pt>
                <c:pt idx="128">
                  <c:v>-3.3689641936364446E-5</c:v>
                </c:pt>
                <c:pt idx="129">
                  <c:v>-3.4187760695083906E-5</c:v>
                </c:pt>
                <c:pt idx="130">
                  <c:v>-3.4683415753841158E-5</c:v>
                </c:pt>
                <c:pt idx="131">
                  <c:v>-3.5176662605675328E-5</c:v>
                </c:pt>
                <c:pt idx="132">
                  <c:v>-3.5667554977023602E-5</c:v>
                </c:pt>
                <c:pt idx="133">
                  <c:v>-3.6156144937543999E-5</c:v>
                </c:pt>
                <c:pt idx="134">
                  <c:v>-3.6642482994075777E-5</c:v>
                </c:pt>
                <c:pt idx="135">
                  <c:v>-3.7126618171839316E-5</c:v>
                </c:pt>
                <c:pt idx="136">
                  <c:v>-3.7608598085340215E-5</c:v>
                </c:pt>
                <c:pt idx="137">
                  <c:v>-3.8088469000935092E-5</c:v>
                </c:pt>
                <c:pt idx="138">
                  <c:v>-3.8566275892616712E-5</c:v>
                </c:pt>
                <c:pt idx="139">
                  <c:v>-3.9042062492256768E-5</c:v>
                </c:pt>
                <c:pt idx="140">
                  <c:v>-3.9515871335292923E-5</c:v>
                </c:pt>
                <c:pt idx="141">
                  <c:v>-3.9987743802646375E-5</c:v>
                </c:pt>
                <c:pt idx="142">
                  <c:v>-4.0457720159497854E-5</c:v>
                </c:pt>
                <c:pt idx="143">
                  <c:v>-4.0925839591423212E-5</c:v>
                </c:pt>
                <c:pt idx="144">
                  <c:v>-4.1392140238290496E-5</c:v>
                </c:pt>
                <c:pt idx="145">
                  <c:v>-4.1856659226240904E-5</c:v>
                </c:pt>
                <c:pt idx="146">
                  <c:v>-4.2319432698012931E-5</c:v>
                </c:pt>
                <c:pt idx="147">
                  <c:v>-4.2780495841818614E-5</c:v>
                </c:pt>
                <c:pt idx="148">
                  <c:v>-4.323988291894209E-5</c:v>
                </c:pt>
                <c:pt idx="149">
                  <c:v>-4.3697627290197689E-5</c:v>
                </c:pt>
                <c:pt idx="150">
                  <c:v>-4.4153761441360765E-5</c:v>
                </c:pt>
                <c:pt idx="151">
                  <c:v>-4.4608317007663681E-5</c:v>
                </c:pt>
                <c:pt idx="152">
                  <c:v>-4.5061324797433924E-5</c:v>
                </c:pt>
                <c:pt idx="153">
                  <c:v>-4.5512814814938002E-5</c:v>
                </c:pt>
                <c:pt idx="154">
                  <c:v>-4.5962816282485309E-5</c:v>
                </c:pt>
                <c:pt idx="155">
                  <c:v>-4.6411357661837342E-5</c:v>
                </c:pt>
                <c:pt idx="156">
                  <c:v>-4.6858466674961327E-5</c:v>
                </c:pt>
                <c:pt idx="157">
                  <c:v>-4.7304170324162285E-5</c:v>
                </c:pt>
                <c:pt idx="158">
                  <c:v>-4.7748494911622851E-5</c:v>
                </c:pt>
                <c:pt idx="159">
                  <c:v>-4.8191466058377112E-5</c:v>
                </c:pt>
                <c:pt idx="160">
                  <c:v>-4.8633108722741686E-5</c:v>
                </c:pt>
                <c:pt idx="161">
                  <c:v>-4.9073447218225075E-5</c:v>
                </c:pt>
                <c:pt idx="162">
                  <c:v>-4.9512505230934613E-5</c:v>
                </c:pt>
                <c:pt idx="163">
                  <c:v>-4.9950305836498204E-5</c:v>
                </c:pt>
                <c:pt idx="164">
                  <c:v>-5.0386871516517321E-5</c:v>
                </c:pt>
                <c:pt idx="165">
                  <c:v>-5.0822224174566526E-5</c:v>
                </c:pt>
                <c:pt idx="166">
                  <c:v>-5.1256385151753506E-5</c:v>
                </c:pt>
                <c:pt idx="167">
                  <c:v>-5.1689375241853458E-5</c:v>
                </c:pt>
                <c:pt idx="168">
                  <c:v>-5.2121214706029931E-5</c:v>
                </c:pt>
                <c:pt idx="169">
                  <c:v>-5.2551923287154805E-5</c:v>
                </c:pt>
                <c:pt idx="170">
                  <c:v>-5.2981520223739229E-5</c:v>
                </c:pt>
                <c:pt idx="171">
                  <c:v>-5.3410024263485486E-5</c:v>
                </c:pt>
                <c:pt idx="172">
                  <c:v>-5.383745367647223E-5</c:v>
                </c:pt>
                <c:pt idx="173">
                  <c:v>-5.4263826267981694E-5</c:v>
                </c:pt>
                <c:pt idx="174">
                  <c:v>-5.468915939098002E-5</c:v>
                </c:pt>
                <c:pt idx="175">
                  <c:v>-5.5113469958259807E-5</c:v>
                </c:pt>
                <c:pt idx="176">
                  <c:v>-5.5536774454254278E-5</c:v>
                </c:pt>
                <c:pt idx="177">
                  <c:v>-5.5959088946532164E-5</c:v>
                </c:pt>
                <c:pt idx="178">
                  <c:v>-5.6380429096981816E-5</c:v>
                </c:pt>
                <c:pt idx="179">
                  <c:v>-5.6800810172693444E-5</c:v>
                </c:pt>
                <c:pt idx="180">
                  <c:v>-5.7220247056547228E-5</c:v>
                </c:pt>
                <c:pt idx="181">
                  <c:v>-5.7638754257515738E-5</c:v>
                </c:pt>
                <c:pt idx="182">
                  <c:v>-5.8056345920688057E-5</c:v>
                </c:pt>
                <c:pt idx="183">
                  <c:v>-5.8473035837023352E-5</c:v>
                </c:pt>
                <c:pt idx="184">
                  <c:v>-5.888883745284139E-5</c:v>
                </c:pt>
                <c:pt idx="185">
                  <c:v>-5.9303763879056653E-5</c:v>
                </c:pt>
                <c:pt idx="186">
                  <c:v>-5.9717827900163455E-5</c:v>
                </c:pt>
                <c:pt idx="187">
                  <c:v>-6.0131041982978425E-5</c:v>
                </c:pt>
                <c:pt idx="188">
                  <c:v>-6.0543418285147512E-5</c:v>
                </c:pt>
                <c:pt idx="189">
                  <c:v>-6.0954968663422937E-5</c:v>
                </c:pt>
                <c:pt idx="190">
                  <c:v>-6.1365704681717241E-5</c:v>
                </c:pt>
                <c:pt idx="191">
                  <c:v>-6.1775637618939917E-5</c:v>
                </c:pt>
                <c:pt idx="192">
                  <c:v>-6.2184778476622561E-5</c:v>
                </c:pt>
                <c:pt idx="193">
                  <c:v>-6.2593137986338612E-5</c:v>
                </c:pt>
                <c:pt idx="194">
                  <c:v>-6.3000726616922487E-5</c:v>
                </c:pt>
                <c:pt idx="195">
                  <c:v>-6.3407554581494495E-5</c:v>
                </c:pt>
                <c:pt idx="196">
                  <c:v>-6.381363184429598E-5</c:v>
                </c:pt>
                <c:pt idx="197">
                  <c:v>-6.4218968127340015E-5</c:v>
                </c:pt>
                <c:pt idx="198">
                  <c:v>-6.4623572916883146E-5</c:v>
                </c:pt>
                <c:pt idx="199">
                  <c:v>-6.5027455469722037E-5</c:v>
                </c:pt>
                <c:pt idx="200">
                  <c:v>-6.543062481932081E-5</c:v>
                </c:pt>
                <c:pt idx="201">
                  <c:v>-6.5833089781772733E-5</c:v>
                </c:pt>
                <c:pt idx="202">
                  <c:v>-6.6234858961601408E-5</c:v>
                </c:pt>
                <c:pt idx="203">
                  <c:v>-6.6635940757405382E-5</c:v>
                </c:pt>
                <c:pt idx="204">
                  <c:v>-6.7036343367350625E-5</c:v>
                </c:pt>
                <c:pt idx="205">
                  <c:v>-6.7436074794514721E-5</c:v>
                </c:pt>
                <c:pt idx="206">
                  <c:v>-6.7835142852087246E-5</c:v>
                </c:pt>
                <c:pt idx="207">
                  <c:v>-6.8233555168429751E-5</c:v>
                </c:pt>
                <c:pt idx="208">
                  <c:v>-6.8631319191999167E-5</c:v>
                </c:pt>
                <c:pt idx="209">
                  <c:v>-6.90284421961388E-5</c:v>
                </c:pt>
                <c:pt idx="210">
                  <c:v>-6.9424931283739854E-5</c:v>
                </c:pt>
                <c:pt idx="211">
                  <c:v>-6.9820793391777575E-5</c:v>
                </c:pt>
                <c:pt idx="212">
                  <c:v>-7.0216035295724629E-5</c:v>
                </c:pt>
                <c:pt idx="213">
                  <c:v>-7.0610663613846129E-5</c:v>
                </c:pt>
                <c:pt idx="214">
                  <c:v>-7.1004684811378231E-5</c:v>
                </c:pt>
                <c:pt idx="215">
                  <c:v>-7.1398105204594829E-5</c:v>
                </c:pt>
                <c:pt idx="216">
                  <c:v>-7.1790930964763628E-5</c:v>
                </c:pt>
                <c:pt idx="217">
                  <c:v>-7.2183168121996844E-5</c:v>
                </c:pt>
                <c:pt idx="218">
                  <c:v>-7.2574822568996681E-5</c:v>
                </c:pt>
              </c:numCache>
            </c:numRef>
          </c:yVal>
          <c:smooth val="1"/>
          <c:extLst>
            <c:ext xmlns:c16="http://schemas.microsoft.com/office/drawing/2014/chart" uri="{C3380CC4-5D6E-409C-BE32-E72D297353CC}">
              <c16:uniqueId val="{00000000-0A32-4D7A-960F-702C5A9B609A}"/>
            </c:ext>
          </c:extLst>
        </c:ser>
        <c:ser>
          <c:idx val="1"/>
          <c:order val="1"/>
          <c:tx>
            <c:strRef>
              <c:f>'SDS19'!$I$4</c:f>
              <c:strCache>
                <c:ptCount val="1"/>
                <c:pt idx="0">
                  <c:v>Net emissions</c:v>
                </c:pt>
              </c:strCache>
            </c:strRef>
          </c:tx>
          <c:spPr>
            <a:ln w="19050" cap="rnd">
              <a:solidFill>
                <a:schemeClr val="tx1"/>
              </a:solidFill>
              <a:prstDash val="dash"/>
              <a:round/>
            </a:ln>
            <a:effectLst/>
          </c:spPr>
          <c:marker>
            <c:symbol val="none"/>
          </c:marker>
          <c:xVal>
            <c:numRef>
              <c:f>'SDS19'!$B$5:$B$223</c:f>
              <c:numCache>
                <c:formatCode>General</c:formatCode>
                <c:ptCount val="219"/>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pt idx="16">
                  <c:v>1916</c:v>
                </c:pt>
                <c:pt idx="17">
                  <c:v>1917</c:v>
                </c:pt>
                <c:pt idx="18">
                  <c:v>1918</c:v>
                </c:pt>
                <c:pt idx="19">
                  <c:v>1919</c:v>
                </c:pt>
                <c:pt idx="20">
                  <c:v>1920</c:v>
                </c:pt>
                <c:pt idx="21">
                  <c:v>1921</c:v>
                </c:pt>
                <c:pt idx="22">
                  <c:v>1922</c:v>
                </c:pt>
                <c:pt idx="23">
                  <c:v>1923</c:v>
                </c:pt>
                <c:pt idx="24">
                  <c:v>1924</c:v>
                </c:pt>
                <c:pt idx="25">
                  <c:v>1925</c:v>
                </c:pt>
                <c:pt idx="26">
                  <c:v>1926</c:v>
                </c:pt>
                <c:pt idx="27">
                  <c:v>1927</c:v>
                </c:pt>
                <c:pt idx="28">
                  <c:v>1928</c:v>
                </c:pt>
                <c:pt idx="29">
                  <c:v>1929</c:v>
                </c:pt>
                <c:pt idx="30">
                  <c:v>1930</c:v>
                </c:pt>
                <c:pt idx="31">
                  <c:v>1931</c:v>
                </c:pt>
                <c:pt idx="32">
                  <c:v>1932</c:v>
                </c:pt>
                <c:pt idx="33">
                  <c:v>1933</c:v>
                </c:pt>
                <c:pt idx="34">
                  <c:v>1934</c:v>
                </c:pt>
                <c:pt idx="35">
                  <c:v>1935</c:v>
                </c:pt>
                <c:pt idx="36">
                  <c:v>1936</c:v>
                </c:pt>
                <c:pt idx="37">
                  <c:v>1937</c:v>
                </c:pt>
                <c:pt idx="38">
                  <c:v>1938</c:v>
                </c:pt>
                <c:pt idx="39">
                  <c:v>1939</c:v>
                </c:pt>
                <c:pt idx="40">
                  <c:v>1940</c:v>
                </c:pt>
                <c:pt idx="41">
                  <c:v>1941</c:v>
                </c:pt>
                <c:pt idx="42">
                  <c:v>1942</c:v>
                </c:pt>
                <c:pt idx="43">
                  <c:v>1943</c:v>
                </c:pt>
                <c:pt idx="44">
                  <c:v>1944</c:v>
                </c:pt>
                <c:pt idx="45">
                  <c:v>1945</c:v>
                </c:pt>
                <c:pt idx="46">
                  <c:v>1946</c:v>
                </c:pt>
                <c:pt idx="47">
                  <c:v>1947</c:v>
                </c:pt>
                <c:pt idx="48">
                  <c:v>1948</c:v>
                </c:pt>
                <c:pt idx="49">
                  <c:v>1949</c:v>
                </c:pt>
                <c:pt idx="50">
                  <c:v>1950</c:v>
                </c:pt>
                <c:pt idx="51">
                  <c:v>1951</c:v>
                </c:pt>
                <c:pt idx="52">
                  <c:v>1952</c:v>
                </c:pt>
                <c:pt idx="53">
                  <c:v>1953</c:v>
                </c:pt>
                <c:pt idx="54">
                  <c:v>1954</c:v>
                </c:pt>
                <c:pt idx="55">
                  <c:v>1955</c:v>
                </c:pt>
                <c:pt idx="56">
                  <c:v>1956</c:v>
                </c:pt>
                <c:pt idx="57">
                  <c:v>1957</c:v>
                </c:pt>
                <c:pt idx="58">
                  <c:v>1958</c:v>
                </c:pt>
                <c:pt idx="59">
                  <c:v>1959</c:v>
                </c:pt>
                <c:pt idx="60">
                  <c:v>1960</c:v>
                </c:pt>
                <c:pt idx="61">
                  <c:v>1961</c:v>
                </c:pt>
                <c:pt idx="62">
                  <c:v>1962</c:v>
                </c:pt>
                <c:pt idx="63">
                  <c:v>1963</c:v>
                </c:pt>
                <c:pt idx="64">
                  <c:v>1964</c:v>
                </c:pt>
                <c:pt idx="65">
                  <c:v>1965</c:v>
                </c:pt>
                <c:pt idx="66">
                  <c:v>1966</c:v>
                </c:pt>
                <c:pt idx="67">
                  <c:v>1967</c:v>
                </c:pt>
                <c:pt idx="68">
                  <c:v>1968</c:v>
                </c:pt>
                <c:pt idx="69">
                  <c:v>1969</c:v>
                </c:pt>
                <c:pt idx="70">
                  <c:v>1970</c:v>
                </c:pt>
                <c:pt idx="71">
                  <c:v>1971</c:v>
                </c:pt>
                <c:pt idx="72">
                  <c:v>1972</c:v>
                </c:pt>
                <c:pt idx="73">
                  <c:v>1973</c:v>
                </c:pt>
                <c:pt idx="74">
                  <c:v>1974</c:v>
                </c:pt>
                <c:pt idx="75">
                  <c:v>1975</c:v>
                </c:pt>
                <c:pt idx="76">
                  <c:v>1976</c:v>
                </c:pt>
                <c:pt idx="77">
                  <c:v>1977</c:v>
                </c:pt>
                <c:pt idx="78">
                  <c:v>1978</c:v>
                </c:pt>
                <c:pt idx="79">
                  <c:v>1979</c:v>
                </c:pt>
                <c:pt idx="80">
                  <c:v>1980</c:v>
                </c:pt>
                <c:pt idx="81">
                  <c:v>1981</c:v>
                </c:pt>
                <c:pt idx="82">
                  <c:v>1982</c:v>
                </c:pt>
                <c:pt idx="83">
                  <c:v>1983</c:v>
                </c:pt>
                <c:pt idx="84">
                  <c:v>1984</c:v>
                </c:pt>
                <c:pt idx="85">
                  <c:v>1985</c:v>
                </c:pt>
                <c:pt idx="86">
                  <c:v>1986</c:v>
                </c:pt>
                <c:pt idx="87">
                  <c:v>1987</c:v>
                </c:pt>
                <c:pt idx="88">
                  <c:v>1988</c:v>
                </c:pt>
                <c:pt idx="89">
                  <c:v>1989</c:v>
                </c:pt>
                <c:pt idx="90">
                  <c:v>1990</c:v>
                </c:pt>
                <c:pt idx="91">
                  <c:v>1991</c:v>
                </c:pt>
                <c:pt idx="92">
                  <c:v>1992</c:v>
                </c:pt>
                <c:pt idx="93">
                  <c:v>1993</c:v>
                </c:pt>
                <c:pt idx="94">
                  <c:v>1994</c:v>
                </c:pt>
                <c:pt idx="95">
                  <c:v>1995</c:v>
                </c:pt>
                <c:pt idx="96">
                  <c:v>1996</c:v>
                </c:pt>
                <c:pt idx="97">
                  <c:v>1997</c:v>
                </c:pt>
                <c:pt idx="98">
                  <c:v>1998</c:v>
                </c:pt>
                <c:pt idx="99">
                  <c:v>1999</c:v>
                </c:pt>
                <c:pt idx="100">
                  <c:v>2000</c:v>
                </c:pt>
                <c:pt idx="101">
                  <c:v>2001</c:v>
                </c:pt>
                <c:pt idx="102">
                  <c:v>2002</c:v>
                </c:pt>
                <c:pt idx="103">
                  <c:v>2003</c:v>
                </c:pt>
                <c:pt idx="104">
                  <c:v>2004</c:v>
                </c:pt>
                <c:pt idx="105">
                  <c:v>2005</c:v>
                </c:pt>
                <c:pt idx="106">
                  <c:v>2006</c:v>
                </c:pt>
                <c:pt idx="107">
                  <c:v>2007</c:v>
                </c:pt>
                <c:pt idx="108">
                  <c:v>2008</c:v>
                </c:pt>
                <c:pt idx="109">
                  <c:v>2009</c:v>
                </c:pt>
                <c:pt idx="110">
                  <c:v>2010</c:v>
                </c:pt>
                <c:pt idx="111">
                  <c:v>2011</c:v>
                </c:pt>
                <c:pt idx="112">
                  <c:v>2012</c:v>
                </c:pt>
                <c:pt idx="113">
                  <c:v>2013</c:v>
                </c:pt>
                <c:pt idx="114">
                  <c:v>2014</c:v>
                </c:pt>
                <c:pt idx="115">
                  <c:v>2015</c:v>
                </c:pt>
                <c:pt idx="116">
                  <c:v>2016</c:v>
                </c:pt>
                <c:pt idx="117">
                  <c:v>2017</c:v>
                </c:pt>
                <c:pt idx="118">
                  <c:v>2018</c:v>
                </c:pt>
                <c:pt idx="119">
                  <c:v>2019</c:v>
                </c:pt>
                <c:pt idx="120">
                  <c:v>2020</c:v>
                </c:pt>
                <c:pt idx="121">
                  <c:v>2021</c:v>
                </c:pt>
                <c:pt idx="122">
                  <c:v>2022</c:v>
                </c:pt>
                <c:pt idx="123">
                  <c:v>2023</c:v>
                </c:pt>
                <c:pt idx="124">
                  <c:v>2024</c:v>
                </c:pt>
                <c:pt idx="125">
                  <c:v>2025</c:v>
                </c:pt>
                <c:pt idx="126">
                  <c:v>2026</c:v>
                </c:pt>
                <c:pt idx="127">
                  <c:v>2027</c:v>
                </c:pt>
                <c:pt idx="128">
                  <c:v>2028</c:v>
                </c:pt>
                <c:pt idx="129">
                  <c:v>2029</c:v>
                </c:pt>
                <c:pt idx="130">
                  <c:v>2030</c:v>
                </c:pt>
                <c:pt idx="131">
                  <c:v>2031</c:v>
                </c:pt>
                <c:pt idx="132">
                  <c:v>2032</c:v>
                </c:pt>
                <c:pt idx="133">
                  <c:v>2033</c:v>
                </c:pt>
                <c:pt idx="134">
                  <c:v>2034</c:v>
                </c:pt>
                <c:pt idx="135">
                  <c:v>2035</c:v>
                </c:pt>
                <c:pt idx="136">
                  <c:v>2036</c:v>
                </c:pt>
                <c:pt idx="137">
                  <c:v>2037</c:v>
                </c:pt>
                <c:pt idx="138">
                  <c:v>2038</c:v>
                </c:pt>
                <c:pt idx="139">
                  <c:v>2039</c:v>
                </c:pt>
                <c:pt idx="140">
                  <c:v>2040</c:v>
                </c:pt>
                <c:pt idx="141">
                  <c:v>2041</c:v>
                </c:pt>
                <c:pt idx="142">
                  <c:v>2042</c:v>
                </c:pt>
                <c:pt idx="143">
                  <c:v>2043</c:v>
                </c:pt>
                <c:pt idx="144">
                  <c:v>2044</c:v>
                </c:pt>
                <c:pt idx="145">
                  <c:v>2045</c:v>
                </c:pt>
                <c:pt idx="146">
                  <c:v>2046</c:v>
                </c:pt>
                <c:pt idx="147">
                  <c:v>2047</c:v>
                </c:pt>
                <c:pt idx="148">
                  <c:v>2048</c:v>
                </c:pt>
                <c:pt idx="149">
                  <c:v>2049</c:v>
                </c:pt>
                <c:pt idx="150">
                  <c:v>2050</c:v>
                </c:pt>
                <c:pt idx="151">
                  <c:v>2051</c:v>
                </c:pt>
                <c:pt idx="152">
                  <c:v>2052</c:v>
                </c:pt>
                <c:pt idx="153">
                  <c:v>2053</c:v>
                </c:pt>
                <c:pt idx="154">
                  <c:v>2054</c:v>
                </c:pt>
                <c:pt idx="155">
                  <c:v>2055</c:v>
                </c:pt>
                <c:pt idx="156">
                  <c:v>2056</c:v>
                </c:pt>
                <c:pt idx="157">
                  <c:v>2057</c:v>
                </c:pt>
                <c:pt idx="158">
                  <c:v>2058</c:v>
                </c:pt>
                <c:pt idx="159">
                  <c:v>2059</c:v>
                </c:pt>
                <c:pt idx="160">
                  <c:v>2060</c:v>
                </c:pt>
                <c:pt idx="161">
                  <c:v>2061</c:v>
                </c:pt>
                <c:pt idx="162">
                  <c:v>2062</c:v>
                </c:pt>
                <c:pt idx="163">
                  <c:v>2063</c:v>
                </c:pt>
                <c:pt idx="164">
                  <c:v>2064</c:v>
                </c:pt>
                <c:pt idx="165">
                  <c:v>2065</c:v>
                </c:pt>
                <c:pt idx="166">
                  <c:v>2066</c:v>
                </c:pt>
                <c:pt idx="167">
                  <c:v>2067</c:v>
                </c:pt>
                <c:pt idx="168">
                  <c:v>2068</c:v>
                </c:pt>
                <c:pt idx="169">
                  <c:v>2069</c:v>
                </c:pt>
                <c:pt idx="170">
                  <c:v>2070</c:v>
                </c:pt>
                <c:pt idx="171">
                  <c:v>2071</c:v>
                </c:pt>
                <c:pt idx="172">
                  <c:v>2072</c:v>
                </c:pt>
                <c:pt idx="173">
                  <c:v>2073</c:v>
                </c:pt>
                <c:pt idx="174">
                  <c:v>2074</c:v>
                </c:pt>
                <c:pt idx="175">
                  <c:v>2075</c:v>
                </c:pt>
                <c:pt idx="176">
                  <c:v>2076</c:v>
                </c:pt>
                <c:pt idx="177">
                  <c:v>2077</c:v>
                </c:pt>
                <c:pt idx="178">
                  <c:v>2078</c:v>
                </c:pt>
                <c:pt idx="179">
                  <c:v>2079</c:v>
                </c:pt>
                <c:pt idx="180">
                  <c:v>2080</c:v>
                </c:pt>
                <c:pt idx="181">
                  <c:v>2081</c:v>
                </c:pt>
                <c:pt idx="182">
                  <c:v>2082</c:v>
                </c:pt>
                <c:pt idx="183">
                  <c:v>2083</c:v>
                </c:pt>
                <c:pt idx="184">
                  <c:v>2084</c:v>
                </c:pt>
                <c:pt idx="185">
                  <c:v>2085</c:v>
                </c:pt>
                <c:pt idx="186">
                  <c:v>2086</c:v>
                </c:pt>
                <c:pt idx="187">
                  <c:v>2087</c:v>
                </c:pt>
                <c:pt idx="188">
                  <c:v>2088</c:v>
                </c:pt>
                <c:pt idx="189">
                  <c:v>2089</c:v>
                </c:pt>
                <c:pt idx="190">
                  <c:v>2090</c:v>
                </c:pt>
                <c:pt idx="191">
                  <c:v>2091</c:v>
                </c:pt>
                <c:pt idx="192">
                  <c:v>2092</c:v>
                </c:pt>
                <c:pt idx="193">
                  <c:v>2093</c:v>
                </c:pt>
                <c:pt idx="194">
                  <c:v>2094</c:v>
                </c:pt>
                <c:pt idx="195">
                  <c:v>2095</c:v>
                </c:pt>
                <c:pt idx="196">
                  <c:v>2096</c:v>
                </c:pt>
                <c:pt idx="197">
                  <c:v>2097</c:v>
                </c:pt>
                <c:pt idx="198">
                  <c:v>2098</c:v>
                </c:pt>
                <c:pt idx="199">
                  <c:v>2099</c:v>
                </c:pt>
                <c:pt idx="200">
                  <c:v>2100</c:v>
                </c:pt>
                <c:pt idx="201">
                  <c:v>2101</c:v>
                </c:pt>
                <c:pt idx="202">
                  <c:v>2102</c:v>
                </c:pt>
                <c:pt idx="203">
                  <c:v>2103</c:v>
                </c:pt>
                <c:pt idx="204">
                  <c:v>2104</c:v>
                </c:pt>
                <c:pt idx="205">
                  <c:v>2105</c:v>
                </c:pt>
                <c:pt idx="206">
                  <c:v>2106</c:v>
                </c:pt>
                <c:pt idx="207">
                  <c:v>2107</c:v>
                </c:pt>
                <c:pt idx="208">
                  <c:v>2108</c:v>
                </c:pt>
                <c:pt idx="209">
                  <c:v>2109</c:v>
                </c:pt>
                <c:pt idx="210">
                  <c:v>2110</c:v>
                </c:pt>
                <c:pt idx="211">
                  <c:v>2111</c:v>
                </c:pt>
                <c:pt idx="212">
                  <c:v>2112</c:v>
                </c:pt>
                <c:pt idx="213">
                  <c:v>2113</c:v>
                </c:pt>
                <c:pt idx="214">
                  <c:v>2114</c:v>
                </c:pt>
                <c:pt idx="215">
                  <c:v>2115</c:v>
                </c:pt>
                <c:pt idx="216">
                  <c:v>2116</c:v>
                </c:pt>
                <c:pt idx="217">
                  <c:v>2117</c:v>
                </c:pt>
                <c:pt idx="218">
                  <c:v>2118</c:v>
                </c:pt>
              </c:numCache>
            </c:numRef>
          </c:xVal>
          <c:yVal>
            <c:numRef>
              <c:f>'SDS19'!$I$5:$I$223</c:f>
              <c:numCache>
                <c:formatCode>General</c:formatCode>
                <c:ptCount val="219"/>
                <c:pt idx="0">
                  <c:v>0</c:v>
                </c:pt>
                <c:pt idx="1">
                  <c:v>4.3243332145958698E-9</c:v>
                </c:pt>
                <c:pt idx="2">
                  <c:v>1.2948316260581662E-8</c:v>
                </c:pt>
                <c:pt idx="3">
                  <c:v>2.7137595767635954E-8</c:v>
                </c:pt>
                <c:pt idx="4">
                  <c:v>4.7638705453830806E-8</c:v>
                </c:pt>
                <c:pt idx="5">
                  <c:v>7.4163275663491104E-8</c:v>
                </c:pt>
                <c:pt idx="6">
                  <c:v>1.0832601851704E-7</c:v>
                </c:pt>
                <c:pt idx="7">
                  <c:v>1.5264292359699812E-7</c:v>
                </c:pt>
                <c:pt idx="8">
                  <c:v>2.0671976440596519E-7</c:v>
                </c:pt>
                <c:pt idx="9">
                  <c:v>2.6998456601057423E-7</c:v>
                </c:pt>
                <c:pt idx="10">
                  <c:v>3.4501314645383784E-7</c:v>
                </c:pt>
                <c:pt idx="11">
                  <c:v>4.3337220486881135E-7</c:v>
                </c:pt>
                <c:pt idx="12">
                  <c:v>5.3458556283729246E-7</c:v>
                </c:pt>
                <c:pt idx="13">
                  <c:v>6.4863053158516469E-7</c:v>
                </c:pt>
                <c:pt idx="14">
                  <c:v>7.7735085505023688E-7</c:v>
                </c:pt>
                <c:pt idx="15">
                  <c:v>9.1937422692604506E-7</c:v>
                </c:pt>
                <c:pt idx="16">
                  <c:v>1.0735264581235114E-6</c:v>
                </c:pt>
                <c:pt idx="17">
                  <c:v>1.2405943018438382E-6</c:v>
                </c:pt>
                <c:pt idx="18">
                  <c:v>1.4203275751024539E-6</c:v>
                </c:pt>
                <c:pt idx="19">
                  <c:v>1.6076267861170363E-6</c:v>
                </c:pt>
                <c:pt idx="20">
                  <c:v>1.8045017088211141E-6</c:v>
                </c:pt>
                <c:pt idx="21">
                  <c:v>2.0146246270025307E-6</c:v>
                </c:pt>
                <c:pt idx="22">
                  <c:v>2.2374832879250246E-6</c:v>
                </c:pt>
                <c:pt idx="23">
                  <c:v>2.4760343701539199E-6</c:v>
                </c:pt>
                <c:pt idx="24">
                  <c:v>2.7346289288833435E-6</c:v>
                </c:pt>
                <c:pt idx="25">
                  <c:v>3.0147787113470242E-6</c:v>
                </c:pt>
                <c:pt idx="26">
                  <c:v>3.3182622908176115E-6</c:v>
                </c:pt>
                <c:pt idx="27">
                  <c:v>3.6444917299188952E-6</c:v>
                </c:pt>
                <c:pt idx="28">
                  <c:v>3.9932747582269443E-6</c:v>
                </c:pt>
                <c:pt idx="29">
                  <c:v>4.352974845045106E-6</c:v>
                </c:pt>
                <c:pt idx="30">
                  <c:v>4.722816953191863E-6</c:v>
                </c:pt>
                <c:pt idx="31">
                  <c:v>5.1013123907211707E-6</c:v>
                </c:pt>
                <c:pt idx="32">
                  <c:v>5.4843059946274605E-6</c:v>
                </c:pt>
                <c:pt idx="33">
                  <c:v>5.8659453652071209E-6</c:v>
                </c:pt>
                <c:pt idx="34">
                  <c:v>6.2448016402390343E-6</c:v>
                </c:pt>
                <c:pt idx="35">
                  <c:v>6.6232636552293195E-6</c:v>
                </c:pt>
                <c:pt idx="36">
                  <c:v>7.0017303868463588E-6</c:v>
                </c:pt>
                <c:pt idx="37">
                  <c:v>7.3856069751753143E-6</c:v>
                </c:pt>
                <c:pt idx="38">
                  <c:v>7.7750726020648334E-6</c:v>
                </c:pt>
                <c:pt idx="39">
                  <c:v>8.1690508335295219E-6</c:v>
                </c:pt>
                <c:pt idx="40">
                  <c:v>8.5697632420073073E-6</c:v>
                </c:pt>
                <c:pt idx="41">
                  <c:v>8.9776057694757618E-6</c:v>
                </c:pt>
                <c:pt idx="42">
                  <c:v>9.3975308939502968E-6</c:v>
                </c:pt>
                <c:pt idx="43">
                  <c:v>9.8310346662545552E-6</c:v>
                </c:pt>
                <c:pt idx="44">
                  <c:v>1.0269772933898532E-5</c:v>
                </c:pt>
                <c:pt idx="45">
                  <c:v>1.0709344150862022E-5</c:v>
                </c:pt>
                <c:pt idx="46">
                  <c:v>1.1151466147378083E-5</c:v>
                </c:pt>
                <c:pt idx="47">
                  <c:v>1.1597752267015569E-5</c:v>
                </c:pt>
                <c:pt idx="48">
                  <c:v>1.2058412766013943E-5</c:v>
                </c:pt>
                <c:pt idx="49">
                  <c:v>1.2535006722206782E-5</c:v>
                </c:pt>
                <c:pt idx="50">
                  <c:v>1.3026912257877339E-5</c:v>
                </c:pt>
                <c:pt idx="51">
                  <c:v>1.3536926998743862E-5</c:v>
                </c:pt>
                <c:pt idx="52">
                  <c:v>1.4065337791486116E-5</c:v>
                </c:pt>
                <c:pt idx="53">
                  <c:v>1.4612394861057874E-5</c:v>
                </c:pt>
                <c:pt idx="54">
                  <c:v>1.5178590562245105E-5</c:v>
                </c:pt>
                <c:pt idx="55">
                  <c:v>1.5765230388914685E-5</c:v>
                </c:pt>
                <c:pt idx="56">
                  <c:v>1.6374879395317809E-5</c:v>
                </c:pt>
                <c:pt idx="57">
                  <c:v>1.7007656927321648E-5</c:v>
                </c:pt>
                <c:pt idx="58">
                  <c:v>1.7659740763882595E-5</c:v>
                </c:pt>
                <c:pt idx="59">
                  <c:v>1.8332680100631773E-5</c:v>
                </c:pt>
                <c:pt idx="60">
                  <c:v>1.9029854135254837E-5</c:v>
                </c:pt>
                <c:pt idx="61">
                  <c:v>1.9746860877666364E-5</c:v>
                </c:pt>
                <c:pt idx="62">
                  <c:v>2.0484070987394876E-5</c:v>
                </c:pt>
                <c:pt idx="63">
                  <c:v>2.1242493725055567E-5</c:v>
                </c:pt>
                <c:pt idx="64">
                  <c:v>2.2025265218383554E-5</c:v>
                </c:pt>
                <c:pt idx="65">
                  <c:v>2.2834325348646724E-5</c:v>
                </c:pt>
                <c:pt idx="66">
                  <c:v>2.3669614213744613E-5</c:v>
                </c:pt>
                <c:pt idx="67">
                  <c:v>2.453087752399E-5</c:v>
                </c:pt>
                <c:pt idx="68">
                  <c:v>2.5416412386038666E-5</c:v>
                </c:pt>
                <c:pt idx="69">
                  <c:v>2.6328073272469963E-5</c:v>
                </c:pt>
                <c:pt idx="70">
                  <c:v>2.7264774757390907E-5</c:v>
                </c:pt>
                <c:pt idx="71">
                  <c:v>2.8222958527382617E-5</c:v>
                </c:pt>
                <c:pt idx="72">
                  <c:v>2.920604250284592E-5</c:v>
                </c:pt>
                <c:pt idx="73">
                  <c:v>3.0216182978101417E-5</c:v>
                </c:pt>
                <c:pt idx="74">
                  <c:v>3.1256821523988621E-5</c:v>
                </c:pt>
                <c:pt idx="75">
                  <c:v>3.2321555983847202E-5</c:v>
                </c:pt>
                <c:pt idx="76">
                  <c:v>3.3401234262830462E-5</c:v>
                </c:pt>
                <c:pt idx="77">
                  <c:v>3.4499541348545414E-5</c:v>
                </c:pt>
                <c:pt idx="78">
                  <c:v>3.5622081499126762E-5</c:v>
                </c:pt>
                <c:pt idx="79">
                  <c:v>3.6773556743315433E-5</c:v>
                </c:pt>
                <c:pt idx="80">
                  <c:v>3.7952882592318578E-5</c:v>
                </c:pt>
                <c:pt idx="81">
                  <c:v>3.9152203224379837E-5</c:v>
                </c:pt>
                <c:pt idx="82">
                  <c:v>4.0368103298149972E-5</c:v>
                </c:pt>
                <c:pt idx="83">
                  <c:v>4.1594119820582691E-5</c:v>
                </c:pt>
                <c:pt idx="84">
                  <c:v>4.2835855837871288E-5</c:v>
                </c:pt>
                <c:pt idx="85">
                  <c:v>4.4101800737245482E-5</c:v>
                </c:pt>
                <c:pt idx="86">
                  <c:v>4.5392807877592056E-5</c:v>
                </c:pt>
                <c:pt idx="87">
                  <c:v>4.6711349889510012E-5</c:v>
                </c:pt>
                <c:pt idx="88">
                  <c:v>4.8057957501608644E-5</c:v>
                </c:pt>
                <c:pt idx="89">
                  <c:v>4.9432139823188588E-5</c:v>
                </c:pt>
                <c:pt idx="90">
                  <c:v>5.0833386787488396E-5</c:v>
                </c:pt>
                <c:pt idx="91">
                  <c:v>5.2260402069639645E-5</c:v>
                </c:pt>
                <c:pt idx="92">
                  <c:v>5.3705683124151764E-5</c:v>
                </c:pt>
                <c:pt idx="93">
                  <c:v>5.5172301773322741E-5</c:v>
                </c:pt>
                <c:pt idx="94">
                  <c:v>5.6661502420471544E-5</c:v>
                </c:pt>
                <c:pt idx="95">
                  <c:v>5.8177439422910123E-5</c:v>
                </c:pt>
                <c:pt idx="96">
                  <c:v>5.9717079092273459E-5</c:v>
                </c:pt>
                <c:pt idx="97">
                  <c:v>6.1280812230303587E-5</c:v>
                </c:pt>
                <c:pt idx="98">
                  <c:v>6.2871337005350778E-5</c:v>
                </c:pt>
                <c:pt idx="99">
                  <c:v>6.4493954359956033E-5</c:v>
                </c:pt>
                <c:pt idx="100">
                  <c:v>6.6150768237024067E-5</c:v>
                </c:pt>
                <c:pt idx="101">
                  <c:v>6.7783255205710458E-5</c:v>
                </c:pt>
                <c:pt idx="102">
                  <c:v>6.9394340947384142E-5</c:v>
                </c:pt>
                <c:pt idx="103">
                  <c:v>7.098639422968892E-5</c:v>
                </c:pt>
                <c:pt idx="104">
                  <c:v>7.2561341047294286E-5</c:v>
                </c:pt>
                <c:pt idx="105">
                  <c:v>7.412075513403755E-5</c:v>
                </c:pt>
                <c:pt idx="106">
                  <c:v>7.5665929744296351E-5</c:v>
                </c:pt>
                <c:pt idx="107">
                  <c:v>7.7197934586014494E-5</c:v>
                </c:pt>
                <c:pt idx="108">
                  <c:v>7.871766098290243E-5</c:v>
                </c:pt>
                <c:pt idx="109">
                  <c:v>8.02258577053158E-5</c:v>
                </c:pt>
                <c:pt idx="110">
                  <c:v>8.1723159403564733E-5</c:v>
                </c:pt>
                <c:pt idx="111">
                  <c:v>8.3210109176517312E-5</c:v>
                </c:pt>
                <c:pt idx="112">
                  <c:v>8.4687176490581248E-5</c:v>
                </c:pt>
                <c:pt idx="113">
                  <c:v>8.615477141225298E-5</c:v>
                </c:pt>
                <c:pt idx="114">
                  <c:v>8.7613255917751444E-5</c:v>
                </c:pt>
                <c:pt idx="115">
                  <c:v>8.9062952884977827E-5</c:v>
                </c:pt>
                <c:pt idx="116">
                  <c:v>9.0504153247582023E-5</c:v>
                </c:pt>
                <c:pt idx="117">
                  <c:v>9.1937121691465902E-5</c:v>
                </c:pt>
                <c:pt idx="118">
                  <c:v>9.3362101195219459E-5</c:v>
                </c:pt>
                <c:pt idx="119">
                  <c:v>9.4779316653498502E-5</c:v>
                </c:pt>
                <c:pt idx="120">
                  <c:v>9.6188977772816551E-5</c:v>
                </c:pt>
                <c:pt idx="121">
                  <c:v>9.7591281389961565E-5</c:v>
                </c:pt>
                <c:pt idx="122">
                  <c:v>9.8986413332118441E-5</c:v>
                </c:pt>
                <c:pt idx="123">
                  <c:v>1.0037454991311282E-4</c:v>
                </c:pt>
                <c:pt idx="124">
                  <c:v>1.0175585914062613E-4</c:v>
                </c:pt>
                <c:pt idx="125">
                  <c:v>1.0313050169373576E-4</c:v>
                </c:pt>
                <c:pt idx="126">
                  <c:v>1.0449863171784081E-4</c:v>
                </c:pt>
                <c:pt idx="127">
                  <c:v>1.0586039747429074E-4</c:v>
                </c:pt>
                <c:pt idx="128">
                  <c:v>1.0721594187431755E-4</c:v>
                </c:pt>
                <c:pt idx="129">
                  <c:v>1.0856540292074275E-4</c:v>
                </c:pt>
                <c:pt idx="130">
                  <c:v>1.0990891407608238E-4</c:v>
                </c:pt>
                <c:pt idx="131">
                  <c:v>1.1124660457182489E-4</c:v>
                </c:pt>
                <c:pt idx="132">
                  <c:v>1.1257859967060472E-4</c:v>
                </c:pt>
                <c:pt idx="133">
                  <c:v>1.1390502089058009E-4</c:v>
                </c:pt>
                <c:pt idx="134">
                  <c:v>1.1522598619940238E-4</c:v>
                </c:pt>
                <c:pt idx="135">
                  <c:v>1.1654161018364785E-4</c:v>
                </c:pt>
                <c:pt idx="136">
                  <c:v>1.1785200419837537E-4</c:v>
                </c:pt>
                <c:pt idx="137">
                  <c:v>1.1915727650051861E-4</c:v>
                </c:pt>
                <c:pt idx="138">
                  <c:v>1.204575323690649E-4</c:v>
                </c:pt>
                <c:pt idx="139">
                  <c:v>1.2175287421436822E-4</c:v>
                </c:pt>
                <c:pt idx="140">
                  <c:v>1.2304340167847231E-4</c:v>
                </c:pt>
                <c:pt idx="141">
                  <c:v>1.2432921172793719E-4</c:v>
                </c:pt>
                <c:pt idx="142">
                  <c:v>1.2561039874036504E-4</c:v>
                </c:pt>
                <c:pt idx="143">
                  <c:v>1.2688705458558118E-4</c:v>
                </c:pt>
                <c:pt idx="144">
                  <c:v>1.2815926870224039E-4</c:v>
                </c:pt>
                <c:pt idx="145">
                  <c:v>1.2942712817047458E-4</c:v>
                </c:pt>
                <c:pt idx="146">
                  <c:v>1.3069071778108125E-4</c:v>
                </c:pt>
                <c:pt idx="147">
                  <c:v>1.3195012010165714E-4</c:v>
                </c:pt>
                <c:pt idx="148">
                  <c:v>1.3320541554000568E-4</c:v>
                </c:pt>
                <c:pt idx="149">
                  <c:v>1.3445668240508597E-4</c:v>
                </c:pt>
                <c:pt idx="150">
                  <c:v>1.3570399696572605E-4</c:v>
                </c:pt>
                <c:pt idx="151">
                  <c:v>1.3694743350728283E-4</c:v>
                </c:pt>
                <c:pt idx="152">
                  <c:v>1.3818706438640098E-4</c:v>
                </c:pt>
                <c:pt idx="153">
                  <c:v>1.3942296008399876E-4</c:v>
                </c:pt>
                <c:pt idx="154">
                  <c:v>1.4065518925659174E-4</c:v>
                </c:pt>
                <c:pt idx="155">
                  <c:v>1.4188381878604502E-4</c:v>
                </c:pt>
                <c:pt idx="156">
                  <c:v>1.4310891382783735E-4</c:v>
                </c:pt>
                <c:pt idx="157">
                  <c:v>1.4433053785790491E-4</c:v>
                </c:pt>
                <c:pt idx="158">
                  <c:v>1.4554875271813054E-4</c:v>
                </c:pt>
                <c:pt idx="159">
                  <c:v>1.4676361866053123E-4</c:v>
                </c:pt>
                <c:pt idx="160">
                  <c:v>1.4797519439019568E-4</c:v>
                </c:pt>
                <c:pt idx="161">
                  <c:v>1.4918353710701706E-4</c:v>
                </c:pt>
                <c:pt idx="162">
                  <c:v>1.5038870254626351E-4</c:v>
                </c:pt>
                <c:pt idx="163">
                  <c:v>1.5159074501802476E-4</c:v>
                </c:pt>
                <c:pt idx="164">
                  <c:v>1.5278971744557229E-4</c:v>
                </c:pt>
                <c:pt idx="165">
                  <c:v>1.5398567140266503E-4</c:v>
                </c:pt>
                <c:pt idx="166">
                  <c:v>1.5517865714983505E-4</c:v>
                </c:pt>
                <c:pt idx="167">
                  <c:v>1.5636872366968195E-4</c:v>
                </c:pt>
                <c:pt idx="168">
                  <c:v>1.5755591870120753E-4</c:v>
                </c:pt>
                <c:pt idx="169">
                  <c:v>1.587402887732148E-4</c:v>
                </c:pt>
                <c:pt idx="170">
                  <c:v>1.5992187923680149E-4</c:v>
                </c:pt>
                <c:pt idx="171">
                  <c:v>1.611007342969722E-4</c:v>
                </c:pt>
                <c:pt idx="172">
                  <c:v>1.6227689704339396E-4</c:v>
                </c:pt>
                <c:pt idx="173">
                  <c:v>1.6345040948031878E-4</c:v>
                </c:pt>
                <c:pt idx="174">
                  <c:v>1.6462131255569757E-4</c:v>
                </c:pt>
                <c:pt idx="175">
                  <c:v>1.6578964618950594E-4</c:v>
                </c:pt>
                <c:pt idx="176">
                  <c:v>1.66955449301305E-4</c:v>
                </c:pt>
                <c:pt idx="177">
                  <c:v>1.6811875983705667E-4</c:v>
                </c:pt>
                <c:pt idx="178">
                  <c:v>1.6927961479521649E-4</c:v>
                </c:pt>
                <c:pt idx="179">
                  <c:v>1.7043805025211949E-4</c:v>
                </c:pt>
                <c:pt idx="180">
                  <c:v>1.7159410138668224E-4</c:v>
                </c:pt>
                <c:pt idx="181">
                  <c:v>1.7274780250443753E-4</c:v>
                </c:pt>
                <c:pt idx="182">
                  <c:v>1.7389918706092072E-4</c:v>
                </c:pt>
                <c:pt idx="183">
                  <c:v>1.7504828768442421E-4</c:v>
                </c:pt>
                <c:pt idx="184">
                  <c:v>1.7619513619813917E-4</c:v>
                </c:pt>
                <c:pt idx="185">
                  <c:v>1.7733976364169826E-4</c:v>
                </c:pt>
                <c:pt idx="186">
                  <c:v>1.7848220029213836E-4</c:v>
                </c:pt>
                <c:pt idx="187">
                  <c:v>1.7962247568429758E-4</c:v>
                </c:pt>
                <c:pt idx="188">
                  <c:v>1.8076061863066067E-4</c:v>
                </c:pt>
                <c:pt idx="189">
                  <c:v>1.8189665724067196E-4</c:v>
                </c:pt>
                <c:pt idx="190">
                  <c:v>1.830306189395237E-4</c:v>
                </c:pt>
                <c:pt idx="191">
                  <c:v>1.8416253048644105E-4</c:v>
                </c:pt>
                <c:pt idx="192">
                  <c:v>1.852924179924716E-4</c:v>
                </c:pt>
                <c:pt idx="193">
                  <c:v>1.8642030693779589E-4</c:v>
                </c:pt>
                <c:pt idx="194">
                  <c:v>1.8754622218857087E-4</c:v>
                </c:pt>
                <c:pt idx="195">
                  <c:v>1.886701880133201E-4</c:v>
                </c:pt>
                <c:pt idx="196">
                  <c:v>1.8979222809887983E-4</c:v>
                </c:pt>
                <c:pt idx="197">
                  <c:v>1.9091236556591766E-4</c:v>
                </c:pt>
                <c:pt idx="198">
                  <c:v>1.9203062298402997E-4</c:v>
                </c:pt>
                <c:pt idx="199">
                  <c:v>1.931470223864349E-4</c:v>
                </c:pt>
                <c:pt idx="200">
                  <c:v>1.9426158528426733E-4</c:v>
                </c:pt>
                <c:pt idx="201">
                  <c:v>1.9537433268048917E-4</c:v>
                </c:pt>
                <c:pt idx="202">
                  <c:v>1.9648528508342387E-4</c:v>
                </c:pt>
                <c:pt idx="203">
                  <c:v>1.9759446251992684E-4</c:v>
                </c:pt>
                <c:pt idx="204">
                  <c:v>1.9870188454820147E-4</c:v>
                </c:pt>
                <c:pt idx="205">
                  <c:v>1.9980757027026694E-4</c:v>
                </c:pt>
                <c:pt idx="206">
                  <c:v>2.009115383440923E-4</c:v>
                </c:pt>
                <c:pt idx="207">
                  <c:v>2.0201380699540335E-4</c:v>
                </c:pt>
                <c:pt idx="208">
                  <c:v>2.0311439402916992E-4</c:v>
                </c:pt>
                <c:pt idx="209">
                  <c:v>2.0421331684078431E-4</c:v>
                </c:pt>
                <c:pt idx="210">
                  <c:v>2.053105924269384E-4</c:v>
                </c:pt>
                <c:pt idx="211">
                  <c:v>2.0640623739620753E-4</c:v>
                </c:pt>
                <c:pt idx="212">
                  <c:v>2.07500267979349E-4</c:v>
                </c:pt>
                <c:pt idx="213">
                  <c:v>2.0859270003932318E-4</c:v>
                </c:pt>
                <c:pt idx="214">
                  <c:v>2.0968354908104404E-4</c:v>
                </c:pt>
                <c:pt idx="215">
                  <c:v>2.1077283026086751E-4</c:v>
                </c:pt>
                <c:pt idx="216">
                  <c:v>2.1186055839582423E-4</c:v>
                </c:pt>
                <c:pt idx="217">
                  <c:v>2.1294674797260287E-4</c:v>
                </c:pt>
                <c:pt idx="218">
                  <c:v>2.1403141315629173E-4</c:v>
                </c:pt>
              </c:numCache>
            </c:numRef>
          </c:yVal>
          <c:smooth val="1"/>
          <c:extLst>
            <c:ext xmlns:c16="http://schemas.microsoft.com/office/drawing/2014/chart" uri="{C3380CC4-5D6E-409C-BE32-E72D297353CC}">
              <c16:uniqueId val="{00000001-0A32-4D7A-960F-702C5A9B609A}"/>
            </c:ext>
          </c:extLst>
        </c:ser>
        <c:ser>
          <c:idx val="2"/>
          <c:order val="2"/>
          <c:tx>
            <c:strRef>
              <c:f>'SDS19'!$G$4</c:f>
              <c:strCache>
                <c:ptCount val="1"/>
                <c:pt idx="0">
                  <c:v>Calcination and energy emissions</c:v>
                </c:pt>
              </c:strCache>
            </c:strRef>
          </c:tx>
          <c:spPr>
            <a:ln w="19050" cap="rnd">
              <a:solidFill>
                <a:schemeClr val="accent1"/>
              </a:solidFill>
              <a:round/>
            </a:ln>
            <a:effectLst/>
          </c:spPr>
          <c:marker>
            <c:symbol val="none"/>
          </c:marker>
          <c:xVal>
            <c:numRef>
              <c:f>'SDS19'!$B$5:$B$223</c:f>
              <c:numCache>
                <c:formatCode>General</c:formatCode>
                <c:ptCount val="219"/>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pt idx="16">
                  <c:v>1916</c:v>
                </c:pt>
                <c:pt idx="17">
                  <c:v>1917</c:v>
                </c:pt>
                <c:pt idx="18">
                  <c:v>1918</c:v>
                </c:pt>
                <c:pt idx="19">
                  <c:v>1919</c:v>
                </c:pt>
                <c:pt idx="20">
                  <c:v>1920</c:v>
                </c:pt>
                <c:pt idx="21">
                  <c:v>1921</c:v>
                </c:pt>
                <c:pt idx="22">
                  <c:v>1922</c:v>
                </c:pt>
                <c:pt idx="23">
                  <c:v>1923</c:v>
                </c:pt>
                <c:pt idx="24">
                  <c:v>1924</c:v>
                </c:pt>
                <c:pt idx="25">
                  <c:v>1925</c:v>
                </c:pt>
                <c:pt idx="26">
                  <c:v>1926</c:v>
                </c:pt>
                <c:pt idx="27">
                  <c:v>1927</c:v>
                </c:pt>
                <c:pt idx="28">
                  <c:v>1928</c:v>
                </c:pt>
                <c:pt idx="29">
                  <c:v>1929</c:v>
                </c:pt>
                <c:pt idx="30">
                  <c:v>1930</c:v>
                </c:pt>
                <c:pt idx="31">
                  <c:v>1931</c:v>
                </c:pt>
                <c:pt idx="32">
                  <c:v>1932</c:v>
                </c:pt>
                <c:pt idx="33">
                  <c:v>1933</c:v>
                </c:pt>
                <c:pt idx="34">
                  <c:v>1934</c:v>
                </c:pt>
                <c:pt idx="35">
                  <c:v>1935</c:v>
                </c:pt>
                <c:pt idx="36">
                  <c:v>1936</c:v>
                </c:pt>
                <c:pt idx="37">
                  <c:v>1937</c:v>
                </c:pt>
                <c:pt idx="38">
                  <c:v>1938</c:v>
                </c:pt>
                <c:pt idx="39">
                  <c:v>1939</c:v>
                </c:pt>
                <c:pt idx="40">
                  <c:v>1940</c:v>
                </c:pt>
                <c:pt idx="41">
                  <c:v>1941</c:v>
                </c:pt>
                <c:pt idx="42">
                  <c:v>1942</c:v>
                </c:pt>
                <c:pt idx="43">
                  <c:v>1943</c:v>
                </c:pt>
                <c:pt idx="44">
                  <c:v>1944</c:v>
                </c:pt>
                <c:pt idx="45">
                  <c:v>1945</c:v>
                </c:pt>
                <c:pt idx="46">
                  <c:v>1946</c:v>
                </c:pt>
                <c:pt idx="47">
                  <c:v>1947</c:v>
                </c:pt>
                <c:pt idx="48">
                  <c:v>1948</c:v>
                </c:pt>
                <c:pt idx="49">
                  <c:v>1949</c:v>
                </c:pt>
                <c:pt idx="50">
                  <c:v>1950</c:v>
                </c:pt>
                <c:pt idx="51">
                  <c:v>1951</c:v>
                </c:pt>
                <c:pt idx="52">
                  <c:v>1952</c:v>
                </c:pt>
                <c:pt idx="53">
                  <c:v>1953</c:v>
                </c:pt>
                <c:pt idx="54">
                  <c:v>1954</c:v>
                </c:pt>
                <c:pt idx="55">
                  <c:v>1955</c:v>
                </c:pt>
                <c:pt idx="56">
                  <c:v>1956</c:v>
                </c:pt>
                <c:pt idx="57">
                  <c:v>1957</c:v>
                </c:pt>
                <c:pt idx="58">
                  <c:v>1958</c:v>
                </c:pt>
                <c:pt idx="59">
                  <c:v>1959</c:v>
                </c:pt>
                <c:pt idx="60">
                  <c:v>1960</c:v>
                </c:pt>
                <c:pt idx="61">
                  <c:v>1961</c:v>
                </c:pt>
                <c:pt idx="62">
                  <c:v>1962</c:v>
                </c:pt>
                <c:pt idx="63">
                  <c:v>1963</c:v>
                </c:pt>
                <c:pt idx="64">
                  <c:v>1964</c:v>
                </c:pt>
                <c:pt idx="65">
                  <c:v>1965</c:v>
                </c:pt>
                <c:pt idx="66">
                  <c:v>1966</c:v>
                </c:pt>
                <c:pt idx="67">
                  <c:v>1967</c:v>
                </c:pt>
                <c:pt idx="68">
                  <c:v>1968</c:v>
                </c:pt>
                <c:pt idx="69">
                  <c:v>1969</c:v>
                </c:pt>
                <c:pt idx="70">
                  <c:v>1970</c:v>
                </c:pt>
                <c:pt idx="71">
                  <c:v>1971</c:v>
                </c:pt>
                <c:pt idx="72">
                  <c:v>1972</c:v>
                </c:pt>
                <c:pt idx="73">
                  <c:v>1973</c:v>
                </c:pt>
                <c:pt idx="74">
                  <c:v>1974</c:v>
                </c:pt>
                <c:pt idx="75">
                  <c:v>1975</c:v>
                </c:pt>
                <c:pt idx="76">
                  <c:v>1976</c:v>
                </c:pt>
                <c:pt idx="77">
                  <c:v>1977</c:v>
                </c:pt>
                <c:pt idx="78">
                  <c:v>1978</c:v>
                </c:pt>
                <c:pt idx="79">
                  <c:v>1979</c:v>
                </c:pt>
                <c:pt idx="80">
                  <c:v>1980</c:v>
                </c:pt>
                <c:pt idx="81">
                  <c:v>1981</c:v>
                </c:pt>
                <c:pt idx="82">
                  <c:v>1982</c:v>
                </c:pt>
                <c:pt idx="83">
                  <c:v>1983</c:v>
                </c:pt>
                <c:pt idx="84">
                  <c:v>1984</c:v>
                </c:pt>
                <c:pt idx="85">
                  <c:v>1985</c:v>
                </c:pt>
                <c:pt idx="86">
                  <c:v>1986</c:v>
                </c:pt>
                <c:pt idx="87">
                  <c:v>1987</c:v>
                </c:pt>
                <c:pt idx="88">
                  <c:v>1988</c:v>
                </c:pt>
                <c:pt idx="89">
                  <c:v>1989</c:v>
                </c:pt>
                <c:pt idx="90">
                  <c:v>1990</c:v>
                </c:pt>
                <c:pt idx="91">
                  <c:v>1991</c:v>
                </c:pt>
                <c:pt idx="92">
                  <c:v>1992</c:v>
                </c:pt>
                <c:pt idx="93">
                  <c:v>1993</c:v>
                </c:pt>
                <c:pt idx="94">
                  <c:v>1994</c:v>
                </c:pt>
                <c:pt idx="95">
                  <c:v>1995</c:v>
                </c:pt>
                <c:pt idx="96">
                  <c:v>1996</c:v>
                </c:pt>
                <c:pt idx="97">
                  <c:v>1997</c:v>
                </c:pt>
                <c:pt idx="98">
                  <c:v>1998</c:v>
                </c:pt>
                <c:pt idx="99">
                  <c:v>1999</c:v>
                </c:pt>
                <c:pt idx="100">
                  <c:v>2000</c:v>
                </c:pt>
                <c:pt idx="101">
                  <c:v>2001</c:v>
                </c:pt>
                <c:pt idx="102">
                  <c:v>2002</c:v>
                </c:pt>
                <c:pt idx="103">
                  <c:v>2003</c:v>
                </c:pt>
                <c:pt idx="104">
                  <c:v>2004</c:v>
                </c:pt>
                <c:pt idx="105">
                  <c:v>2005</c:v>
                </c:pt>
                <c:pt idx="106">
                  <c:v>2006</c:v>
                </c:pt>
                <c:pt idx="107">
                  <c:v>2007</c:v>
                </c:pt>
                <c:pt idx="108">
                  <c:v>2008</c:v>
                </c:pt>
                <c:pt idx="109">
                  <c:v>2009</c:v>
                </c:pt>
                <c:pt idx="110">
                  <c:v>2010</c:v>
                </c:pt>
                <c:pt idx="111">
                  <c:v>2011</c:v>
                </c:pt>
                <c:pt idx="112">
                  <c:v>2012</c:v>
                </c:pt>
                <c:pt idx="113">
                  <c:v>2013</c:v>
                </c:pt>
                <c:pt idx="114">
                  <c:v>2014</c:v>
                </c:pt>
                <c:pt idx="115">
                  <c:v>2015</c:v>
                </c:pt>
                <c:pt idx="116">
                  <c:v>2016</c:v>
                </c:pt>
                <c:pt idx="117">
                  <c:v>2017</c:v>
                </c:pt>
                <c:pt idx="118">
                  <c:v>2018</c:v>
                </c:pt>
                <c:pt idx="119">
                  <c:v>2019</c:v>
                </c:pt>
                <c:pt idx="120">
                  <c:v>2020</c:v>
                </c:pt>
                <c:pt idx="121">
                  <c:v>2021</c:v>
                </c:pt>
                <c:pt idx="122">
                  <c:v>2022</c:v>
                </c:pt>
                <c:pt idx="123">
                  <c:v>2023</c:v>
                </c:pt>
                <c:pt idx="124">
                  <c:v>2024</c:v>
                </c:pt>
                <c:pt idx="125">
                  <c:v>2025</c:v>
                </c:pt>
                <c:pt idx="126">
                  <c:v>2026</c:v>
                </c:pt>
                <c:pt idx="127">
                  <c:v>2027</c:v>
                </c:pt>
                <c:pt idx="128">
                  <c:v>2028</c:v>
                </c:pt>
                <c:pt idx="129">
                  <c:v>2029</c:v>
                </c:pt>
                <c:pt idx="130">
                  <c:v>2030</c:v>
                </c:pt>
                <c:pt idx="131">
                  <c:v>2031</c:v>
                </c:pt>
                <c:pt idx="132">
                  <c:v>2032</c:v>
                </c:pt>
                <c:pt idx="133">
                  <c:v>2033</c:v>
                </c:pt>
                <c:pt idx="134">
                  <c:v>2034</c:v>
                </c:pt>
                <c:pt idx="135">
                  <c:v>2035</c:v>
                </c:pt>
                <c:pt idx="136">
                  <c:v>2036</c:v>
                </c:pt>
                <c:pt idx="137">
                  <c:v>2037</c:v>
                </c:pt>
                <c:pt idx="138">
                  <c:v>2038</c:v>
                </c:pt>
                <c:pt idx="139">
                  <c:v>2039</c:v>
                </c:pt>
                <c:pt idx="140">
                  <c:v>2040</c:v>
                </c:pt>
                <c:pt idx="141">
                  <c:v>2041</c:v>
                </c:pt>
                <c:pt idx="142">
                  <c:v>2042</c:v>
                </c:pt>
                <c:pt idx="143">
                  <c:v>2043</c:v>
                </c:pt>
                <c:pt idx="144">
                  <c:v>2044</c:v>
                </c:pt>
                <c:pt idx="145">
                  <c:v>2045</c:v>
                </c:pt>
                <c:pt idx="146">
                  <c:v>2046</c:v>
                </c:pt>
                <c:pt idx="147">
                  <c:v>2047</c:v>
                </c:pt>
                <c:pt idx="148">
                  <c:v>2048</c:v>
                </c:pt>
                <c:pt idx="149">
                  <c:v>2049</c:v>
                </c:pt>
                <c:pt idx="150">
                  <c:v>2050</c:v>
                </c:pt>
                <c:pt idx="151">
                  <c:v>2051</c:v>
                </c:pt>
                <c:pt idx="152">
                  <c:v>2052</c:v>
                </c:pt>
                <c:pt idx="153">
                  <c:v>2053</c:v>
                </c:pt>
                <c:pt idx="154">
                  <c:v>2054</c:v>
                </c:pt>
                <c:pt idx="155">
                  <c:v>2055</c:v>
                </c:pt>
                <c:pt idx="156">
                  <c:v>2056</c:v>
                </c:pt>
                <c:pt idx="157">
                  <c:v>2057</c:v>
                </c:pt>
                <c:pt idx="158">
                  <c:v>2058</c:v>
                </c:pt>
                <c:pt idx="159">
                  <c:v>2059</c:v>
                </c:pt>
                <c:pt idx="160">
                  <c:v>2060</c:v>
                </c:pt>
                <c:pt idx="161">
                  <c:v>2061</c:v>
                </c:pt>
                <c:pt idx="162">
                  <c:v>2062</c:v>
                </c:pt>
                <c:pt idx="163">
                  <c:v>2063</c:v>
                </c:pt>
                <c:pt idx="164">
                  <c:v>2064</c:v>
                </c:pt>
                <c:pt idx="165">
                  <c:v>2065</c:v>
                </c:pt>
                <c:pt idx="166">
                  <c:v>2066</c:v>
                </c:pt>
                <c:pt idx="167">
                  <c:v>2067</c:v>
                </c:pt>
                <c:pt idx="168">
                  <c:v>2068</c:v>
                </c:pt>
                <c:pt idx="169">
                  <c:v>2069</c:v>
                </c:pt>
                <c:pt idx="170">
                  <c:v>2070</c:v>
                </c:pt>
                <c:pt idx="171">
                  <c:v>2071</c:v>
                </c:pt>
                <c:pt idx="172">
                  <c:v>2072</c:v>
                </c:pt>
                <c:pt idx="173">
                  <c:v>2073</c:v>
                </c:pt>
                <c:pt idx="174">
                  <c:v>2074</c:v>
                </c:pt>
                <c:pt idx="175">
                  <c:v>2075</c:v>
                </c:pt>
                <c:pt idx="176">
                  <c:v>2076</c:v>
                </c:pt>
                <c:pt idx="177">
                  <c:v>2077</c:v>
                </c:pt>
                <c:pt idx="178">
                  <c:v>2078</c:v>
                </c:pt>
                <c:pt idx="179">
                  <c:v>2079</c:v>
                </c:pt>
                <c:pt idx="180">
                  <c:v>2080</c:v>
                </c:pt>
                <c:pt idx="181">
                  <c:v>2081</c:v>
                </c:pt>
                <c:pt idx="182">
                  <c:v>2082</c:v>
                </c:pt>
                <c:pt idx="183">
                  <c:v>2083</c:v>
                </c:pt>
                <c:pt idx="184">
                  <c:v>2084</c:v>
                </c:pt>
                <c:pt idx="185">
                  <c:v>2085</c:v>
                </c:pt>
                <c:pt idx="186">
                  <c:v>2086</c:v>
                </c:pt>
                <c:pt idx="187">
                  <c:v>2087</c:v>
                </c:pt>
                <c:pt idx="188">
                  <c:v>2088</c:v>
                </c:pt>
                <c:pt idx="189">
                  <c:v>2089</c:v>
                </c:pt>
                <c:pt idx="190">
                  <c:v>2090</c:v>
                </c:pt>
                <c:pt idx="191">
                  <c:v>2091</c:v>
                </c:pt>
                <c:pt idx="192">
                  <c:v>2092</c:v>
                </c:pt>
                <c:pt idx="193">
                  <c:v>2093</c:v>
                </c:pt>
                <c:pt idx="194">
                  <c:v>2094</c:v>
                </c:pt>
                <c:pt idx="195">
                  <c:v>2095</c:v>
                </c:pt>
                <c:pt idx="196">
                  <c:v>2096</c:v>
                </c:pt>
                <c:pt idx="197">
                  <c:v>2097</c:v>
                </c:pt>
                <c:pt idx="198">
                  <c:v>2098</c:v>
                </c:pt>
                <c:pt idx="199">
                  <c:v>2099</c:v>
                </c:pt>
                <c:pt idx="200">
                  <c:v>2100</c:v>
                </c:pt>
                <c:pt idx="201">
                  <c:v>2101</c:v>
                </c:pt>
                <c:pt idx="202">
                  <c:v>2102</c:v>
                </c:pt>
                <c:pt idx="203">
                  <c:v>2103</c:v>
                </c:pt>
                <c:pt idx="204">
                  <c:v>2104</c:v>
                </c:pt>
                <c:pt idx="205">
                  <c:v>2105</c:v>
                </c:pt>
                <c:pt idx="206">
                  <c:v>2106</c:v>
                </c:pt>
                <c:pt idx="207">
                  <c:v>2107</c:v>
                </c:pt>
                <c:pt idx="208">
                  <c:v>2108</c:v>
                </c:pt>
                <c:pt idx="209">
                  <c:v>2109</c:v>
                </c:pt>
                <c:pt idx="210">
                  <c:v>2110</c:v>
                </c:pt>
                <c:pt idx="211">
                  <c:v>2111</c:v>
                </c:pt>
                <c:pt idx="212">
                  <c:v>2112</c:v>
                </c:pt>
                <c:pt idx="213">
                  <c:v>2113</c:v>
                </c:pt>
                <c:pt idx="214">
                  <c:v>2114</c:v>
                </c:pt>
                <c:pt idx="215">
                  <c:v>2115</c:v>
                </c:pt>
                <c:pt idx="216">
                  <c:v>2116</c:v>
                </c:pt>
                <c:pt idx="217">
                  <c:v>2117</c:v>
                </c:pt>
                <c:pt idx="218">
                  <c:v>2118</c:v>
                </c:pt>
              </c:numCache>
            </c:numRef>
          </c:xVal>
          <c:yVal>
            <c:numRef>
              <c:f>'SDS19'!$G$5:$G$223</c:f>
              <c:numCache>
                <c:formatCode>General</c:formatCode>
                <c:ptCount val="219"/>
                <c:pt idx="0">
                  <c:v>0</c:v>
                </c:pt>
                <c:pt idx="1">
                  <c:v>4.4393700061167009E-9</c:v>
                </c:pt>
                <c:pt idx="2">
                  <c:v>1.3342453209980662E-8</c:v>
                </c:pt>
                <c:pt idx="3">
                  <c:v>2.8047928398020948E-8</c:v>
                </c:pt>
                <c:pt idx="4">
                  <c:v>4.9371021271884019E-8</c:v>
                </c:pt>
                <c:pt idx="5">
                  <c:v>7.7066350393117489E-8</c:v>
                </c:pt>
                <c:pt idx="6">
                  <c:v>1.1283476669539625E-7</c:v>
                </c:pt>
                <c:pt idx="7">
                  <c:v>1.5931992780591945E-7</c:v>
                </c:pt>
                <c:pt idx="8">
                  <c:v>2.1619869918827807E-7</c:v>
                </c:pt>
                <c:pt idx="9">
                  <c:v>2.829504162863559E-7</c:v>
                </c:pt>
                <c:pt idx="10">
                  <c:v>3.6227910959369342E-7</c:v>
                </c:pt>
                <c:pt idx="11">
                  <c:v>4.5588103109047901E-7</c:v>
                </c:pt>
                <c:pt idx="12">
                  <c:v>5.6336238365962235E-7</c:v>
                </c:pt>
                <c:pt idx="13">
                  <c:v>6.8478105830181859E-7</c:v>
                </c:pt>
                <c:pt idx="14">
                  <c:v>8.2211099174642755E-7</c:v>
                </c:pt>
                <c:pt idx="15">
                  <c:v>9.7403684025378751E-7</c:v>
                </c:pt>
                <c:pt idx="16">
                  <c:v>1.1394224122128397E-6</c:v>
                </c:pt>
                <c:pt idx="17">
                  <c:v>1.3191345341140281E-6</c:v>
                </c:pt>
                <c:pt idx="18">
                  <c:v>1.5129844485218365E-6</c:v>
                </c:pt>
                <c:pt idx="19">
                  <c:v>1.7157839591840885E-6</c:v>
                </c:pt>
                <c:pt idx="20">
                  <c:v>1.9296007858342109E-6</c:v>
                </c:pt>
                <c:pt idx="21">
                  <c:v>2.1582557313853519E-6</c:v>
                </c:pt>
                <c:pt idx="22">
                  <c:v>2.4013073765257943E-6</c:v>
                </c:pt>
                <c:pt idx="23">
                  <c:v>2.6618743316290347E-6</c:v>
                </c:pt>
                <c:pt idx="24">
                  <c:v>2.9445504553165876E-6</c:v>
                </c:pt>
                <c:pt idx="25">
                  <c:v>3.2510514418145802E-6</c:v>
                </c:pt>
                <c:pt idx="26">
                  <c:v>3.5833718252809321E-6</c:v>
                </c:pt>
                <c:pt idx="27">
                  <c:v>3.9410758011238939E-6</c:v>
                </c:pt>
                <c:pt idx="28">
                  <c:v>4.3241145213121819E-6</c:v>
                </c:pt>
                <c:pt idx="29">
                  <c:v>4.7209861596669212E-6</c:v>
                </c:pt>
                <c:pt idx="30">
                  <c:v>5.1309808951932992E-6</c:v>
                </c:pt>
                <c:pt idx="31">
                  <c:v>5.5526137292253118E-6</c:v>
                </c:pt>
                <c:pt idx="32">
                  <c:v>5.9815715415906933E-6</c:v>
                </c:pt>
                <c:pt idx="33">
                  <c:v>6.4116806300273492E-6</c:v>
                </c:pt>
                <c:pt idx="34">
                  <c:v>6.8413005612864351E-6</c:v>
                </c:pt>
                <c:pt idx="35">
                  <c:v>7.2727973430145565E-6</c:v>
                </c:pt>
                <c:pt idx="36">
                  <c:v>7.706527708489906E-6</c:v>
                </c:pt>
                <c:pt idx="37">
                  <c:v>8.1481077104900909E-6</c:v>
                </c:pt>
                <c:pt idx="38">
                  <c:v>8.597794260475216E-6</c:v>
                </c:pt>
                <c:pt idx="39">
                  <c:v>9.054512943934691E-6</c:v>
                </c:pt>
                <c:pt idx="40">
                  <c:v>9.5206134004631664E-6</c:v>
                </c:pt>
                <c:pt idx="41">
                  <c:v>9.9965784246834393E-6</c:v>
                </c:pt>
                <c:pt idx="42">
                  <c:v>1.048766297394942E-5</c:v>
                </c:pt>
                <c:pt idx="43">
                  <c:v>1.0995596115217544E-5</c:v>
                </c:pt>
                <c:pt idx="44">
                  <c:v>1.1511801686537896E-5</c:v>
                </c:pt>
                <c:pt idx="45">
                  <c:v>1.2031640793935211E-5</c:v>
                </c:pt>
                <c:pt idx="46">
                  <c:v>1.2556987815184464E-5</c:v>
                </c:pt>
                <c:pt idx="47">
                  <c:v>1.3089745376085907E-5</c:v>
                </c:pt>
                <c:pt idx="48">
                  <c:v>1.3640722301038571E-5</c:v>
                </c:pt>
                <c:pt idx="49">
                  <c:v>1.4211914541970843E-5</c:v>
                </c:pt>
                <c:pt idx="50">
                  <c:v>1.4802959568472415E-5</c:v>
                </c:pt>
                <c:pt idx="51">
                  <c:v>1.5417054874864342E-5</c:v>
                </c:pt>
                <c:pt idx="52">
                  <c:v>1.6054947869679904E-5</c:v>
                </c:pt>
                <c:pt idx="53">
                  <c:v>1.6717282066315955E-5</c:v>
                </c:pt>
                <c:pt idx="54">
                  <c:v>1.7404791150493423E-5</c:v>
                </c:pt>
                <c:pt idx="55">
                  <c:v>1.8119162613234625E-5</c:v>
                </c:pt>
                <c:pt idx="56">
                  <c:v>1.8863552928683605E-5</c:v>
                </c:pt>
                <c:pt idx="57">
                  <c:v>1.9638480778024411E-5</c:v>
                </c:pt>
                <c:pt idx="58">
                  <c:v>2.0440223937747537E-5</c:v>
                </c:pt>
                <c:pt idx="59">
                  <c:v>2.127068629308449E-5</c:v>
                </c:pt>
                <c:pt idx="60">
                  <c:v>2.2133700646662063E-5</c:v>
                </c:pt>
                <c:pt idx="61">
                  <c:v>2.3024920276719506E-5</c:v>
                </c:pt>
                <c:pt idx="62">
                  <c:v>2.3944985487277374E-5</c:v>
                </c:pt>
                <c:pt idx="63">
                  <c:v>2.4895223321583781E-5</c:v>
                </c:pt>
                <c:pt idx="64">
                  <c:v>2.5878962389236878E-5</c:v>
                </c:pt>
                <c:pt idx="65">
                  <c:v>2.6897582009399608E-5</c:v>
                </c:pt>
                <c:pt idx="66">
                  <c:v>2.7951557454925774E-5</c:v>
                </c:pt>
                <c:pt idx="67">
                  <c:v>2.904094665316873E-5</c:v>
                </c:pt>
                <c:pt idx="68">
                  <c:v>3.0164268091756509E-5</c:v>
                </c:pt>
                <c:pt idx="69">
                  <c:v>3.1324107532666589E-5</c:v>
                </c:pt>
                <c:pt idx="70">
                  <c:v>3.251973366916049E-5</c:v>
                </c:pt>
                <c:pt idx="71">
                  <c:v>3.3747624115571589E-5</c:v>
                </c:pt>
                <c:pt idx="72">
                  <c:v>3.5011882732860096E-5</c:v>
                </c:pt>
                <c:pt idx="73">
                  <c:v>3.6315180218922746E-5</c:v>
                </c:pt>
                <c:pt idx="74">
                  <c:v>3.7661078435818364E-5</c:v>
                </c:pt>
                <c:pt idx="75">
                  <c:v>3.9042896579789188E-5</c:v>
                </c:pt>
                <c:pt idx="76">
                  <c:v>4.0451032613803425E-5</c:v>
                </c:pt>
                <c:pt idx="77">
                  <c:v>4.1888904836949443E-5</c:v>
                </c:pt>
                <c:pt idx="78">
                  <c:v>4.3361313236657851E-5</c:v>
                </c:pt>
                <c:pt idx="79">
                  <c:v>4.4872688340444119E-5</c:v>
                </c:pt>
                <c:pt idx="80">
                  <c:v>4.6422124540021041E-5</c:v>
                </c:pt>
                <c:pt idx="81">
                  <c:v>4.800186557874406E-5</c:v>
                </c:pt>
                <c:pt idx="82">
                  <c:v>4.9608527186239382E-5</c:v>
                </c:pt>
                <c:pt idx="83">
                  <c:v>5.123689946538282E-5</c:v>
                </c:pt>
                <c:pt idx="84">
                  <c:v>5.2892535687003187E-5</c:v>
                </c:pt>
                <c:pt idx="85">
                  <c:v>5.4583918098001251E-5</c:v>
                </c:pt>
                <c:pt idx="86">
                  <c:v>5.6312663543410036E-5</c:v>
                </c:pt>
                <c:pt idx="87">
                  <c:v>5.8081439181989795E-5</c:v>
                </c:pt>
                <c:pt idx="88">
                  <c:v>5.9890633405625351E-5</c:v>
                </c:pt>
                <c:pt idx="89">
                  <c:v>6.1739258743295005E-5</c:v>
                </c:pt>
                <c:pt idx="90">
                  <c:v>6.3625552346811072E-5</c:v>
                </c:pt>
                <c:pt idx="91">
                  <c:v>6.5547887436823382E-5</c:v>
                </c:pt>
                <c:pt idx="92">
                  <c:v>6.7498425389191113E-5</c:v>
                </c:pt>
                <c:pt idx="93">
                  <c:v>6.9480921326043078E-5</c:v>
                </c:pt>
                <c:pt idx="94">
                  <c:v>7.1498160154942055E-5</c:v>
                </c:pt>
                <c:pt idx="95">
                  <c:v>7.3555401415564074E-5</c:v>
                </c:pt>
                <c:pt idx="96">
                  <c:v>7.5651640244266618E-5</c:v>
                </c:pt>
                <c:pt idx="97">
                  <c:v>7.7789939205328537E-5</c:v>
                </c:pt>
                <c:pt idx="98">
                  <c:v>7.9974280716530455E-5</c:v>
                </c:pt>
                <c:pt idx="99">
                  <c:v>8.2209910705289174E-5</c:v>
                </c:pt>
                <c:pt idx="100">
                  <c:v>8.4500156290609599E-5</c:v>
                </c:pt>
                <c:pt idx="101">
                  <c:v>8.6754450359265902E-5</c:v>
                </c:pt>
                <c:pt idx="102">
                  <c:v>8.8977240251520012E-5</c:v>
                </c:pt>
                <c:pt idx="103">
                  <c:v>9.117212215224119E-5</c:v>
                </c:pt>
                <c:pt idx="104">
                  <c:v>9.3342015668976128E-5</c:v>
                </c:pt>
                <c:pt idx="105">
                  <c:v>9.5489302266512974E-5</c:v>
                </c:pt>
                <c:pt idx="106">
                  <c:v>9.7615935050017794E-5</c:v>
                </c:pt>
                <c:pt idx="107">
                  <c:v>9.9723525835565798E-5</c:v>
                </c:pt>
                <c:pt idx="108">
                  <c:v>1.0181341421565614E-4</c:v>
                </c:pt>
                <c:pt idx="109">
                  <c:v>1.0388672235133756E-4</c:v>
                </c:pt>
                <c:pt idx="110">
                  <c:v>1.0594439844894239E-4</c:v>
                </c:pt>
                <c:pt idx="111">
                  <c:v>1.0798725126619572E-4</c:v>
                </c:pt>
                <c:pt idx="112">
                  <c:v>1.1001597750636804E-4</c:v>
                </c:pt>
                <c:pt idx="113">
                  <c:v>1.1203118357382454E-4</c:v>
                </c:pt>
                <c:pt idx="114">
                  <c:v>1.1403340285889056E-4</c:v>
                </c:pt>
                <c:pt idx="115">
                  <c:v>1.1602310947784344E-4</c:v>
                </c:pt>
                <c:pt idx="116">
                  <c:v>1.1800072920192745E-4</c:v>
                </c:pt>
                <c:pt idx="117">
                  <c:v>1.1996664815716097E-4</c:v>
                </c:pt>
                <c:pt idx="118">
                  <c:v>1.219212197561168E-4</c:v>
                </c:pt>
                <c:pt idx="119">
                  <c:v>1.2386477022726969E-4</c:v>
                </c:pt>
                <c:pt idx="120">
                  <c:v>1.2579760303173327E-4</c:v>
                </c:pt>
                <c:pt idx="121">
                  <c:v>1.2772000239714854E-4</c:v>
                </c:pt>
                <c:pt idx="122">
                  <c:v>1.2963223615087121E-4</c:v>
                </c:pt>
                <c:pt idx="123">
                  <c:v>1.315345579968719E-4</c:v>
                </c:pt>
                <c:pt idx="124">
                  <c:v>1.3342720935083743E-4</c:v>
                </c:pt>
                <c:pt idx="125">
                  <c:v>1.353104208242562E-4</c:v>
                </c:pt>
                <c:pt idx="126">
                  <c:v>1.3718441342946587E-4</c:v>
                </c:pt>
                <c:pt idx="127">
                  <c:v>1.3904939956273983E-4</c:v>
                </c:pt>
                <c:pt idx="128">
                  <c:v>1.4090558381068199E-4</c:v>
                </c:pt>
                <c:pt idx="129">
                  <c:v>1.4275316361582666E-4</c:v>
                </c:pt>
                <c:pt idx="130">
                  <c:v>1.4459232982992355E-4</c:v>
                </c:pt>
                <c:pt idx="131">
                  <c:v>1.4642326717750022E-4</c:v>
                </c:pt>
                <c:pt idx="132">
                  <c:v>1.4824615464762832E-4</c:v>
                </c:pt>
                <c:pt idx="133">
                  <c:v>1.500611658281241E-4</c:v>
                </c:pt>
                <c:pt idx="134">
                  <c:v>1.5186846919347817E-4</c:v>
                </c:pt>
                <c:pt idx="135">
                  <c:v>1.5366822835548717E-4</c:v>
                </c:pt>
                <c:pt idx="136">
                  <c:v>1.5546060228371558E-4</c:v>
                </c:pt>
                <c:pt idx="137">
                  <c:v>1.572457455014537E-4</c:v>
                </c:pt>
                <c:pt idx="138">
                  <c:v>1.5902380826168162E-4</c:v>
                </c:pt>
                <c:pt idx="139">
                  <c:v>1.6079493670662499E-4</c:v>
                </c:pt>
                <c:pt idx="140">
                  <c:v>1.6255927301376524E-4</c:v>
                </c:pt>
                <c:pt idx="141">
                  <c:v>1.6431695553058358E-4</c:v>
                </c:pt>
                <c:pt idx="142">
                  <c:v>1.6606811889986289E-4</c:v>
                </c:pt>
                <c:pt idx="143">
                  <c:v>1.678128941770044E-4</c:v>
                </c:pt>
                <c:pt idx="144">
                  <c:v>1.695514089405309E-4</c:v>
                </c:pt>
                <c:pt idx="145">
                  <c:v>1.7128378739671548E-4</c:v>
                </c:pt>
                <c:pt idx="146">
                  <c:v>1.7301015047909416E-4</c:v>
                </c:pt>
                <c:pt idx="147">
                  <c:v>1.7473061594347575E-4</c:v>
                </c:pt>
                <c:pt idx="148">
                  <c:v>1.7644529845894778E-4</c:v>
                </c:pt>
                <c:pt idx="149">
                  <c:v>1.7815430969528366E-4</c:v>
                </c:pt>
                <c:pt idx="150">
                  <c:v>1.7985775840708682E-4</c:v>
                </c:pt>
                <c:pt idx="151">
                  <c:v>1.8155575051494652E-4</c:v>
                </c:pt>
                <c:pt idx="152">
                  <c:v>1.832483891838349E-4</c:v>
                </c:pt>
                <c:pt idx="153">
                  <c:v>1.8493577489893677E-4</c:v>
                </c:pt>
                <c:pt idx="154">
                  <c:v>1.8661800553907703E-4</c:v>
                </c:pt>
                <c:pt idx="155">
                  <c:v>1.8829517644788237E-4</c:v>
                </c:pt>
                <c:pt idx="156">
                  <c:v>1.8996738050279868E-4</c:v>
                </c:pt>
                <c:pt idx="157">
                  <c:v>1.916347081820672E-4</c:v>
                </c:pt>
                <c:pt idx="158">
                  <c:v>1.9329724762975339E-4</c:v>
                </c:pt>
                <c:pt idx="159">
                  <c:v>1.9495508471890834E-4</c:v>
                </c:pt>
                <c:pt idx="160">
                  <c:v>1.9660830311293736E-4</c:v>
                </c:pt>
                <c:pt idx="161">
                  <c:v>1.9825698432524214E-4</c:v>
                </c:pt>
                <c:pt idx="162">
                  <c:v>1.9990120777719814E-4</c:v>
                </c:pt>
                <c:pt idx="163">
                  <c:v>2.0154105085452297E-4</c:v>
                </c:pt>
                <c:pt idx="164">
                  <c:v>2.0317658896208961E-4</c:v>
                </c:pt>
                <c:pt idx="165">
                  <c:v>2.0480789557723156E-4</c:v>
                </c:pt>
                <c:pt idx="166">
                  <c:v>2.0643504230158854E-4</c:v>
                </c:pt>
                <c:pt idx="167">
                  <c:v>2.0805809891153541E-4</c:v>
                </c:pt>
                <c:pt idx="168">
                  <c:v>2.0967713340723745E-4</c:v>
                </c:pt>
                <c:pt idx="169">
                  <c:v>2.1129221206036961E-4</c:v>
                </c:pt>
                <c:pt idx="170">
                  <c:v>2.1290339946054073E-4</c:v>
                </c:pt>
                <c:pt idx="171">
                  <c:v>2.145107585604577E-4</c:v>
                </c:pt>
                <c:pt idx="172">
                  <c:v>2.1611435071986618E-4</c:v>
                </c:pt>
                <c:pt idx="173">
                  <c:v>2.1771423574830048E-4</c:v>
                </c:pt>
                <c:pt idx="174">
                  <c:v>2.1931047194667761E-4</c:v>
                </c:pt>
                <c:pt idx="175">
                  <c:v>2.2090311614776574E-4</c:v>
                </c:pt>
                <c:pt idx="176">
                  <c:v>2.2249222375555927E-4</c:v>
                </c:pt>
                <c:pt idx="177">
                  <c:v>2.2407784878358884E-4</c:v>
                </c:pt>
                <c:pt idx="178">
                  <c:v>2.2566004389219831E-4</c:v>
                </c:pt>
                <c:pt idx="179">
                  <c:v>2.2723886042481294E-4</c:v>
                </c:pt>
                <c:pt idx="180">
                  <c:v>2.2881434844322946E-4</c:v>
                </c:pt>
                <c:pt idx="181">
                  <c:v>2.3038655676195326E-4</c:v>
                </c:pt>
                <c:pt idx="182">
                  <c:v>2.3195553298160877E-4</c:v>
                </c:pt>
                <c:pt idx="183">
                  <c:v>2.3352132352144755E-4</c:v>
                </c:pt>
                <c:pt idx="184">
                  <c:v>2.3508397365098056E-4</c:v>
                </c:pt>
                <c:pt idx="185">
                  <c:v>2.3664352752075492E-4</c:v>
                </c:pt>
                <c:pt idx="186">
                  <c:v>2.3820002819230181E-4</c:v>
                </c:pt>
                <c:pt idx="187">
                  <c:v>2.3975351766727601E-4</c:v>
                </c:pt>
                <c:pt idx="188">
                  <c:v>2.4130403691580818E-4</c:v>
                </c:pt>
                <c:pt idx="189">
                  <c:v>2.4285162590409489E-4</c:v>
                </c:pt>
                <c:pt idx="190">
                  <c:v>2.4439632362124094E-4</c:v>
                </c:pt>
                <c:pt idx="191">
                  <c:v>2.4593816810538098E-4</c:v>
                </c:pt>
                <c:pt idx="192">
                  <c:v>2.4747719646909416E-4</c:v>
                </c:pt>
                <c:pt idx="193">
                  <c:v>2.490134449241345E-4</c:v>
                </c:pt>
                <c:pt idx="194">
                  <c:v>2.5054694880549336E-4</c:v>
                </c:pt>
                <c:pt idx="195">
                  <c:v>2.520777425948146E-4</c:v>
                </c:pt>
                <c:pt idx="196">
                  <c:v>2.5360585994317581E-4</c:v>
                </c:pt>
                <c:pt idx="197">
                  <c:v>2.5513133369325767E-4</c:v>
                </c:pt>
                <c:pt idx="198">
                  <c:v>2.566541959009131E-4</c:v>
                </c:pt>
                <c:pt idx="199">
                  <c:v>2.5817447785615695E-4</c:v>
                </c:pt>
                <c:pt idx="200">
                  <c:v>2.5969221010358813E-4</c:v>
                </c:pt>
                <c:pt idx="201">
                  <c:v>2.612074224622619E-4</c:v>
                </c:pt>
                <c:pt idx="202">
                  <c:v>2.6272014404502529E-4</c:v>
                </c:pt>
                <c:pt idx="203">
                  <c:v>2.6423040327733222E-4</c:v>
                </c:pt>
                <c:pt idx="204">
                  <c:v>2.6573822791555211E-4</c:v>
                </c:pt>
                <c:pt idx="205">
                  <c:v>2.6724364506478166E-4</c:v>
                </c:pt>
                <c:pt idx="206">
                  <c:v>2.6874668119617953E-4</c:v>
                </c:pt>
                <c:pt idx="207">
                  <c:v>2.7024736216383309E-4</c:v>
                </c:pt>
                <c:pt idx="208">
                  <c:v>2.7174571322116908E-4</c:v>
                </c:pt>
                <c:pt idx="209">
                  <c:v>2.7324175903692313E-4</c:v>
                </c:pt>
                <c:pt idx="210">
                  <c:v>2.7473552371067825E-4</c:v>
                </c:pt>
                <c:pt idx="211">
                  <c:v>2.762270307879851E-4</c:v>
                </c:pt>
                <c:pt idx="212">
                  <c:v>2.7771630327507363E-4</c:v>
                </c:pt>
                <c:pt idx="213">
                  <c:v>2.7920336365316932E-4</c:v>
                </c:pt>
                <c:pt idx="214">
                  <c:v>2.8068823389242227E-4</c:v>
                </c:pt>
                <c:pt idx="215">
                  <c:v>2.8217093546546235E-4</c:v>
                </c:pt>
                <c:pt idx="216">
                  <c:v>2.8365148936058786E-4</c:v>
                </c:pt>
                <c:pt idx="217">
                  <c:v>2.8512991609459972E-4</c:v>
                </c:pt>
                <c:pt idx="218">
                  <c:v>2.8660623572528842E-4</c:v>
                </c:pt>
              </c:numCache>
            </c:numRef>
          </c:yVal>
          <c:smooth val="1"/>
          <c:extLst>
            <c:ext xmlns:c16="http://schemas.microsoft.com/office/drawing/2014/chart" uri="{C3380CC4-5D6E-409C-BE32-E72D297353CC}">
              <c16:uniqueId val="{00000002-0A32-4D7A-960F-702C5A9B609A}"/>
            </c:ext>
          </c:extLst>
        </c:ser>
        <c:dLbls>
          <c:showLegendKey val="0"/>
          <c:showVal val="0"/>
          <c:showCatName val="0"/>
          <c:showSerName val="0"/>
          <c:showPercent val="0"/>
          <c:showBubbleSize val="0"/>
        </c:dLbls>
        <c:axId val="2079132320"/>
        <c:axId val="270764368"/>
      </c:scatterChart>
      <c:valAx>
        <c:axId val="2079132320"/>
        <c:scaling>
          <c:orientation val="minMax"/>
          <c:max val="2120"/>
          <c:min val="1900"/>
        </c:scaling>
        <c:delete val="0"/>
        <c:axPos val="b"/>
        <c:numFmt formatCode="General" sourceLinked="1"/>
        <c:majorTickMark val="none"/>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70764368"/>
        <c:crosses val="autoZero"/>
        <c:crossBetween val="midCat"/>
      </c:valAx>
      <c:valAx>
        <c:axId val="270764368"/>
        <c:scaling>
          <c:orientation val="minMax"/>
        </c:scaling>
        <c:delete val="0"/>
        <c:axPos val="l"/>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Cumulative Radiative Forcing (W/m2 kg)</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079132320"/>
        <c:crosses val="autoZero"/>
        <c:crossBetween val="midCat"/>
      </c:valAx>
      <c:spPr>
        <a:noFill/>
        <a:ln>
          <a:noFill/>
        </a:ln>
        <a:effectLst/>
      </c:spPr>
    </c:plotArea>
    <c:legend>
      <c:legendPos val="b"/>
      <c:layout>
        <c:manualLayout>
          <c:xMode val="edge"/>
          <c:yMode val="edge"/>
          <c:x val="0.15442260961454246"/>
          <c:y val="7.8574236027393232E-2"/>
          <c:w val="0.44471744148510972"/>
          <c:h val="0.24426303265310675"/>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493059</xdr:colOff>
      <xdr:row>8</xdr:row>
      <xdr:rowOff>25401</xdr:rowOff>
    </xdr:from>
    <xdr:to>
      <xdr:col>18</xdr:col>
      <xdr:colOff>552823</xdr:colOff>
      <xdr:row>16</xdr:row>
      <xdr:rowOff>22412</xdr:rowOff>
    </xdr:to>
    <xdr:graphicFrame macro="">
      <xdr:nvGraphicFramePr>
        <xdr:cNvPr id="2" name="Chart 1">
          <a:extLst>
            <a:ext uri="{FF2B5EF4-FFF2-40B4-BE49-F238E27FC236}">
              <a16:creationId xmlns:a16="http://schemas.microsoft.com/office/drawing/2014/main" id="{19C5BD38-02CF-2CD4-1D43-67BFE2BA98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29883</xdr:colOff>
      <xdr:row>16</xdr:row>
      <xdr:rowOff>55282</xdr:rowOff>
    </xdr:from>
    <xdr:to>
      <xdr:col>18</xdr:col>
      <xdr:colOff>597646</xdr:colOff>
      <xdr:row>26</xdr:row>
      <xdr:rowOff>119529</xdr:rowOff>
    </xdr:to>
    <xdr:graphicFrame macro="">
      <xdr:nvGraphicFramePr>
        <xdr:cNvPr id="3" name="Chart 2">
          <a:extLst>
            <a:ext uri="{FF2B5EF4-FFF2-40B4-BE49-F238E27FC236}">
              <a16:creationId xmlns:a16="http://schemas.microsoft.com/office/drawing/2014/main" id="{9598055E-4095-0082-B435-276A05023C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448235</xdr:colOff>
      <xdr:row>25</xdr:row>
      <xdr:rowOff>174813</xdr:rowOff>
    </xdr:from>
    <xdr:to>
      <xdr:col>18</xdr:col>
      <xdr:colOff>597647</xdr:colOff>
      <xdr:row>36</xdr:row>
      <xdr:rowOff>89647</xdr:rowOff>
    </xdr:to>
    <xdr:graphicFrame macro="">
      <xdr:nvGraphicFramePr>
        <xdr:cNvPr id="4" name="Chart 3">
          <a:extLst>
            <a:ext uri="{FF2B5EF4-FFF2-40B4-BE49-F238E27FC236}">
              <a16:creationId xmlns:a16="http://schemas.microsoft.com/office/drawing/2014/main" id="{AB9E64AA-1429-7FA7-323F-3D8812EA35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523875</xdr:colOff>
      <xdr:row>6</xdr:row>
      <xdr:rowOff>142875</xdr:rowOff>
    </xdr:from>
    <xdr:to>
      <xdr:col>12</xdr:col>
      <xdr:colOff>591201</xdr:colOff>
      <xdr:row>21</xdr:row>
      <xdr:rowOff>28293</xdr:rowOff>
    </xdr:to>
    <xdr:pic>
      <xdr:nvPicPr>
        <xdr:cNvPr id="5" name="Picture 4">
          <a:extLst>
            <a:ext uri="{FF2B5EF4-FFF2-40B4-BE49-F238E27FC236}">
              <a16:creationId xmlns:a16="http://schemas.microsoft.com/office/drawing/2014/main" id="{9EABDD98-A7AC-4F5B-647A-05BF6AC66E81}"/>
            </a:ext>
          </a:extLst>
        </xdr:cNvPr>
        <xdr:cNvPicPr>
          <a:picLocks noChangeAspect="1"/>
        </xdr:cNvPicPr>
      </xdr:nvPicPr>
      <xdr:blipFill>
        <a:blip xmlns:r="http://schemas.openxmlformats.org/officeDocument/2006/relationships" r:embed="rId1"/>
        <a:stretch>
          <a:fillRect/>
        </a:stretch>
      </xdr:blipFill>
      <xdr:spPr>
        <a:xfrm>
          <a:off x="4791075" y="2066925"/>
          <a:ext cx="3115326" cy="2600043"/>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concrete thickness estimation" connectionId="1" xr16:uid="{95FADA6E-AB27-40AE-916D-C16642B83033}"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usgs.gov/centers/nmic/cement-statistics-and-information"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2.xml.rels><?xml version="1.0" encoding="UTF-8" standalone="yes"?>
<Relationships xmlns="http://schemas.openxmlformats.org/package/2006/relationships"><Relationship Id="rId3" Type="http://schemas.openxmlformats.org/officeDocument/2006/relationships/hyperlink" Target="https://www.mdpi.com/2076-3417/9/5/1021" TargetMode="External"/><Relationship Id="rId2" Type="http://schemas.openxmlformats.org/officeDocument/2006/relationships/hyperlink" Target="https://www.tandfonline.com/doi/full/10.1080/19648189.2016.1197161" TargetMode="External"/><Relationship Id="rId1" Type="http://schemas.openxmlformats.org/officeDocument/2006/relationships/hyperlink" Target="https://www.tandfonline.com/doi/full/10.1080/19648189.2016.1197161" TargetMode="External"/><Relationship Id="rId5" Type="http://schemas.openxmlformats.org/officeDocument/2006/relationships/hyperlink" Target="https://journals.vilniustech.lt/index.php/JEELM/article/view/1941/1559" TargetMode="External"/><Relationship Id="rId4" Type="http://schemas.openxmlformats.org/officeDocument/2006/relationships/hyperlink" Target="https://www.sciencedirect.com/science/article/pii/S0959652619314258" TargetMode="Externa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DC2CE-D15E-2840-9CC8-0AC9184ABE7B}">
  <sheetPr codeName="Sheet4"/>
  <dimension ref="A1:B32"/>
  <sheetViews>
    <sheetView tabSelected="1" zoomScale="63" workbookViewId="0">
      <selection activeCell="F35" sqref="F35"/>
    </sheetView>
  </sheetViews>
  <sheetFormatPr defaultColWidth="11.453125" defaultRowHeight="14.5"/>
  <cols>
    <col min="1" max="1" width="28" customWidth="1"/>
  </cols>
  <sheetData>
    <row r="1" spans="1:2" ht="17.5">
      <c r="A1" s="41" t="s">
        <v>371</v>
      </c>
    </row>
    <row r="2" spans="1:2" ht="18.5">
      <c r="A2" s="103" t="s">
        <v>516</v>
      </c>
    </row>
    <row r="3" spans="1:2">
      <c r="A3" s="42" t="s">
        <v>0</v>
      </c>
    </row>
    <row r="4" spans="1:2" ht="15.5">
      <c r="A4" s="43" t="s">
        <v>1</v>
      </c>
    </row>
    <row r="5" spans="1:2">
      <c r="A5" s="44" t="s">
        <v>2</v>
      </c>
    </row>
    <row r="6" spans="1:2" ht="16">
      <c r="A6" s="102" t="s">
        <v>517</v>
      </c>
    </row>
    <row r="8" spans="1:2" ht="17.5">
      <c r="A8" s="45"/>
    </row>
    <row r="9" spans="1:2" ht="15.5">
      <c r="A9" s="46" t="s">
        <v>3</v>
      </c>
    </row>
    <row r="10" spans="1:2" ht="16.5">
      <c r="A10" t="s">
        <v>4</v>
      </c>
      <c r="B10" t="s">
        <v>7</v>
      </c>
    </row>
    <row r="11" spans="1:2">
      <c r="A11" t="s">
        <v>5</v>
      </c>
      <c r="B11" t="s">
        <v>334</v>
      </c>
    </row>
    <row r="12" spans="1:2">
      <c r="A12" t="s">
        <v>6</v>
      </c>
      <c r="B12" t="s">
        <v>8</v>
      </c>
    </row>
    <row r="13" spans="1:2">
      <c r="A13" t="s">
        <v>372</v>
      </c>
      <c r="B13" t="s">
        <v>10</v>
      </c>
    </row>
    <row r="14" spans="1:2">
      <c r="A14" t="s">
        <v>9</v>
      </c>
      <c r="B14" t="s">
        <v>12</v>
      </c>
    </row>
    <row r="15" spans="1:2">
      <c r="A15" t="s">
        <v>11</v>
      </c>
      <c r="B15" t="s">
        <v>370</v>
      </c>
    </row>
    <row r="16" spans="1:2">
      <c r="A16" t="s">
        <v>13</v>
      </c>
      <c r="B16" t="s">
        <v>15</v>
      </c>
    </row>
    <row r="17" spans="1:2">
      <c r="A17" t="s">
        <v>14</v>
      </c>
      <c r="B17" t="s">
        <v>17</v>
      </c>
    </row>
    <row r="18" spans="1:2" ht="16.5">
      <c r="A18" t="s">
        <v>16</v>
      </c>
      <c r="B18" t="s">
        <v>19</v>
      </c>
    </row>
    <row r="19" spans="1:2">
      <c r="A19" t="s">
        <v>18</v>
      </c>
      <c r="B19" t="s">
        <v>21</v>
      </c>
    </row>
    <row r="20" spans="1:2">
      <c r="A20" t="s">
        <v>20</v>
      </c>
      <c r="B20" t="s">
        <v>23</v>
      </c>
    </row>
    <row r="21" spans="1:2">
      <c r="A21" t="s">
        <v>22</v>
      </c>
      <c r="B21" t="s">
        <v>375</v>
      </c>
    </row>
    <row r="22" spans="1:2">
      <c r="A22" t="s">
        <v>24</v>
      </c>
      <c r="B22" t="s">
        <v>376</v>
      </c>
    </row>
    <row r="23" spans="1:2">
      <c r="A23" t="s">
        <v>25</v>
      </c>
      <c r="B23" t="s">
        <v>377</v>
      </c>
    </row>
    <row r="24" spans="1:2">
      <c r="A24" t="s">
        <v>26</v>
      </c>
      <c r="B24" t="s">
        <v>378</v>
      </c>
    </row>
    <row r="25" spans="1:2">
      <c r="A25" t="s">
        <v>27</v>
      </c>
      <c r="B25" t="s">
        <v>379</v>
      </c>
    </row>
    <row r="26" spans="1:2">
      <c r="A26" t="s">
        <v>28</v>
      </c>
      <c r="B26" t="s">
        <v>446</v>
      </c>
    </row>
    <row r="27" spans="1:2">
      <c r="A27" t="s">
        <v>29</v>
      </c>
      <c r="B27" t="s">
        <v>515</v>
      </c>
    </row>
    <row r="28" spans="1:2">
      <c r="A28" t="s">
        <v>30</v>
      </c>
      <c r="B28" t="s">
        <v>424</v>
      </c>
    </row>
    <row r="29" spans="1:2">
      <c r="A29" t="s">
        <v>427</v>
      </c>
      <c r="B29" t="s">
        <v>425</v>
      </c>
    </row>
    <row r="30" spans="1:2">
      <c r="A30" t="s">
        <v>445</v>
      </c>
      <c r="B30" t="s">
        <v>426</v>
      </c>
    </row>
    <row r="31" spans="1:2">
      <c r="A31" t="s">
        <v>447</v>
      </c>
      <c r="B31" t="s">
        <v>514</v>
      </c>
    </row>
    <row r="32" spans="1:2">
      <c r="A32" t="s">
        <v>513</v>
      </c>
      <c r="B32" t="s">
        <v>31</v>
      </c>
    </row>
  </sheetData>
  <phoneticPr fontId="2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782DB-7510-4C00-AEBE-BCB5AFD9959C}">
  <sheetPr codeName="Sheet3"/>
  <dimension ref="B1:Q123"/>
  <sheetViews>
    <sheetView topLeftCell="F1" workbookViewId="0">
      <selection activeCell="J8" sqref="J8"/>
    </sheetView>
  </sheetViews>
  <sheetFormatPr defaultColWidth="8.81640625" defaultRowHeight="14.5"/>
  <cols>
    <col min="1" max="1" width="1.453125" customWidth="1"/>
    <col min="3" max="3" width="15.81640625" customWidth="1"/>
    <col min="4" max="4" width="13.453125" customWidth="1"/>
    <col min="5" max="7" width="21.453125" customWidth="1"/>
    <col min="9" max="9" width="12.36328125" customWidth="1"/>
    <col min="10" max="10" width="54.36328125" customWidth="1"/>
    <col min="13" max="13" width="33.81640625" customWidth="1"/>
  </cols>
  <sheetData>
    <row r="1" spans="2:17" ht="17.5">
      <c r="B1" s="105" t="s">
        <v>380</v>
      </c>
    </row>
    <row r="2" spans="2:17" ht="24.5" customHeight="1"/>
    <row r="3" spans="2:17" ht="58">
      <c r="B3" s="2" t="s">
        <v>32</v>
      </c>
      <c r="C3" s="2" t="s">
        <v>41</v>
      </c>
      <c r="D3" s="2" t="s">
        <v>42</v>
      </c>
      <c r="E3" s="3" t="s">
        <v>43</v>
      </c>
      <c r="F3" s="3" t="s">
        <v>44</v>
      </c>
      <c r="G3" s="3" t="s">
        <v>407</v>
      </c>
      <c r="H3" t="s">
        <v>34</v>
      </c>
      <c r="L3" t="s">
        <v>214</v>
      </c>
      <c r="M3" s="12" t="s">
        <v>408</v>
      </c>
    </row>
    <row r="4" spans="2:17">
      <c r="B4">
        <v>1900</v>
      </c>
      <c r="C4">
        <v>3074.6000000000004</v>
      </c>
      <c r="D4">
        <f>C4*1000</f>
        <v>3074600.0000000005</v>
      </c>
      <c r="E4">
        <f>D4*$H$4</f>
        <v>1491181.0000000002</v>
      </c>
      <c r="F4" s="5">
        <f>D4*$H$6</f>
        <v>2623151.5816219472</v>
      </c>
      <c r="G4" s="5">
        <f>D4*(M4+$H$4)</f>
        <v>2623151.5816219472</v>
      </c>
      <c r="H4">
        <v>0.48499999999999999</v>
      </c>
      <c r="I4" t="s">
        <v>35</v>
      </c>
      <c r="K4" s="5"/>
      <c r="L4">
        <v>2023</v>
      </c>
      <c r="M4" s="5">
        <f>H6-H4</f>
        <v>0.36816840617379398</v>
      </c>
      <c r="Q4" s="5"/>
    </row>
    <row r="5" spans="2:17">
      <c r="B5">
        <v>1901</v>
      </c>
      <c r="C5">
        <v>3299.7999999999997</v>
      </c>
      <c r="D5">
        <f t="shared" ref="D5:D68" si="0">C5*1000</f>
        <v>3299799.9999999995</v>
      </c>
      <c r="E5">
        <f t="shared" ref="E5:E68" si="1">D5*$H$4</f>
        <v>1600402.9999999998</v>
      </c>
      <c r="F5" s="5">
        <f t="shared" ref="F5:F68" si="2">D5*$H$6</f>
        <v>2815285.1066922848</v>
      </c>
      <c r="G5" s="5">
        <f>D5*(M5+$H$4)</f>
        <v>2798276.7571985931</v>
      </c>
      <c r="H5" t="s">
        <v>36</v>
      </c>
      <c r="K5" s="5"/>
      <c r="L5">
        <v>2024</v>
      </c>
      <c r="M5" s="5">
        <f>$M$4-(0.014*$M$4)</f>
        <v>0.36301404848736085</v>
      </c>
      <c r="Q5" s="5"/>
    </row>
    <row r="6" spans="2:17">
      <c r="B6">
        <v>1902</v>
      </c>
      <c r="C6">
        <v>4427.1000000000004</v>
      </c>
      <c r="D6">
        <f t="shared" si="0"/>
        <v>4427100</v>
      </c>
      <c r="E6">
        <f t="shared" si="1"/>
        <v>2147143.5</v>
      </c>
      <c r="F6" s="5">
        <f t="shared" si="2"/>
        <v>3777061.8509720033</v>
      </c>
      <c r="G6" s="5">
        <f t="shared" ref="G6:G68" si="3">D6*(M6+$H$4)</f>
        <v>3731424.1371447877</v>
      </c>
      <c r="H6" s="5">
        <v>0.85316840617379397</v>
      </c>
      <c r="I6" t="s">
        <v>35</v>
      </c>
      <c r="K6" s="5"/>
      <c r="L6">
        <v>2025</v>
      </c>
      <c r="M6" s="5">
        <f>$M$4-(0.028*$M$4)</f>
        <v>0.35785969080092778</v>
      </c>
      <c r="Q6" s="5"/>
    </row>
    <row r="7" spans="2:17" ht="16.5" customHeight="1">
      <c r="B7">
        <v>1903</v>
      </c>
      <c r="C7">
        <v>5237.0999999999995</v>
      </c>
      <c r="D7">
        <f t="shared" si="0"/>
        <v>5237099.9999999991</v>
      </c>
      <c r="E7">
        <f t="shared" si="1"/>
        <v>2539993.4999999995</v>
      </c>
      <c r="F7" s="5">
        <f t="shared" si="2"/>
        <v>4468128.2599727754</v>
      </c>
      <c r="G7" s="5">
        <f t="shared" si="3"/>
        <v>4387146.6000539185</v>
      </c>
      <c r="L7">
        <v>2026</v>
      </c>
      <c r="M7" s="5">
        <f>$M$4-(0.042*$M$4)</f>
        <v>0.35270533311449465</v>
      </c>
      <c r="Q7" s="5"/>
    </row>
    <row r="8" spans="2:17" ht="58">
      <c r="B8">
        <v>1904</v>
      </c>
      <c r="C8">
        <v>5315.9</v>
      </c>
      <c r="D8">
        <f t="shared" si="0"/>
        <v>5315900</v>
      </c>
      <c r="E8">
        <f t="shared" si="1"/>
        <v>2578211.5</v>
      </c>
      <c r="F8" s="5">
        <f t="shared" si="2"/>
        <v>4535357.9303792715</v>
      </c>
      <c r="G8" s="5">
        <f t="shared" si="3"/>
        <v>4425757.7302780328</v>
      </c>
      <c r="H8" s="4"/>
      <c r="I8" t="s">
        <v>38</v>
      </c>
      <c r="J8" s="12" t="s">
        <v>45</v>
      </c>
      <c r="L8">
        <v>2027</v>
      </c>
      <c r="M8" s="5">
        <f>$M$4-(0.056*$M$4)</f>
        <v>0.34755097542806151</v>
      </c>
      <c r="Q8" s="5"/>
    </row>
    <row r="9" spans="2:17" ht="43.5">
      <c r="B9">
        <v>1905</v>
      </c>
      <c r="C9">
        <v>6750.0999999999995</v>
      </c>
      <c r="D9">
        <f t="shared" si="0"/>
        <v>6750099.9999999991</v>
      </c>
      <c r="E9">
        <f t="shared" si="1"/>
        <v>3273798.4999999995</v>
      </c>
      <c r="F9" s="5">
        <f t="shared" si="2"/>
        <v>5758972.0585137261</v>
      </c>
      <c r="G9" s="5">
        <f t="shared" si="3"/>
        <v>5585009.9094177643</v>
      </c>
      <c r="H9" s="4"/>
      <c r="I9" t="s">
        <v>39</v>
      </c>
      <c r="J9" s="12" t="s">
        <v>40</v>
      </c>
      <c r="L9">
        <v>2028</v>
      </c>
      <c r="M9" s="5">
        <f>$M$4-(0.07*$M$4)</f>
        <v>0.34239661774162838</v>
      </c>
      <c r="Q9" s="5"/>
    </row>
    <row r="10" spans="2:17">
      <c r="B10">
        <v>1906</v>
      </c>
      <c r="C10">
        <v>8934.9000000000015</v>
      </c>
      <c r="D10">
        <f t="shared" si="0"/>
        <v>8934900.0000000019</v>
      </c>
      <c r="E10">
        <f t="shared" si="1"/>
        <v>4333426.5000000009</v>
      </c>
      <c r="F10" s="5">
        <f t="shared" si="2"/>
        <v>7622974.3923222329</v>
      </c>
      <c r="G10" s="5">
        <f t="shared" si="3"/>
        <v>7346652.3693671664</v>
      </c>
      <c r="L10">
        <v>2029</v>
      </c>
      <c r="M10" s="5">
        <f>$M$4-(0.084*$M$4)</f>
        <v>0.33724226005519531</v>
      </c>
      <c r="Q10" s="5"/>
    </row>
    <row r="11" spans="2:17">
      <c r="B11">
        <v>1907</v>
      </c>
      <c r="C11">
        <v>9092.9</v>
      </c>
      <c r="D11">
        <f t="shared" si="0"/>
        <v>9092900</v>
      </c>
      <c r="E11">
        <f t="shared" si="1"/>
        <v>4410056.5</v>
      </c>
      <c r="F11" s="5">
        <f t="shared" si="2"/>
        <v>7757775.0004976913</v>
      </c>
      <c r="G11" s="5">
        <f t="shared" si="3"/>
        <v>7429698.5874489173</v>
      </c>
      <c r="L11">
        <v>2030</v>
      </c>
      <c r="M11" s="5">
        <f>$M$4-(0.098*$M$4)</f>
        <v>0.33208790236876218</v>
      </c>
      <c r="Q11" s="5"/>
    </row>
    <row r="12" spans="2:17">
      <c r="B12">
        <v>1908</v>
      </c>
      <c r="C12">
        <v>9058.1999999999989</v>
      </c>
      <c r="D12">
        <f t="shared" si="0"/>
        <v>9058199.9999999981</v>
      </c>
      <c r="E12">
        <f t="shared" si="1"/>
        <v>4393226.9999999991</v>
      </c>
      <c r="F12" s="5">
        <f t="shared" si="2"/>
        <v>7728170.0568034593</v>
      </c>
      <c r="G12" s="5">
        <f t="shared" si="3"/>
        <v>7354656.4344414715</v>
      </c>
      <c r="L12">
        <v>2031</v>
      </c>
      <c r="M12" s="5">
        <f>$M$4-(0.112*$M$4)</f>
        <v>0.32693354468232905</v>
      </c>
      <c r="Q12" s="5"/>
    </row>
    <row r="13" spans="2:17">
      <c r="B13">
        <v>1909</v>
      </c>
      <c r="C13">
        <v>11332</v>
      </c>
      <c r="D13">
        <f t="shared" si="0"/>
        <v>11332000</v>
      </c>
      <c r="E13">
        <f t="shared" si="1"/>
        <v>5496020</v>
      </c>
      <c r="F13" s="5">
        <f t="shared" si="2"/>
        <v>9668104.3787614331</v>
      </c>
      <c r="G13" s="5">
        <f t="shared" si="3"/>
        <v>9142421.7470374927</v>
      </c>
      <c r="L13">
        <v>2032</v>
      </c>
      <c r="M13" s="5">
        <f>$M$4-(0.126*$M$4)</f>
        <v>0.32177918699589592</v>
      </c>
      <c r="Q13" s="5"/>
    </row>
    <row r="14" spans="2:17">
      <c r="B14">
        <v>1910</v>
      </c>
      <c r="C14">
        <v>12992</v>
      </c>
      <c r="D14">
        <f t="shared" si="0"/>
        <v>12992000</v>
      </c>
      <c r="E14">
        <f t="shared" si="1"/>
        <v>6301120</v>
      </c>
      <c r="F14" s="5">
        <f t="shared" si="2"/>
        <v>11084363.933009932</v>
      </c>
      <c r="G14" s="5">
        <f t="shared" si="3"/>
        <v>10414709.78238854</v>
      </c>
      <c r="L14">
        <v>2033</v>
      </c>
      <c r="M14" s="5">
        <f>$M$4-(0.14*$M$4)</f>
        <v>0.31662482930946284</v>
      </c>
      <c r="Q14" s="5"/>
    </row>
    <row r="15" spans="2:17">
      <c r="B15">
        <v>1911</v>
      </c>
      <c r="C15">
        <v>13166</v>
      </c>
      <c r="D15">
        <f t="shared" si="0"/>
        <v>13166000</v>
      </c>
      <c r="E15">
        <f t="shared" si="1"/>
        <v>6385510</v>
      </c>
      <c r="F15" s="5">
        <f t="shared" si="2"/>
        <v>11232815.235684171</v>
      </c>
      <c r="G15" s="5">
        <f t="shared" si="3"/>
        <v>10486330.229388809</v>
      </c>
      <c r="L15">
        <v>2034</v>
      </c>
      <c r="M15" s="5">
        <f>$M$4-(0.154*$M$4)</f>
        <v>0.31147047162302971</v>
      </c>
      <c r="Q15" s="5"/>
    </row>
    <row r="16" spans="2:17">
      <c r="B16">
        <v>1912</v>
      </c>
      <c r="C16">
        <v>13623</v>
      </c>
      <c r="D16">
        <f t="shared" si="0"/>
        <v>13623000</v>
      </c>
      <c r="E16">
        <f t="shared" si="1"/>
        <v>6607155</v>
      </c>
      <c r="F16" s="5">
        <f t="shared" si="2"/>
        <v>11622713.197305596</v>
      </c>
      <c r="G16" s="5">
        <f t="shared" si="3"/>
        <v>10780099.420158254</v>
      </c>
      <c r="L16">
        <v>2035</v>
      </c>
      <c r="M16" s="5">
        <f>$M$4-(0.168*$M$4)</f>
        <v>0.30631611393659658</v>
      </c>
      <c r="Q16" s="5"/>
    </row>
    <row r="17" spans="2:17">
      <c r="B17">
        <v>1913</v>
      </c>
      <c r="C17">
        <v>15498</v>
      </c>
      <c r="D17">
        <f t="shared" si="0"/>
        <v>15498000</v>
      </c>
      <c r="E17">
        <f t="shared" si="1"/>
        <v>7516530</v>
      </c>
      <c r="F17" s="5">
        <f t="shared" si="2"/>
        <v>13222403.958881458</v>
      </c>
      <c r="G17" s="5">
        <f t="shared" si="3"/>
        <v>12183934.898365034</v>
      </c>
      <c r="L17">
        <v>2036</v>
      </c>
      <c r="M17" s="5">
        <f>$M$4-(0.182*$M$4)</f>
        <v>0.3011617562501635</v>
      </c>
      <c r="Q17" s="5"/>
    </row>
    <row r="18" spans="2:17">
      <c r="B18">
        <v>1914</v>
      </c>
      <c r="C18">
        <v>14974</v>
      </c>
      <c r="D18">
        <f t="shared" si="0"/>
        <v>14974000</v>
      </c>
      <c r="E18">
        <f t="shared" si="1"/>
        <v>7262390</v>
      </c>
      <c r="F18" s="5">
        <f t="shared" si="2"/>
        <v>12775343.714046391</v>
      </c>
      <c r="G18" s="5">
        <f t="shared" si="3"/>
        <v>11694804.786093298</v>
      </c>
      <c r="L18">
        <v>2037</v>
      </c>
      <c r="M18" s="5">
        <f>$M$4-(0.196*$M$4)</f>
        <v>0.29600739856373037</v>
      </c>
      <c r="Q18" s="5"/>
    </row>
    <row r="19" spans="2:17">
      <c r="B19">
        <v>1915</v>
      </c>
      <c r="C19">
        <v>14484</v>
      </c>
      <c r="D19">
        <f t="shared" si="0"/>
        <v>14484000</v>
      </c>
      <c r="E19">
        <f t="shared" si="1"/>
        <v>7024740</v>
      </c>
      <c r="F19" s="5">
        <f t="shared" si="2"/>
        <v>12357291.195021233</v>
      </c>
      <c r="G19" s="5">
        <f t="shared" si="3"/>
        <v>11237455.444066772</v>
      </c>
      <c r="L19">
        <v>2038</v>
      </c>
      <c r="M19" s="5">
        <f>$M$4-(0.21*$M$4)</f>
        <v>0.29085304087729724</v>
      </c>
      <c r="Q19" s="5"/>
    </row>
    <row r="20" spans="2:17">
      <c r="B20">
        <v>1916</v>
      </c>
      <c r="C20">
        <v>15448</v>
      </c>
      <c r="D20">
        <f t="shared" si="0"/>
        <v>15448000</v>
      </c>
      <c r="E20">
        <f t="shared" si="1"/>
        <v>7492280</v>
      </c>
      <c r="F20" s="5">
        <f t="shared" si="2"/>
        <v>13179745.53857277</v>
      </c>
      <c r="G20" s="5">
        <f t="shared" si="3"/>
        <v>11905753.257932469</v>
      </c>
      <c r="L20">
        <v>2039</v>
      </c>
      <c r="M20" s="5">
        <f>$M$4-(0.224*$M$4)</f>
        <v>0.28569868319086411</v>
      </c>
      <c r="Q20" s="5"/>
    </row>
    <row r="21" spans="2:17">
      <c r="B21">
        <v>1917</v>
      </c>
      <c r="C21">
        <v>15639</v>
      </c>
      <c r="D21">
        <f t="shared" si="0"/>
        <v>15639000</v>
      </c>
      <c r="E21">
        <f t="shared" si="1"/>
        <v>7584915</v>
      </c>
      <c r="F21" s="5">
        <f t="shared" si="2"/>
        <v>13342700.704151964</v>
      </c>
      <c r="G21" s="5">
        <f t="shared" si="3"/>
        <v>11972347.706563795</v>
      </c>
      <c r="L21">
        <v>2040</v>
      </c>
      <c r="M21" s="5">
        <f>$M$4-(0.238*$M$4)</f>
        <v>0.28054432550443104</v>
      </c>
      <c r="Q21" s="5"/>
    </row>
    <row r="22" spans="2:17">
      <c r="B22">
        <v>1918</v>
      </c>
      <c r="C22">
        <v>11923</v>
      </c>
      <c r="D22">
        <f t="shared" si="0"/>
        <v>11923000</v>
      </c>
      <c r="E22">
        <f t="shared" si="1"/>
        <v>5782655</v>
      </c>
      <c r="F22" s="5">
        <f t="shared" si="2"/>
        <v>10172326.906810146</v>
      </c>
      <c r="G22" s="5">
        <f t="shared" si="3"/>
        <v>9066129.5862939898</v>
      </c>
      <c r="L22">
        <v>2041</v>
      </c>
      <c r="M22" s="5">
        <f>$M$4-(0.252*$M$4)</f>
        <v>0.2753899678179979</v>
      </c>
      <c r="Q22" s="5"/>
    </row>
    <row r="23" spans="2:17">
      <c r="B23">
        <v>1919</v>
      </c>
      <c r="C23">
        <v>13572</v>
      </c>
      <c r="D23">
        <f t="shared" si="0"/>
        <v>13572000</v>
      </c>
      <c r="E23">
        <f t="shared" si="1"/>
        <v>6582420</v>
      </c>
      <c r="F23" s="5">
        <f t="shared" si="2"/>
        <v>11579201.608590731</v>
      </c>
      <c r="G23" s="5">
        <f t="shared" si="3"/>
        <v>10250057.700705595</v>
      </c>
      <c r="L23">
        <v>2042</v>
      </c>
      <c r="M23" s="5">
        <f>$M$4-(0.266*$M$4)</f>
        <v>0.27023561013156477</v>
      </c>
      <c r="Q23" s="5"/>
    </row>
    <row r="24" spans="2:17">
      <c r="B24">
        <v>1920</v>
      </c>
      <c r="C24">
        <v>16744</v>
      </c>
      <c r="D24">
        <f t="shared" si="0"/>
        <v>16744000</v>
      </c>
      <c r="E24">
        <f t="shared" si="1"/>
        <v>8120840</v>
      </c>
      <c r="F24" s="5">
        <f t="shared" si="2"/>
        <v>14285451.792974006</v>
      </c>
      <c r="G24" s="5">
        <f t="shared" si="3"/>
        <v>12559360.490941284</v>
      </c>
      <c r="L24">
        <v>2043</v>
      </c>
      <c r="M24" s="5">
        <f>$M$4-(0.28*$M$4)</f>
        <v>0.26508125244513164</v>
      </c>
      <c r="Q24" s="5"/>
    </row>
    <row r="25" spans="2:17">
      <c r="B25">
        <v>1921</v>
      </c>
      <c r="C25">
        <v>16769</v>
      </c>
      <c r="D25">
        <f t="shared" si="0"/>
        <v>16769000</v>
      </c>
      <c r="E25">
        <f t="shared" si="1"/>
        <v>8132965</v>
      </c>
      <c r="F25" s="5">
        <f t="shared" si="2"/>
        <v>14306781.003128352</v>
      </c>
      <c r="G25" s="5">
        <f t="shared" si="3"/>
        <v>12491679.098208616</v>
      </c>
      <c r="L25">
        <v>2044</v>
      </c>
      <c r="M25" s="5">
        <f>$M$4-(0.294*$M$4)</f>
        <v>0.25992689475869857</v>
      </c>
      <c r="Q25" s="5"/>
    </row>
    <row r="26" spans="2:17">
      <c r="B26">
        <v>1922</v>
      </c>
      <c r="C26">
        <v>19597</v>
      </c>
      <c r="D26">
        <f t="shared" si="0"/>
        <v>19597000</v>
      </c>
      <c r="E26">
        <f t="shared" si="1"/>
        <v>9504545</v>
      </c>
      <c r="F26" s="5">
        <f t="shared" si="2"/>
        <v>16719541.25578784</v>
      </c>
      <c r="G26" s="5">
        <f t="shared" si="3"/>
        <v>14497322.409005186</v>
      </c>
      <c r="L26">
        <v>2045</v>
      </c>
      <c r="M26" s="5">
        <f>$M$4-(0.308*$M$4)</f>
        <v>0.25477253707226544</v>
      </c>
      <c r="Q26" s="5"/>
    </row>
    <row r="27" spans="2:17">
      <c r="B27">
        <v>1923</v>
      </c>
      <c r="C27">
        <v>23791</v>
      </c>
      <c r="D27">
        <f t="shared" si="0"/>
        <v>23791000</v>
      </c>
      <c r="E27">
        <f t="shared" si="1"/>
        <v>11538635</v>
      </c>
      <c r="F27" s="5">
        <f t="shared" si="2"/>
        <v>20297729.551280733</v>
      </c>
      <c r="G27" s="5">
        <f t="shared" si="3"/>
        <v>17477301.105768338</v>
      </c>
      <c r="L27">
        <v>2046</v>
      </c>
      <c r="M27" s="5">
        <f>$M$4-(0.322*$M$4)</f>
        <v>0.24961817938583231</v>
      </c>
      <c r="Q27" s="5"/>
    </row>
    <row r="28" spans="2:17">
      <c r="B28">
        <v>1924</v>
      </c>
      <c r="C28">
        <v>25910</v>
      </c>
      <c r="D28">
        <f t="shared" si="0"/>
        <v>25910000</v>
      </c>
      <c r="E28">
        <f t="shared" si="1"/>
        <v>12566350</v>
      </c>
      <c r="F28" s="5">
        <f t="shared" si="2"/>
        <v>22105593.403963003</v>
      </c>
      <c r="G28" s="5">
        <f t="shared" si="3"/>
        <v>18900407.620231431</v>
      </c>
      <c r="L28">
        <v>2047</v>
      </c>
      <c r="M28" s="5">
        <f>$M$4-(0.336*$M$4)</f>
        <v>0.2444638216993992</v>
      </c>
      <c r="Q28" s="5"/>
    </row>
    <row r="29" spans="2:17">
      <c r="B29">
        <v>1925</v>
      </c>
      <c r="C29">
        <v>28318</v>
      </c>
      <c r="D29">
        <f t="shared" si="0"/>
        <v>28318000</v>
      </c>
      <c r="E29">
        <f t="shared" si="1"/>
        <v>13734230</v>
      </c>
      <c r="F29" s="5">
        <f t="shared" si="2"/>
        <v>24160022.926029496</v>
      </c>
      <c r="G29" s="5">
        <f t="shared" si="3"/>
        <v>20510995.401919175</v>
      </c>
      <c r="L29">
        <v>2048</v>
      </c>
      <c r="M29" s="5">
        <f>$M$4-(0.35*$M$4)</f>
        <v>0.2393094640129661</v>
      </c>
      <c r="Q29" s="5"/>
    </row>
    <row r="30" spans="2:17">
      <c r="B30">
        <v>1926</v>
      </c>
      <c r="C30">
        <v>28807</v>
      </c>
      <c r="D30">
        <f t="shared" si="0"/>
        <v>28807000</v>
      </c>
      <c r="E30">
        <f t="shared" si="1"/>
        <v>13971395</v>
      </c>
      <c r="F30" s="5">
        <f t="shared" si="2"/>
        <v>24577222.276648484</v>
      </c>
      <c r="G30" s="5">
        <f t="shared" si="3"/>
        <v>20716701.147948433</v>
      </c>
      <c r="L30">
        <v>2049</v>
      </c>
      <c r="M30" s="5">
        <f>$M$4-(0.364*$M$4)</f>
        <v>0.23415510632653297</v>
      </c>
      <c r="Q30" s="5"/>
    </row>
    <row r="31" spans="2:17">
      <c r="B31">
        <v>1927</v>
      </c>
      <c r="C31">
        <v>29540</v>
      </c>
      <c r="D31">
        <f t="shared" si="0"/>
        <v>29540000</v>
      </c>
      <c r="E31">
        <f t="shared" si="1"/>
        <v>14326900</v>
      </c>
      <c r="F31" s="5">
        <f t="shared" si="2"/>
        <v>25202594.718373872</v>
      </c>
      <c r="G31" s="5">
        <f t="shared" si="3"/>
        <v>21091582.114828549</v>
      </c>
      <c r="L31">
        <v>2050</v>
      </c>
      <c r="M31" s="5">
        <f>$M$4-(0.378*$M$4)</f>
        <v>0.22900074864009987</v>
      </c>
      <c r="Q31" s="5"/>
    </row>
    <row r="32" spans="2:17">
      <c r="B32">
        <v>1928</v>
      </c>
      <c r="C32">
        <v>30231</v>
      </c>
      <c r="D32">
        <f t="shared" si="0"/>
        <v>30231000</v>
      </c>
      <c r="E32">
        <f t="shared" si="1"/>
        <v>14662035</v>
      </c>
      <c r="F32" s="5">
        <f t="shared" si="2"/>
        <v>25792134.087039966</v>
      </c>
      <c r="G32" s="5">
        <f t="shared" si="3"/>
        <v>14662035</v>
      </c>
    </row>
    <row r="33" spans="2:7">
      <c r="B33">
        <v>1929</v>
      </c>
      <c r="C33">
        <v>29202</v>
      </c>
      <c r="D33">
        <f t="shared" si="0"/>
        <v>29202000</v>
      </c>
      <c r="E33">
        <f t="shared" si="1"/>
        <v>14162970</v>
      </c>
      <c r="F33" s="5">
        <f t="shared" si="2"/>
        <v>24914223.797087133</v>
      </c>
      <c r="G33" s="5">
        <f t="shared" si="3"/>
        <v>14162970</v>
      </c>
    </row>
    <row r="34" spans="2:7">
      <c r="B34">
        <v>1930</v>
      </c>
      <c r="C34">
        <v>27227</v>
      </c>
      <c r="D34">
        <f t="shared" si="0"/>
        <v>27227000</v>
      </c>
      <c r="E34">
        <f t="shared" si="1"/>
        <v>13205095</v>
      </c>
      <c r="F34" s="5">
        <f t="shared" si="2"/>
        <v>23229216.194893889</v>
      </c>
      <c r="G34" s="5">
        <f t="shared" si="3"/>
        <v>13205095</v>
      </c>
    </row>
    <row r="35" spans="2:7">
      <c r="B35">
        <v>1931</v>
      </c>
      <c r="C35">
        <v>21745</v>
      </c>
      <c r="D35">
        <f t="shared" si="0"/>
        <v>21745000</v>
      </c>
      <c r="E35">
        <f t="shared" si="1"/>
        <v>10546325</v>
      </c>
      <c r="F35" s="5">
        <f t="shared" si="2"/>
        <v>18552146.99224915</v>
      </c>
      <c r="G35" s="5">
        <f t="shared" si="3"/>
        <v>10546325</v>
      </c>
    </row>
    <row r="36" spans="2:7">
      <c r="B36">
        <v>1932</v>
      </c>
      <c r="C36">
        <v>13729</v>
      </c>
      <c r="D36">
        <f t="shared" si="0"/>
        <v>13729000</v>
      </c>
      <c r="E36">
        <f t="shared" si="1"/>
        <v>6658565</v>
      </c>
      <c r="F36" s="5">
        <f t="shared" si="2"/>
        <v>11713149.048360018</v>
      </c>
      <c r="G36" s="5">
        <f t="shared" si="3"/>
        <v>6658565</v>
      </c>
    </row>
    <row r="37" spans="2:7">
      <c r="B37">
        <v>1933</v>
      </c>
      <c r="C37">
        <v>10860</v>
      </c>
      <c r="D37">
        <f t="shared" si="0"/>
        <v>10860000</v>
      </c>
      <c r="E37">
        <f t="shared" si="1"/>
        <v>5267100</v>
      </c>
      <c r="F37" s="5">
        <f t="shared" si="2"/>
        <v>9265408.8910474032</v>
      </c>
      <c r="G37" s="5">
        <f t="shared" si="3"/>
        <v>5267100</v>
      </c>
    </row>
    <row r="38" spans="2:7">
      <c r="B38">
        <v>1934</v>
      </c>
      <c r="C38">
        <v>12877</v>
      </c>
      <c r="D38">
        <f t="shared" si="0"/>
        <v>12877000</v>
      </c>
      <c r="E38">
        <f t="shared" si="1"/>
        <v>6245345</v>
      </c>
      <c r="F38" s="5">
        <f t="shared" si="2"/>
        <v>10986249.566299945</v>
      </c>
      <c r="G38" s="5">
        <f t="shared" si="3"/>
        <v>6245345</v>
      </c>
    </row>
    <row r="39" spans="2:7">
      <c r="B39">
        <v>1935</v>
      </c>
      <c r="C39">
        <v>12745</v>
      </c>
      <c r="D39">
        <f t="shared" si="0"/>
        <v>12745000</v>
      </c>
      <c r="E39">
        <f t="shared" si="1"/>
        <v>6181325</v>
      </c>
      <c r="F39" s="5">
        <f t="shared" si="2"/>
        <v>10873631.336685004</v>
      </c>
      <c r="G39" s="5">
        <f t="shared" si="3"/>
        <v>6181325</v>
      </c>
    </row>
    <row r="40" spans="2:7">
      <c r="B40">
        <v>1936</v>
      </c>
      <c r="C40">
        <v>19129</v>
      </c>
      <c r="D40">
        <f t="shared" si="0"/>
        <v>19129000</v>
      </c>
      <c r="E40">
        <f t="shared" si="1"/>
        <v>9277565</v>
      </c>
      <c r="F40" s="5">
        <f t="shared" si="2"/>
        <v>16320258.441698505</v>
      </c>
      <c r="G40" s="5">
        <f t="shared" si="3"/>
        <v>9277565</v>
      </c>
    </row>
    <row r="41" spans="2:7">
      <c r="B41">
        <v>1937</v>
      </c>
      <c r="C41">
        <v>19469</v>
      </c>
      <c r="D41">
        <f t="shared" si="0"/>
        <v>19469000</v>
      </c>
      <c r="E41">
        <f t="shared" si="1"/>
        <v>9442465</v>
      </c>
      <c r="F41" s="5">
        <f t="shared" si="2"/>
        <v>16610335.699797595</v>
      </c>
      <c r="G41" s="5">
        <f t="shared" si="3"/>
        <v>9442465</v>
      </c>
    </row>
    <row r="42" spans="2:7">
      <c r="B42">
        <v>1938</v>
      </c>
      <c r="C42">
        <v>18211</v>
      </c>
      <c r="D42">
        <f t="shared" si="0"/>
        <v>18211000</v>
      </c>
      <c r="E42">
        <f t="shared" si="1"/>
        <v>8832335</v>
      </c>
      <c r="F42" s="5">
        <f t="shared" si="2"/>
        <v>15537049.844830962</v>
      </c>
      <c r="G42" s="5">
        <f t="shared" si="3"/>
        <v>8832335</v>
      </c>
    </row>
    <row r="43" spans="2:7">
      <c r="B43">
        <v>1939</v>
      </c>
      <c r="C43">
        <v>21046</v>
      </c>
      <c r="D43">
        <f t="shared" si="0"/>
        <v>21046000</v>
      </c>
      <c r="E43">
        <f t="shared" si="1"/>
        <v>10207310</v>
      </c>
      <c r="F43" s="5">
        <f t="shared" si="2"/>
        <v>17955782.276333667</v>
      </c>
      <c r="G43" s="5">
        <f t="shared" si="3"/>
        <v>10207310</v>
      </c>
    </row>
    <row r="44" spans="2:7">
      <c r="B44">
        <v>1940</v>
      </c>
      <c r="C44">
        <v>21793</v>
      </c>
      <c r="D44">
        <f t="shared" si="0"/>
        <v>21793000</v>
      </c>
      <c r="E44">
        <f t="shared" si="1"/>
        <v>10569605</v>
      </c>
      <c r="F44" s="5">
        <f t="shared" si="2"/>
        <v>18593099.075745493</v>
      </c>
      <c r="G44" s="5">
        <f t="shared" si="3"/>
        <v>10569605</v>
      </c>
    </row>
    <row r="45" spans="2:7">
      <c r="B45">
        <v>1941</v>
      </c>
      <c r="C45">
        <v>28378</v>
      </c>
      <c r="D45">
        <f t="shared" si="0"/>
        <v>28378000</v>
      </c>
      <c r="E45">
        <f t="shared" si="1"/>
        <v>13763330</v>
      </c>
      <c r="F45" s="5">
        <f t="shared" si="2"/>
        <v>24211213.030399926</v>
      </c>
      <c r="G45" s="5">
        <f t="shared" si="3"/>
        <v>13763330</v>
      </c>
    </row>
    <row r="46" spans="2:7">
      <c r="B46">
        <v>1942</v>
      </c>
      <c r="C46">
        <v>31045</v>
      </c>
      <c r="D46">
        <f t="shared" si="0"/>
        <v>31045000</v>
      </c>
      <c r="E46">
        <f t="shared" si="1"/>
        <v>15056825</v>
      </c>
      <c r="F46" s="5">
        <f t="shared" si="2"/>
        <v>26486613.169665433</v>
      </c>
      <c r="G46" s="5">
        <f t="shared" si="3"/>
        <v>15056825</v>
      </c>
    </row>
    <row r="47" spans="2:7">
      <c r="B47">
        <v>1943</v>
      </c>
      <c r="C47">
        <v>21226</v>
      </c>
      <c r="D47">
        <f t="shared" si="0"/>
        <v>21226000</v>
      </c>
      <c r="E47">
        <f t="shared" si="1"/>
        <v>10294610</v>
      </c>
      <c r="F47" s="5">
        <f t="shared" si="2"/>
        <v>18109352.58944495</v>
      </c>
      <c r="G47" s="5">
        <f t="shared" si="3"/>
        <v>10294610</v>
      </c>
    </row>
    <row r="48" spans="2:7">
      <c r="B48">
        <v>1944</v>
      </c>
      <c r="C48">
        <v>15497</v>
      </c>
      <c r="D48">
        <f t="shared" si="0"/>
        <v>15497000</v>
      </c>
      <c r="E48">
        <f t="shared" si="1"/>
        <v>7516045</v>
      </c>
      <c r="F48" s="5">
        <f t="shared" si="2"/>
        <v>13221550.790475285</v>
      </c>
      <c r="G48" s="5">
        <f t="shared" si="3"/>
        <v>7516045</v>
      </c>
    </row>
    <row r="49" spans="2:7">
      <c r="B49">
        <v>1945</v>
      </c>
      <c r="C49">
        <v>17378</v>
      </c>
      <c r="D49">
        <f t="shared" si="0"/>
        <v>17378000</v>
      </c>
      <c r="E49">
        <f t="shared" si="1"/>
        <v>8428330</v>
      </c>
      <c r="F49" s="5">
        <f t="shared" si="2"/>
        <v>14826360.562488191</v>
      </c>
      <c r="G49" s="5">
        <f t="shared" si="3"/>
        <v>8428330</v>
      </c>
    </row>
    <row r="50" spans="2:7">
      <c r="B50">
        <v>1946</v>
      </c>
      <c r="C50">
        <v>19493</v>
      </c>
      <c r="D50">
        <f t="shared" si="0"/>
        <v>19493000</v>
      </c>
      <c r="E50">
        <f t="shared" si="1"/>
        <v>9454105</v>
      </c>
      <c r="F50" s="5">
        <f t="shared" si="2"/>
        <v>16630811.741545767</v>
      </c>
      <c r="G50" s="5">
        <f t="shared" si="3"/>
        <v>9454105</v>
      </c>
    </row>
    <row r="51" spans="2:7">
      <c r="B51">
        <v>1947</v>
      </c>
      <c r="C51">
        <v>32634</v>
      </c>
      <c r="D51">
        <f t="shared" si="0"/>
        <v>32634000</v>
      </c>
      <c r="E51">
        <f t="shared" si="1"/>
        <v>15827490</v>
      </c>
      <c r="F51" s="5">
        <f t="shared" si="2"/>
        <v>27842297.767075591</v>
      </c>
      <c r="G51" s="5">
        <f t="shared" si="3"/>
        <v>15827490</v>
      </c>
    </row>
    <row r="52" spans="2:7">
      <c r="B52">
        <v>1948</v>
      </c>
      <c r="C52">
        <v>35856</v>
      </c>
      <c r="D52">
        <f t="shared" si="0"/>
        <v>35856000</v>
      </c>
      <c r="E52">
        <f t="shared" si="1"/>
        <v>17390160</v>
      </c>
      <c r="F52" s="5">
        <f t="shared" si="2"/>
        <v>30591206.371767558</v>
      </c>
      <c r="G52" s="5">
        <f t="shared" si="3"/>
        <v>17390160</v>
      </c>
    </row>
    <row r="53" spans="2:7">
      <c r="B53">
        <v>1949</v>
      </c>
      <c r="C53">
        <v>36265</v>
      </c>
      <c r="D53">
        <f t="shared" si="0"/>
        <v>36265000</v>
      </c>
      <c r="E53">
        <f t="shared" si="1"/>
        <v>17588525</v>
      </c>
      <c r="F53" s="5">
        <f t="shared" si="2"/>
        <v>30940152.249892637</v>
      </c>
      <c r="G53" s="5">
        <f t="shared" si="3"/>
        <v>17588525</v>
      </c>
    </row>
    <row r="54" spans="2:7">
      <c r="B54">
        <v>1950</v>
      </c>
      <c r="C54">
        <v>40891</v>
      </c>
      <c r="D54">
        <f t="shared" si="0"/>
        <v>40891000</v>
      </c>
      <c r="E54">
        <f t="shared" si="1"/>
        <v>19832135</v>
      </c>
      <c r="F54" s="5">
        <f t="shared" si="2"/>
        <v>34886909.296852611</v>
      </c>
      <c r="G54" s="5">
        <f t="shared" si="3"/>
        <v>19832135</v>
      </c>
    </row>
    <row r="55" spans="2:7">
      <c r="B55">
        <v>1951</v>
      </c>
      <c r="C55">
        <v>42695</v>
      </c>
      <c r="D55">
        <f t="shared" si="0"/>
        <v>42695000</v>
      </c>
      <c r="E55">
        <f t="shared" si="1"/>
        <v>20707075</v>
      </c>
      <c r="F55" s="5">
        <f t="shared" si="2"/>
        <v>36426025.101590134</v>
      </c>
      <c r="G55" s="5">
        <f t="shared" si="3"/>
        <v>20707075</v>
      </c>
    </row>
    <row r="56" spans="2:7">
      <c r="B56">
        <v>1952</v>
      </c>
      <c r="C56">
        <v>44335</v>
      </c>
      <c r="D56">
        <f t="shared" si="0"/>
        <v>44335000</v>
      </c>
      <c r="E56">
        <f t="shared" si="1"/>
        <v>21502475</v>
      </c>
      <c r="F56" s="5">
        <f t="shared" si="2"/>
        <v>37825221.287715159</v>
      </c>
      <c r="G56" s="5">
        <f t="shared" si="3"/>
        <v>21502475</v>
      </c>
    </row>
    <row r="57" spans="2:7">
      <c r="B57">
        <v>1953</v>
      </c>
      <c r="C57">
        <v>46047</v>
      </c>
      <c r="D57">
        <f t="shared" si="0"/>
        <v>46047000</v>
      </c>
      <c r="E57">
        <f t="shared" si="1"/>
        <v>22332795</v>
      </c>
      <c r="F57" s="5">
        <f t="shared" si="2"/>
        <v>39285845.59908469</v>
      </c>
      <c r="G57" s="5">
        <f t="shared" si="3"/>
        <v>22332795</v>
      </c>
    </row>
    <row r="58" spans="2:7">
      <c r="B58">
        <v>1954</v>
      </c>
      <c r="C58">
        <v>48897</v>
      </c>
      <c r="D58">
        <f t="shared" si="0"/>
        <v>48897000</v>
      </c>
      <c r="E58">
        <f t="shared" si="1"/>
        <v>23715045</v>
      </c>
      <c r="F58" s="5">
        <f t="shared" si="2"/>
        <v>41717375.556680001</v>
      </c>
      <c r="G58" s="5">
        <f t="shared" si="3"/>
        <v>23715045</v>
      </c>
    </row>
    <row r="59" spans="2:7">
      <c r="B59">
        <v>1955</v>
      </c>
      <c r="C59">
        <v>53589</v>
      </c>
      <c r="D59">
        <f t="shared" si="0"/>
        <v>53589000</v>
      </c>
      <c r="E59">
        <f t="shared" si="1"/>
        <v>25990665</v>
      </c>
      <c r="F59" s="5">
        <f t="shared" si="2"/>
        <v>45720441.718447447</v>
      </c>
      <c r="G59" s="5">
        <f t="shared" si="3"/>
        <v>25990665</v>
      </c>
    </row>
    <row r="60" spans="2:7">
      <c r="B60">
        <v>1956</v>
      </c>
      <c r="C60">
        <v>55225</v>
      </c>
      <c r="D60">
        <f t="shared" si="0"/>
        <v>55225000</v>
      </c>
      <c r="E60">
        <f t="shared" si="1"/>
        <v>26784125</v>
      </c>
      <c r="F60" s="5">
        <f t="shared" si="2"/>
        <v>47116225.23094777</v>
      </c>
      <c r="G60" s="5">
        <f t="shared" si="3"/>
        <v>26784125</v>
      </c>
    </row>
    <row r="61" spans="2:7">
      <c r="B61">
        <v>1957</v>
      </c>
      <c r="C61">
        <v>51638</v>
      </c>
      <c r="D61">
        <f t="shared" si="0"/>
        <v>51638000</v>
      </c>
      <c r="E61">
        <f t="shared" si="1"/>
        <v>25044430</v>
      </c>
      <c r="F61" s="5">
        <f t="shared" si="2"/>
        <v>44055910.158002377</v>
      </c>
      <c r="G61" s="5">
        <f t="shared" si="3"/>
        <v>25044430</v>
      </c>
    </row>
    <row r="62" spans="2:7">
      <c r="B62">
        <v>1958</v>
      </c>
      <c r="C62">
        <v>54542</v>
      </c>
      <c r="D62">
        <f t="shared" si="0"/>
        <v>54542000</v>
      </c>
      <c r="E62">
        <f t="shared" si="1"/>
        <v>26452870</v>
      </c>
      <c r="F62" s="5">
        <f t="shared" si="2"/>
        <v>46533511.209531069</v>
      </c>
      <c r="G62" s="5">
        <f t="shared" si="3"/>
        <v>26452870</v>
      </c>
    </row>
    <row r="63" spans="2:7">
      <c r="B63">
        <v>1959</v>
      </c>
      <c r="C63">
        <v>59899</v>
      </c>
      <c r="D63">
        <f t="shared" si="0"/>
        <v>59899000</v>
      </c>
      <c r="E63">
        <f t="shared" si="1"/>
        <v>29051015</v>
      </c>
      <c r="F63" s="5">
        <f t="shared" si="2"/>
        <v>51103934.361404084</v>
      </c>
      <c r="G63" s="5">
        <f t="shared" si="3"/>
        <v>29051015</v>
      </c>
    </row>
    <row r="64" spans="2:7">
      <c r="B64">
        <v>1960</v>
      </c>
      <c r="C64">
        <v>55526</v>
      </c>
      <c r="D64">
        <f t="shared" si="0"/>
        <v>55526000</v>
      </c>
      <c r="E64">
        <f t="shared" si="1"/>
        <v>26930110</v>
      </c>
      <c r="F64" s="5">
        <f t="shared" si="2"/>
        <v>47373028.921206087</v>
      </c>
      <c r="G64" s="5">
        <f t="shared" si="3"/>
        <v>26930110</v>
      </c>
    </row>
    <row r="65" spans="2:7">
      <c r="B65">
        <v>1961</v>
      </c>
      <c r="C65">
        <v>56826</v>
      </c>
      <c r="D65">
        <f t="shared" si="0"/>
        <v>56826000</v>
      </c>
      <c r="E65">
        <f t="shared" si="1"/>
        <v>27560610</v>
      </c>
      <c r="F65" s="5">
        <f t="shared" si="2"/>
        <v>48482147.849232018</v>
      </c>
      <c r="G65" s="5">
        <f t="shared" si="3"/>
        <v>27560610</v>
      </c>
    </row>
    <row r="66" spans="2:7">
      <c r="B66">
        <v>1962</v>
      </c>
      <c r="C66">
        <v>58983</v>
      </c>
      <c r="D66">
        <f t="shared" si="0"/>
        <v>58983000</v>
      </c>
      <c r="E66">
        <f t="shared" si="1"/>
        <v>28606755</v>
      </c>
      <c r="F66" s="5">
        <f t="shared" si="2"/>
        <v>50322432.101348892</v>
      </c>
      <c r="G66" s="5">
        <f t="shared" si="3"/>
        <v>28606755</v>
      </c>
    </row>
    <row r="67" spans="2:7">
      <c r="B67">
        <v>1963</v>
      </c>
      <c r="C67">
        <v>63648</v>
      </c>
      <c r="D67">
        <f t="shared" si="0"/>
        <v>63648000</v>
      </c>
      <c r="E67">
        <f t="shared" si="1"/>
        <v>30869280</v>
      </c>
      <c r="F67" s="5">
        <f t="shared" si="2"/>
        <v>54302462.716149636</v>
      </c>
      <c r="G67" s="5">
        <f t="shared" si="3"/>
        <v>30869280</v>
      </c>
    </row>
    <row r="68" spans="2:7">
      <c r="B68">
        <v>1964</v>
      </c>
      <c r="C68">
        <v>66149</v>
      </c>
      <c r="D68">
        <f t="shared" si="0"/>
        <v>66149000</v>
      </c>
      <c r="E68">
        <f t="shared" si="1"/>
        <v>32082265</v>
      </c>
      <c r="F68" s="5">
        <f t="shared" si="2"/>
        <v>56436236.899990298</v>
      </c>
      <c r="G68" s="5">
        <f t="shared" si="3"/>
        <v>32082265</v>
      </c>
    </row>
    <row r="69" spans="2:7">
      <c r="B69">
        <v>1965</v>
      </c>
      <c r="C69">
        <v>67589</v>
      </c>
      <c r="D69">
        <f t="shared" ref="D69:D123" si="4">C69*1000</f>
        <v>67589000</v>
      </c>
      <c r="E69">
        <f t="shared" ref="E69:E123" si="5">D69*$H$4</f>
        <v>32780665</v>
      </c>
      <c r="F69" s="5">
        <f t="shared" ref="F69:F123" si="6">D69*$H$6</f>
        <v>57664799.404880561</v>
      </c>
      <c r="G69" s="5">
        <f t="shared" ref="G69:G123" si="7">D69*(M69+$H$4)</f>
        <v>32780665</v>
      </c>
    </row>
    <row r="70" spans="2:7">
      <c r="B70">
        <v>1966</v>
      </c>
      <c r="C70">
        <v>68490</v>
      </c>
      <c r="D70">
        <f t="shared" si="4"/>
        <v>68490000</v>
      </c>
      <c r="E70">
        <f t="shared" si="5"/>
        <v>33217650</v>
      </c>
      <c r="F70" s="5">
        <f t="shared" si="6"/>
        <v>58433504.138843149</v>
      </c>
      <c r="G70" s="5">
        <f t="shared" si="7"/>
        <v>33217650</v>
      </c>
    </row>
    <row r="71" spans="2:7">
      <c r="B71">
        <v>1967</v>
      </c>
      <c r="C71">
        <v>67459</v>
      </c>
      <c r="D71">
        <f t="shared" si="4"/>
        <v>67459000</v>
      </c>
      <c r="E71">
        <f t="shared" si="5"/>
        <v>32717615</v>
      </c>
      <c r="F71" s="5">
        <f t="shared" si="6"/>
        <v>57553887.512077965</v>
      </c>
      <c r="G71" s="5">
        <f t="shared" si="7"/>
        <v>32717615</v>
      </c>
    </row>
    <row r="72" spans="2:7">
      <c r="B72">
        <v>1968</v>
      </c>
      <c r="C72">
        <v>71220</v>
      </c>
      <c r="D72">
        <f t="shared" si="4"/>
        <v>71220000</v>
      </c>
      <c r="E72">
        <f t="shared" si="5"/>
        <v>34541700</v>
      </c>
      <c r="F72" s="5">
        <f t="shared" si="6"/>
        <v>60762653.887697607</v>
      </c>
      <c r="G72" s="5">
        <f t="shared" si="7"/>
        <v>34541700</v>
      </c>
    </row>
    <row r="73" spans="2:7">
      <c r="B73">
        <v>1969</v>
      </c>
      <c r="C73">
        <v>71101</v>
      </c>
      <c r="D73">
        <f t="shared" si="4"/>
        <v>71101000</v>
      </c>
      <c r="E73">
        <f t="shared" si="5"/>
        <v>34483985</v>
      </c>
      <c r="F73" s="5">
        <f t="shared" si="6"/>
        <v>60661126.847362928</v>
      </c>
      <c r="G73" s="5">
        <f t="shared" si="7"/>
        <v>34483985</v>
      </c>
    </row>
    <row r="74" spans="2:7">
      <c r="B74">
        <v>1970</v>
      </c>
      <c r="C74">
        <v>67476</v>
      </c>
      <c r="D74">
        <f t="shared" si="4"/>
        <v>67476000</v>
      </c>
      <c r="E74">
        <f t="shared" si="5"/>
        <v>32725860</v>
      </c>
      <c r="F74" s="5">
        <f t="shared" si="6"/>
        <v>57568391.374982923</v>
      </c>
      <c r="G74" s="5">
        <f t="shared" si="7"/>
        <v>32725860</v>
      </c>
    </row>
    <row r="75" spans="2:7">
      <c r="B75">
        <v>1971</v>
      </c>
      <c r="C75">
        <v>72842</v>
      </c>
      <c r="D75">
        <f t="shared" si="4"/>
        <v>72842000</v>
      </c>
      <c r="E75">
        <f t="shared" si="5"/>
        <v>35328370</v>
      </c>
      <c r="F75" s="5">
        <f t="shared" si="6"/>
        <v>62146493.0425115</v>
      </c>
      <c r="G75" s="5">
        <f t="shared" si="7"/>
        <v>35328370</v>
      </c>
    </row>
    <row r="76" spans="2:7">
      <c r="B76">
        <v>1972</v>
      </c>
      <c r="C76">
        <v>76768</v>
      </c>
      <c r="D76">
        <f t="shared" si="4"/>
        <v>76768000</v>
      </c>
      <c r="E76">
        <f t="shared" si="5"/>
        <v>37232480</v>
      </c>
      <c r="F76" s="5">
        <f t="shared" si="6"/>
        <v>65496032.205149814</v>
      </c>
      <c r="G76" s="5">
        <f t="shared" si="7"/>
        <v>37232480</v>
      </c>
    </row>
    <row r="77" spans="2:7">
      <c r="B77">
        <v>1973</v>
      </c>
      <c r="C77">
        <v>81941</v>
      </c>
      <c r="D77">
        <f t="shared" si="4"/>
        <v>81941000</v>
      </c>
      <c r="E77">
        <f t="shared" si="5"/>
        <v>39741385</v>
      </c>
      <c r="F77" s="5">
        <f t="shared" si="6"/>
        <v>69909472.370286852</v>
      </c>
      <c r="G77" s="5">
        <f t="shared" si="7"/>
        <v>39741385</v>
      </c>
    </row>
    <row r="78" spans="2:7">
      <c r="B78">
        <v>1974</v>
      </c>
      <c r="C78">
        <v>74844</v>
      </c>
      <c r="D78">
        <f t="shared" si="4"/>
        <v>74844000</v>
      </c>
      <c r="E78">
        <f t="shared" si="5"/>
        <v>36299340</v>
      </c>
      <c r="F78" s="5">
        <f t="shared" si="6"/>
        <v>63854536.191671439</v>
      </c>
      <c r="G78" s="5">
        <f t="shared" si="7"/>
        <v>36299340</v>
      </c>
    </row>
    <row r="79" spans="2:7">
      <c r="B79">
        <v>1975</v>
      </c>
      <c r="C79">
        <v>63608</v>
      </c>
      <c r="D79">
        <f t="shared" si="4"/>
        <v>63608000</v>
      </c>
      <c r="E79">
        <f t="shared" si="5"/>
        <v>30849880</v>
      </c>
      <c r="F79" s="5">
        <f t="shared" si="6"/>
        <v>54268335.979902685</v>
      </c>
      <c r="G79" s="5">
        <f t="shared" si="7"/>
        <v>30849880</v>
      </c>
    </row>
    <row r="80" spans="2:7">
      <c r="B80">
        <v>1976</v>
      </c>
      <c r="C80">
        <v>67509</v>
      </c>
      <c r="D80">
        <f t="shared" si="4"/>
        <v>67509000</v>
      </c>
      <c r="E80">
        <f t="shared" si="5"/>
        <v>32741865</v>
      </c>
      <c r="F80" s="5">
        <f t="shared" si="6"/>
        <v>57596545.932386659</v>
      </c>
      <c r="G80" s="5">
        <f t="shared" si="7"/>
        <v>32741865</v>
      </c>
    </row>
    <row r="81" spans="2:7">
      <c r="B81">
        <v>1977</v>
      </c>
      <c r="C81">
        <v>73427</v>
      </c>
      <c r="D81">
        <f t="shared" si="4"/>
        <v>73427000</v>
      </c>
      <c r="E81">
        <f t="shared" si="5"/>
        <v>35612095</v>
      </c>
      <c r="F81" s="5">
        <f t="shared" si="6"/>
        <v>62645596.560123168</v>
      </c>
      <c r="G81" s="5">
        <f t="shared" si="7"/>
        <v>35612095</v>
      </c>
    </row>
    <row r="82" spans="2:7">
      <c r="B82">
        <v>1978</v>
      </c>
      <c r="C82">
        <v>79288</v>
      </c>
      <c r="D82">
        <f t="shared" si="4"/>
        <v>79288000</v>
      </c>
      <c r="E82">
        <f t="shared" si="5"/>
        <v>38454680</v>
      </c>
      <c r="F82" s="5">
        <f t="shared" si="6"/>
        <v>67646016.588707775</v>
      </c>
      <c r="G82" s="5">
        <f t="shared" si="7"/>
        <v>38454680</v>
      </c>
    </row>
    <row r="83" spans="2:7">
      <c r="B83">
        <v>1979</v>
      </c>
      <c r="C83">
        <v>78964</v>
      </c>
      <c r="D83">
        <f t="shared" si="4"/>
        <v>78964000</v>
      </c>
      <c r="E83">
        <f t="shared" si="5"/>
        <v>38297540</v>
      </c>
      <c r="F83" s="5">
        <f t="shared" si="6"/>
        <v>67369590.025107473</v>
      </c>
      <c r="G83" s="5">
        <f t="shared" si="7"/>
        <v>38297540</v>
      </c>
    </row>
    <row r="84" spans="2:7">
      <c r="B84">
        <v>1980</v>
      </c>
      <c r="C84">
        <v>70173</v>
      </c>
      <c r="D84">
        <f t="shared" si="4"/>
        <v>70173000</v>
      </c>
      <c r="E84">
        <f t="shared" si="5"/>
        <v>34033905</v>
      </c>
      <c r="F84" s="5">
        <f t="shared" si="6"/>
        <v>59869386.566433646</v>
      </c>
      <c r="G84" s="5">
        <f t="shared" si="7"/>
        <v>34033905</v>
      </c>
    </row>
    <row r="85" spans="2:7">
      <c r="B85">
        <v>1981</v>
      </c>
      <c r="C85">
        <v>66092</v>
      </c>
      <c r="D85">
        <f t="shared" si="4"/>
        <v>66092000</v>
      </c>
      <c r="E85">
        <f t="shared" si="5"/>
        <v>32054620</v>
      </c>
      <c r="F85" s="5">
        <f t="shared" si="6"/>
        <v>56387606.300838389</v>
      </c>
      <c r="G85" s="5">
        <f t="shared" si="7"/>
        <v>32054620</v>
      </c>
    </row>
    <row r="86" spans="2:7">
      <c r="B86">
        <v>1982</v>
      </c>
      <c r="C86">
        <v>59572</v>
      </c>
      <c r="D86">
        <f t="shared" si="4"/>
        <v>59572000</v>
      </c>
      <c r="E86">
        <f t="shared" si="5"/>
        <v>28892420</v>
      </c>
      <c r="F86" s="5">
        <f t="shared" si="6"/>
        <v>50824948.292585254</v>
      </c>
      <c r="G86" s="5">
        <f t="shared" si="7"/>
        <v>28892420</v>
      </c>
    </row>
    <row r="87" spans="2:7">
      <c r="B87">
        <v>1983</v>
      </c>
      <c r="C87">
        <v>65838</v>
      </c>
      <c r="D87">
        <f t="shared" si="4"/>
        <v>65838000</v>
      </c>
      <c r="E87">
        <f t="shared" si="5"/>
        <v>31931430</v>
      </c>
      <c r="F87" s="5">
        <f t="shared" si="6"/>
        <v>56170901.525670245</v>
      </c>
      <c r="G87" s="5">
        <f t="shared" si="7"/>
        <v>31931430</v>
      </c>
    </row>
    <row r="88" spans="2:7">
      <c r="B88">
        <v>1984</v>
      </c>
      <c r="C88">
        <v>76186</v>
      </c>
      <c r="D88">
        <f t="shared" si="4"/>
        <v>76186000</v>
      </c>
      <c r="E88">
        <f t="shared" si="5"/>
        <v>36950210</v>
      </c>
      <c r="F88" s="5">
        <f t="shared" si="6"/>
        <v>64999488.192756668</v>
      </c>
      <c r="G88" s="5">
        <f t="shared" si="7"/>
        <v>36950210</v>
      </c>
    </row>
    <row r="89" spans="2:7">
      <c r="B89">
        <v>1985</v>
      </c>
      <c r="C89">
        <v>78836</v>
      </c>
      <c r="D89">
        <f t="shared" si="4"/>
        <v>78836000</v>
      </c>
      <c r="E89">
        <f t="shared" si="5"/>
        <v>38235460</v>
      </c>
      <c r="F89" s="5">
        <f t="shared" si="6"/>
        <v>67260384.469117224</v>
      </c>
      <c r="G89" s="5">
        <f t="shared" si="7"/>
        <v>38235460</v>
      </c>
    </row>
    <row r="90" spans="2:7">
      <c r="B90">
        <v>1986</v>
      </c>
      <c r="C90">
        <v>82837</v>
      </c>
      <c r="D90">
        <f t="shared" si="4"/>
        <v>82837000</v>
      </c>
      <c r="E90">
        <f t="shared" si="5"/>
        <v>40175945</v>
      </c>
      <c r="F90" s="5">
        <f t="shared" si="6"/>
        <v>70673911.262218565</v>
      </c>
      <c r="G90" s="5">
        <f t="shared" si="7"/>
        <v>40175945</v>
      </c>
    </row>
    <row r="91" spans="2:7">
      <c r="B91">
        <v>1987</v>
      </c>
      <c r="C91">
        <v>84204</v>
      </c>
      <c r="D91">
        <f t="shared" si="4"/>
        <v>84204000</v>
      </c>
      <c r="E91">
        <f t="shared" si="5"/>
        <v>40838940</v>
      </c>
      <c r="F91" s="5">
        <f t="shared" si="6"/>
        <v>71840192.473458141</v>
      </c>
      <c r="G91" s="5">
        <f t="shared" si="7"/>
        <v>40838940</v>
      </c>
    </row>
    <row r="92" spans="2:7">
      <c r="B92">
        <v>1988</v>
      </c>
      <c r="C92">
        <v>83851</v>
      </c>
      <c r="D92">
        <f t="shared" si="4"/>
        <v>83851000</v>
      </c>
      <c r="E92">
        <f t="shared" si="5"/>
        <v>40667735</v>
      </c>
      <c r="F92" s="5">
        <f t="shared" si="6"/>
        <v>71539024.026078805</v>
      </c>
      <c r="G92" s="5">
        <f t="shared" si="7"/>
        <v>40667735</v>
      </c>
    </row>
    <row r="93" spans="2:7">
      <c r="B93">
        <v>1989</v>
      </c>
      <c r="C93">
        <v>82414</v>
      </c>
      <c r="D93">
        <f t="shared" si="4"/>
        <v>82414000</v>
      </c>
      <c r="E93">
        <f t="shared" si="5"/>
        <v>39970790</v>
      </c>
      <c r="F93" s="5">
        <f t="shared" si="6"/>
        <v>70313021.026407063</v>
      </c>
      <c r="G93" s="5">
        <f t="shared" si="7"/>
        <v>39970790</v>
      </c>
    </row>
    <row r="94" spans="2:7">
      <c r="B94">
        <v>1990</v>
      </c>
      <c r="C94">
        <v>80964</v>
      </c>
      <c r="D94">
        <f t="shared" si="4"/>
        <v>80964000</v>
      </c>
      <c r="E94">
        <f t="shared" si="5"/>
        <v>39267540</v>
      </c>
      <c r="F94" s="5">
        <f t="shared" si="6"/>
        <v>69075926.837455049</v>
      </c>
      <c r="G94" s="5">
        <f t="shared" si="7"/>
        <v>39267540</v>
      </c>
    </row>
    <row r="95" spans="2:7">
      <c r="B95">
        <v>1991</v>
      </c>
      <c r="C95">
        <v>71800</v>
      </c>
      <c r="D95">
        <f t="shared" si="4"/>
        <v>71800000</v>
      </c>
      <c r="E95">
        <f t="shared" si="5"/>
        <v>34823000</v>
      </c>
      <c r="F95" s="5">
        <f t="shared" si="6"/>
        <v>61257491.563278407</v>
      </c>
      <c r="G95" s="5">
        <f t="shared" si="7"/>
        <v>34823000</v>
      </c>
    </row>
    <row r="96" spans="2:7">
      <c r="B96">
        <v>1992</v>
      </c>
      <c r="C96">
        <v>76169</v>
      </c>
      <c r="D96">
        <f t="shared" si="4"/>
        <v>76169000</v>
      </c>
      <c r="E96">
        <f t="shared" si="5"/>
        <v>36941965</v>
      </c>
      <c r="F96" s="5">
        <f t="shared" si="6"/>
        <v>64984984.329851709</v>
      </c>
      <c r="G96" s="5">
        <f t="shared" si="7"/>
        <v>36941965</v>
      </c>
    </row>
    <row r="97" spans="2:7">
      <c r="B97">
        <v>1993</v>
      </c>
      <c r="C97">
        <v>79701</v>
      </c>
      <c r="D97">
        <f t="shared" si="4"/>
        <v>79701000</v>
      </c>
      <c r="E97">
        <f t="shared" si="5"/>
        <v>38654985</v>
      </c>
      <c r="F97" s="5">
        <f t="shared" si="6"/>
        <v>67998375.140457556</v>
      </c>
      <c r="G97" s="5">
        <f t="shared" si="7"/>
        <v>38654985</v>
      </c>
    </row>
    <row r="98" spans="2:7">
      <c r="B98">
        <v>1994</v>
      </c>
      <c r="C98">
        <v>86476</v>
      </c>
      <c r="D98">
        <f t="shared" si="4"/>
        <v>86476000</v>
      </c>
      <c r="E98">
        <f t="shared" si="5"/>
        <v>41940860</v>
      </c>
      <c r="F98" s="5">
        <f t="shared" si="6"/>
        <v>73778591.092285007</v>
      </c>
      <c r="G98" s="5">
        <f t="shared" si="7"/>
        <v>41940860</v>
      </c>
    </row>
    <row r="99" spans="2:7">
      <c r="B99">
        <v>1995</v>
      </c>
      <c r="C99">
        <v>86003</v>
      </c>
      <c r="D99">
        <f t="shared" si="4"/>
        <v>86003000</v>
      </c>
      <c r="E99">
        <f t="shared" si="5"/>
        <v>41711455</v>
      </c>
      <c r="F99" s="5">
        <f t="shared" si="6"/>
        <v>73375042.436164796</v>
      </c>
      <c r="G99" s="5">
        <f t="shared" si="7"/>
        <v>41711455</v>
      </c>
    </row>
    <row r="100" spans="2:7">
      <c r="B100">
        <v>1996</v>
      </c>
      <c r="C100">
        <v>90355</v>
      </c>
      <c r="D100">
        <f t="shared" si="4"/>
        <v>90355000</v>
      </c>
      <c r="E100">
        <f t="shared" si="5"/>
        <v>43822175</v>
      </c>
      <c r="F100" s="5">
        <f t="shared" si="6"/>
        <v>77088031.339833155</v>
      </c>
      <c r="G100" s="5">
        <f t="shared" si="7"/>
        <v>43822175</v>
      </c>
    </row>
    <row r="101" spans="2:7">
      <c r="B101">
        <v>1997</v>
      </c>
      <c r="C101">
        <v>96018</v>
      </c>
      <c r="D101">
        <f t="shared" si="4"/>
        <v>96018000</v>
      </c>
      <c r="E101">
        <f t="shared" si="5"/>
        <v>46568730</v>
      </c>
      <c r="F101" s="5">
        <f t="shared" si="6"/>
        <v>81919524.023995355</v>
      </c>
      <c r="G101" s="5">
        <f t="shared" si="7"/>
        <v>46568730</v>
      </c>
    </row>
    <row r="102" spans="2:7">
      <c r="B102">
        <v>1998</v>
      </c>
      <c r="C102">
        <v>103457</v>
      </c>
      <c r="D102">
        <f t="shared" si="4"/>
        <v>103457000</v>
      </c>
      <c r="E102">
        <f t="shared" si="5"/>
        <v>50176645</v>
      </c>
      <c r="F102" s="5">
        <f t="shared" si="6"/>
        <v>88266243.797522202</v>
      </c>
      <c r="G102" s="5">
        <f t="shared" si="7"/>
        <v>50176645</v>
      </c>
    </row>
    <row r="103" spans="2:7">
      <c r="B103">
        <v>1999</v>
      </c>
      <c r="C103">
        <v>108862</v>
      </c>
      <c r="D103">
        <f t="shared" si="4"/>
        <v>108862000</v>
      </c>
      <c r="E103">
        <f t="shared" si="5"/>
        <v>52798070</v>
      </c>
      <c r="F103" s="5">
        <f t="shared" si="6"/>
        <v>92877619.032891557</v>
      </c>
      <c r="G103" s="5">
        <f t="shared" si="7"/>
        <v>52798070</v>
      </c>
    </row>
    <row r="104" spans="2:7">
      <c r="B104">
        <v>2000</v>
      </c>
      <c r="C104">
        <v>110470</v>
      </c>
      <c r="D104">
        <f t="shared" si="4"/>
        <v>110470000</v>
      </c>
      <c r="E104">
        <f t="shared" si="5"/>
        <v>53577950</v>
      </c>
      <c r="F104" s="5">
        <f t="shared" si="6"/>
        <v>94249513.830019027</v>
      </c>
      <c r="G104" s="5">
        <f t="shared" si="7"/>
        <v>53577950</v>
      </c>
    </row>
    <row r="105" spans="2:7">
      <c r="B105">
        <v>2001</v>
      </c>
      <c r="C105">
        <v>112800</v>
      </c>
      <c r="D105">
        <f t="shared" si="4"/>
        <v>112800000</v>
      </c>
      <c r="E105">
        <f t="shared" si="5"/>
        <v>54708000</v>
      </c>
      <c r="F105" s="5">
        <f t="shared" si="6"/>
        <v>96237396.216403961</v>
      </c>
      <c r="G105" s="5">
        <f t="shared" si="7"/>
        <v>54708000</v>
      </c>
    </row>
    <row r="106" spans="2:7">
      <c r="B106">
        <v>2002</v>
      </c>
      <c r="C106">
        <v>110020</v>
      </c>
      <c r="D106">
        <f t="shared" si="4"/>
        <v>110020000</v>
      </c>
      <c r="E106">
        <f t="shared" si="5"/>
        <v>53359700</v>
      </c>
      <c r="F106" s="5">
        <f t="shared" si="6"/>
        <v>93865588.047240809</v>
      </c>
      <c r="G106" s="5">
        <f t="shared" si="7"/>
        <v>53359700</v>
      </c>
    </row>
    <row r="107" spans="2:7">
      <c r="B107">
        <v>2003</v>
      </c>
      <c r="C107">
        <v>114090</v>
      </c>
      <c r="D107">
        <f t="shared" si="4"/>
        <v>114090000</v>
      </c>
      <c r="E107">
        <f t="shared" si="5"/>
        <v>55333650</v>
      </c>
      <c r="F107" s="5">
        <f t="shared" si="6"/>
        <v>97337983.460368156</v>
      </c>
      <c r="G107" s="5">
        <f t="shared" si="7"/>
        <v>55333650</v>
      </c>
    </row>
    <row r="108" spans="2:7">
      <c r="B108">
        <v>2004</v>
      </c>
      <c r="C108">
        <v>121980</v>
      </c>
      <c r="D108">
        <f t="shared" si="4"/>
        <v>121980000</v>
      </c>
      <c r="E108">
        <f t="shared" si="5"/>
        <v>59160300</v>
      </c>
      <c r="F108" s="5">
        <f t="shared" si="6"/>
        <v>104069482.1850794</v>
      </c>
      <c r="G108" s="5">
        <f t="shared" si="7"/>
        <v>59160300</v>
      </c>
    </row>
    <row r="109" spans="2:7">
      <c r="B109">
        <v>2005</v>
      </c>
      <c r="C109">
        <v>128250</v>
      </c>
      <c r="D109">
        <f t="shared" si="4"/>
        <v>128250000</v>
      </c>
      <c r="E109">
        <f t="shared" si="5"/>
        <v>62201250</v>
      </c>
      <c r="F109" s="5">
        <f t="shared" si="6"/>
        <v>109418848.09178908</v>
      </c>
      <c r="G109" s="5">
        <f t="shared" si="7"/>
        <v>62201250</v>
      </c>
    </row>
    <row r="110" spans="2:7">
      <c r="B110">
        <v>2006</v>
      </c>
      <c r="C110">
        <v>127660</v>
      </c>
      <c r="D110">
        <f t="shared" si="4"/>
        <v>127660000</v>
      </c>
      <c r="E110">
        <f t="shared" si="5"/>
        <v>61915100</v>
      </c>
      <c r="F110" s="5">
        <f t="shared" si="6"/>
        <v>108915478.73214653</v>
      </c>
      <c r="G110" s="5">
        <f t="shared" si="7"/>
        <v>61915100</v>
      </c>
    </row>
    <row r="111" spans="2:7">
      <c r="B111">
        <v>2007</v>
      </c>
      <c r="C111">
        <v>116550</v>
      </c>
      <c r="D111">
        <f t="shared" si="4"/>
        <v>116550000</v>
      </c>
      <c r="E111">
        <f t="shared" si="5"/>
        <v>56526750</v>
      </c>
      <c r="F111" s="5">
        <f t="shared" si="6"/>
        <v>99436777.739555687</v>
      </c>
      <c r="G111" s="5">
        <f t="shared" si="7"/>
        <v>56526750</v>
      </c>
    </row>
    <row r="112" spans="2:7">
      <c r="B112">
        <v>2008</v>
      </c>
      <c r="C112">
        <v>96760</v>
      </c>
      <c r="D112">
        <f t="shared" si="4"/>
        <v>96760000</v>
      </c>
      <c r="E112">
        <f t="shared" si="5"/>
        <v>46928600</v>
      </c>
      <c r="F112" s="5">
        <f t="shared" si="6"/>
        <v>82552574.981376305</v>
      </c>
      <c r="G112" s="5">
        <f t="shared" si="7"/>
        <v>46928600</v>
      </c>
    </row>
    <row r="113" spans="2:7">
      <c r="B113">
        <v>2009</v>
      </c>
      <c r="C113">
        <v>71540</v>
      </c>
      <c r="D113">
        <f t="shared" si="4"/>
        <v>71540000</v>
      </c>
      <c r="E113">
        <f t="shared" si="5"/>
        <v>34696900</v>
      </c>
      <c r="F113" s="5">
        <f t="shared" si="6"/>
        <v>61035667.777673222</v>
      </c>
      <c r="G113" s="5">
        <f t="shared" si="7"/>
        <v>34696900</v>
      </c>
    </row>
    <row r="114" spans="2:7">
      <c r="B114">
        <v>2010</v>
      </c>
      <c r="C114">
        <v>71190</v>
      </c>
      <c r="D114">
        <f t="shared" si="4"/>
        <v>71190000</v>
      </c>
      <c r="E114">
        <f t="shared" si="5"/>
        <v>34527150</v>
      </c>
      <c r="F114" s="5">
        <f t="shared" si="6"/>
        <v>60737058.835512392</v>
      </c>
      <c r="G114" s="5">
        <f t="shared" si="7"/>
        <v>34527150</v>
      </c>
    </row>
    <row r="115" spans="2:7">
      <c r="B115">
        <v>2011</v>
      </c>
      <c r="C115">
        <v>72200</v>
      </c>
      <c r="D115">
        <f t="shared" si="4"/>
        <v>72200000</v>
      </c>
      <c r="E115">
        <f t="shared" si="5"/>
        <v>35017000</v>
      </c>
      <c r="F115" s="5">
        <f t="shared" si="6"/>
        <v>61598758.925747924</v>
      </c>
      <c r="G115" s="5">
        <f t="shared" si="7"/>
        <v>35017000</v>
      </c>
    </row>
    <row r="116" spans="2:7">
      <c r="B116">
        <v>2012</v>
      </c>
      <c r="C116">
        <v>77900</v>
      </c>
      <c r="D116">
        <f t="shared" si="4"/>
        <v>77900000</v>
      </c>
      <c r="E116">
        <f t="shared" si="5"/>
        <v>37781500</v>
      </c>
      <c r="F116" s="5">
        <f t="shared" si="6"/>
        <v>66461818.840938553</v>
      </c>
      <c r="G116" s="5">
        <f t="shared" si="7"/>
        <v>37781500</v>
      </c>
    </row>
    <row r="117" spans="2:7">
      <c r="B117">
        <v>2013</v>
      </c>
      <c r="C117">
        <v>81750</v>
      </c>
      <c r="D117">
        <f t="shared" si="4"/>
        <v>81750000</v>
      </c>
      <c r="E117">
        <f t="shared" si="5"/>
        <v>39648750</v>
      </c>
      <c r="F117" s="5">
        <f t="shared" si="6"/>
        <v>69746517.204707652</v>
      </c>
      <c r="G117" s="5">
        <f t="shared" si="7"/>
        <v>39648750</v>
      </c>
    </row>
    <row r="118" spans="2:7">
      <c r="B118">
        <v>2014</v>
      </c>
      <c r="C118">
        <v>89220</v>
      </c>
      <c r="D118">
        <f t="shared" si="4"/>
        <v>89220000</v>
      </c>
      <c r="E118">
        <f t="shared" si="5"/>
        <v>43271700</v>
      </c>
      <c r="F118" s="5">
        <f t="shared" si="6"/>
        <v>76119685.198825896</v>
      </c>
      <c r="G118" s="5">
        <f t="shared" si="7"/>
        <v>43271700</v>
      </c>
    </row>
    <row r="119" spans="2:7">
      <c r="B119">
        <v>2015</v>
      </c>
      <c r="C119">
        <v>92150</v>
      </c>
      <c r="D119">
        <f t="shared" si="4"/>
        <v>92150000</v>
      </c>
      <c r="E119">
        <f t="shared" si="5"/>
        <v>44692750</v>
      </c>
      <c r="F119" s="5">
        <f t="shared" si="6"/>
        <v>78619468.628915116</v>
      </c>
      <c r="G119" s="5">
        <f t="shared" si="7"/>
        <v>44692750</v>
      </c>
    </row>
    <row r="120" spans="2:7">
      <c r="B120">
        <v>2016</v>
      </c>
      <c r="C120">
        <v>95150</v>
      </c>
      <c r="D120">
        <f t="shared" si="4"/>
        <v>95150000</v>
      </c>
      <c r="E120">
        <f t="shared" si="5"/>
        <v>46147750</v>
      </c>
      <c r="F120" s="5">
        <f t="shared" si="6"/>
        <v>81178973.847436503</v>
      </c>
      <c r="G120" s="5">
        <f t="shared" si="7"/>
        <v>46147750</v>
      </c>
    </row>
    <row r="121" spans="2:7">
      <c r="B121">
        <v>2017</v>
      </c>
      <c r="C121">
        <v>97160</v>
      </c>
      <c r="D121">
        <f t="shared" si="4"/>
        <v>97160000</v>
      </c>
      <c r="E121">
        <f t="shared" si="5"/>
        <v>47122600</v>
      </c>
      <c r="F121" s="5">
        <f t="shared" si="6"/>
        <v>82893842.343845829</v>
      </c>
      <c r="G121" s="5">
        <f t="shared" si="7"/>
        <v>47122600</v>
      </c>
    </row>
    <row r="122" spans="2:7">
      <c r="B122">
        <v>2018</v>
      </c>
      <c r="C122">
        <v>98500</v>
      </c>
      <c r="D122">
        <f t="shared" si="4"/>
        <v>98500000</v>
      </c>
      <c r="E122">
        <f t="shared" si="5"/>
        <v>47772500</v>
      </c>
      <c r="F122" s="5">
        <f t="shared" si="6"/>
        <v>84037088.008118704</v>
      </c>
      <c r="G122" s="5">
        <f t="shared" si="7"/>
        <v>47772500</v>
      </c>
    </row>
    <row r="123" spans="2:7">
      <c r="B123">
        <v>2019</v>
      </c>
      <c r="C123">
        <v>101600</v>
      </c>
      <c r="D123">
        <f t="shared" si="4"/>
        <v>101600000</v>
      </c>
      <c r="E123">
        <f t="shared" si="5"/>
        <v>49276000</v>
      </c>
      <c r="F123" s="5">
        <f t="shared" si="6"/>
        <v>86681910.067257464</v>
      </c>
      <c r="G123" s="5">
        <f t="shared" si="7"/>
        <v>49276000</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03EC7-3321-4AAE-A4FC-301624003098}">
  <dimension ref="B1:L24"/>
  <sheetViews>
    <sheetView zoomScale="96" zoomScaleNormal="96" workbookViewId="0">
      <selection activeCell="F5" sqref="F5"/>
    </sheetView>
  </sheetViews>
  <sheetFormatPr defaultColWidth="8.81640625" defaultRowHeight="14.5"/>
  <cols>
    <col min="2" max="2" width="12.453125" customWidth="1"/>
    <col min="3" max="3" width="16.6328125" customWidth="1"/>
    <col min="4" max="4" width="33.6328125" customWidth="1"/>
    <col min="5" max="5" width="23" customWidth="1"/>
    <col min="6" max="6" width="10.453125" bestFit="1" customWidth="1"/>
    <col min="8" max="8" width="10" bestFit="1" customWidth="1"/>
    <col min="9" max="9" width="10.1796875" bestFit="1" customWidth="1"/>
    <col min="10" max="10" width="13" customWidth="1"/>
    <col min="12" max="12" width="12.1796875" customWidth="1"/>
  </cols>
  <sheetData>
    <row r="1" spans="2:12" ht="17.5">
      <c r="B1" s="105" t="s">
        <v>334</v>
      </c>
    </row>
    <row r="3" spans="2:12" ht="14.5" customHeight="1">
      <c r="B3" s="155" t="s">
        <v>332</v>
      </c>
      <c r="C3" s="156"/>
      <c r="D3" s="156"/>
      <c r="E3" s="157"/>
    </row>
    <row r="4" spans="2:12">
      <c r="B4" s="158"/>
      <c r="C4" s="159"/>
      <c r="D4" s="159"/>
      <c r="E4" s="160"/>
    </row>
    <row r="5" spans="2:12">
      <c r="B5" s="154">
        <v>2015</v>
      </c>
      <c r="C5" s="154"/>
      <c r="D5" s="154"/>
      <c r="E5" s="154"/>
    </row>
    <row r="6" spans="2:12">
      <c r="B6" s="81" t="s">
        <v>157</v>
      </c>
      <c r="C6" s="81" t="s">
        <v>329</v>
      </c>
      <c r="D6" s="81" t="s">
        <v>330</v>
      </c>
      <c r="E6" s="81" t="s">
        <v>331</v>
      </c>
    </row>
    <row r="7" spans="2:12">
      <c r="B7" s="82">
        <v>4.9327354959308976E-2</v>
      </c>
      <c r="C7" s="83">
        <v>5.7627502403676145E-2</v>
      </c>
      <c r="D7" s="83">
        <v>6.7375781313766314E-2</v>
      </c>
      <c r="E7" s="84">
        <v>2.8420706247681126E-2</v>
      </c>
    </row>
    <row r="9" spans="2:12" ht="15.5">
      <c r="B9" s="106" t="s">
        <v>358</v>
      </c>
      <c r="C9" s="85"/>
      <c r="D9" s="85"/>
      <c r="E9" s="85"/>
      <c r="F9" s="85"/>
      <c r="G9" s="85"/>
      <c r="H9" s="85"/>
      <c r="I9" s="85"/>
      <c r="J9" s="86"/>
    </row>
    <row r="10" spans="2:12">
      <c r="B10" s="87" t="s">
        <v>345</v>
      </c>
      <c r="J10" s="20"/>
    </row>
    <row r="11" spans="2:12" ht="32" customHeight="1">
      <c r="B11" s="161" t="s">
        <v>335</v>
      </c>
      <c r="C11" s="162"/>
      <c r="D11" s="162"/>
      <c r="E11" s="162"/>
      <c r="F11" s="162"/>
      <c r="G11" s="162"/>
      <c r="H11" s="162"/>
      <c r="I11" s="162"/>
      <c r="J11" s="163"/>
    </row>
    <row r="12" spans="2:12">
      <c r="B12" s="88"/>
      <c r="C12" s="81" t="s">
        <v>336</v>
      </c>
      <c r="D12" s="81" t="s">
        <v>337</v>
      </c>
      <c r="E12" s="81" t="s">
        <v>338</v>
      </c>
      <c r="F12" s="81" t="s">
        <v>339</v>
      </c>
      <c r="G12" s="81" t="s">
        <v>340</v>
      </c>
      <c r="H12" s="81" t="s">
        <v>341</v>
      </c>
      <c r="I12" s="81" t="s">
        <v>342</v>
      </c>
      <c r="J12" s="81" t="s">
        <v>343</v>
      </c>
    </row>
    <row r="13" spans="2:12">
      <c r="B13" s="93" t="s">
        <v>344</v>
      </c>
      <c r="C13" s="94">
        <v>0.37857192136677575</v>
      </c>
      <c r="D13" s="94">
        <v>1.6825418727412257E-2</v>
      </c>
      <c r="E13" s="94">
        <v>5.42393329065212E-2</v>
      </c>
      <c r="F13" s="94">
        <v>4.1795892289146E-3</v>
      </c>
      <c r="G13" s="94">
        <v>0.36174650263936353</v>
      </c>
      <c r="H13" s="94">
        <v>8.4127093637061293E-2</v>
      </c>
      <c r="I13" s="94">
        <v>9.0906065728892552E-2</v>
      </c>
      <c r="J13" s="95">
        <v>9.40407576505785E-3</v>
      </c>
    </row>
    <row r="15" spans="2:12" ht="15.5">
      <c r="B15" s="106" t="s">
        <v>346</v>
      </c>
      <c r="C15" s="85"/>
      <c r="D15" s="85"/>
      <c r="E15" s="85"/>
      <c r="F15" s="85"/>
      <c r="G15" s="85"/>
      <c r="H15" s="85"/>
      <c r="I15" s="85"/>
      <c r="J15" s="85"/>
      <c r="K15" s="85"/>
      <c r="L15" s="86"/>
    </row>
    <row r="16" spans="2:12">
      <c r="B16" s="87" t="s">
        <v>357</v>
      </c>
      <c r="L16" s="20"/>
    </row>
    <row r="17" spans="2:12">
      <c r="B17" s="88"/>
      <c r="C17" s="81" t="s">
        <v>347</v>
      </c>
      <c r="D17" s="81" t="s">
        <v>348</v>
      </c>
      <c r="E17" s="81" t="s">
        <v>349</v>
      </c>
      <c r="F17" s="81" t="s">
        <v>350</v>
      </c>
      <c r="G17" s="81" t="s">
        <v>351</v>
      </c>
      <c r="H17" s="81" t="s">
        <v>352</v>
      </c>
      <c r="I17" s="81" t="s">
        <v>353</v>
      </c>
      <c r="J17" s="81" t="s">
        <v>354</v>
      </c>
      <c r="K17" s="81" t="s">
        <v>355</v>
      </c>
      <c r="L17" s="81" t="s">
        <v>356</v>
      </c>
    </row>
    <row r="18" spans="2:12">
      <c r="B18" s="89" t="s">
        <v>344</v>
      </c>
      <c r="C18" s="90">
        <v>0.39125608103452614</v>
      </c>
      <c r="D18" s="90">
        <v>4.2173275058979574E-2</v>
      </c>
      <c r="E18" s="90">
        <v>0.22676616691249954</v>
      </c>
      <c r="F18" s="90">
        <v>1.7056299770590182E-2</v>
      </c>
      <c r="G18" s="90">
        <v>0.10546827438617597</v>
      </c>
      <c r="H18" s="91">
        <v>0.16341601369425154</v>
      </c>
      <c r="I18" s="91">
        <v>3.3060325676339979E-3</v>
      </c>
      <c r="J18" s="91">
        <v>1.0656560701022369E-2</v>
      </c>
      <c r="K18" s="91">
        <v>3.4213961230836226E-2</v>
      </c>
      <c r="L18" s="92">
        <v>5.6873346434844693E-3</v>
      </c>
    </row>
    <row r="21" spans="2:12" ht="15.5">
      <c r="B21" s="107" t="s">
        <v>363</v>
      </c>
      <c r="C21" s="85"/>
      <c r="D21" s="86"/>
    </row>
    <row r="22" spans="2:12">
      <c r="B22" s="88" t="s">
        <v>359</v>
      </c>
      <c r="C22" t="s">
        <v>360</v>
      </c>
      <c r="D22" s="20"/>
    </row>
    <row r="23" spans="2:12">
      <c r="B23" s="88"/>
      <c r="C23" s="81" t="s">
        <v>361</v>
      </c>
      <c r="D23" s="81" t="s">
        <v>362</v>
      </c>
    </row>
    <row r="24" spans="2:12">
      <c r="B24" s="89" t="s">
        <v>344</v>
      </c>
      <c r="C24" s="96">
        <v>0.36208334869285325</v>
      </c>
      <c r="D24" s="97">
        <v>3.5110867520537199</v>
      </c>
    </row>
  </sheetData>
  <mergeCells count="3">
    <mergeCell ref="B5:E5"/>
    <mergeCell ref="B3:E4"/>
    <mergeCell ref="B11:J11"/>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F3D66-CB49-4B70-AF1F-294BD0C9D8B8}">
  <sheetPr codeName="Sheet11"/>
  <dimension ref="A1:AL173"/>
  <sheetViews>
    <sheetView zoomScale="93" zoomScaleNormal="80" workbookViewId="0">
      <selection activeCell="J13" sqref="J13"/>
    </sheetView>
  </sheetViews>
  <sheetFormatPr defaultColWidth="9.1796875" defaultRowHeight="14.5"/>
  <cols>
    <col min="1" max="1" width="1.453125" customWidth="1"/>
    <col min="2" max="2" width="5.453125" bestFit="1" customWidth="1"/>
    <col min="3" max="3" width="13.6328125" customWidth="1"/>
    <col min="4" max="4" width="13" customWidth="1"/>
    <col min="5" max="5" width="14" customWidth="1"/>
    <col min="6" max="6" width="12" customWidth="1"/>
    <col min="7" max="7" width="10.453125" customWidth="1"/>
    <col min="8" max="8" width="11" customWidth="1"/>
    <col min="9" max="9" width="15.453125" customWidth="1"/>
    <col min="10" max="10" width="10.81640625" bestFit="1" customWidth="1"/>
    <col min="14" max="14" width="20.81640625" customWidth="1"/>
    <col min="17" max="17" width="11" bestFit="1" customWidth="1"/>
    <col min="18" max="18" width="17" customWidth="1"/>
    <col min="19" max="19" width="13" customWidth="1"/>
    <col min="20" max="20" width="11.453125" bestFit="1" customWidth="1"/>
    <col min="21" max="21" width="1.6328125" customWidth="1"/>
    <col min="23" max="23" width="1.6328125" customWidth="1"/>
    <col min="25" max="25" width="16" customWidth="1"/>
    <col min="26" max="26" width="17.6328125" customWidth="1"/>
    <col min="27" max="27" width="15.36328125" customWidth="1"/>
    <col min="28" max="28" width="17" customWidth="1"/>
    <col min="30" max="30" width="1.6328125" customWidth="1"/>
    <col min="32" max="33" width="16.36328125" bestFit="1" customWidth="1"/>
    <col min="34" max="34" width="15.81640625" bestFit="1" customWidth="1"/>
  </cols>
  <sheetData>
    <row r="1" spans="1:34" ht="17.5">
      <c r="B1" s="105" t="s">
        <v>8</v>
      </c>
    </row>
    <row r="2" spans="1:34" ht="10" customHeight="1"/>
    <row r="3" spans="1:34" ht="67" customHeight="1">
      <c r="A3" s="11"/>
      <c r="B3" s="2" t="s">
        <v>32</v>
      </c>
      <c r="C3" s="2" t="s">
        <v>46</v>
      </c>
      <c r="D3" s="2" t="s">
        <v>47</v>
      </c>
      <c r="E3" s="3" t="s">
        <v>48</v>
      </c>
      <c r="F3" s="3" t="s">
        <v>49</v>
      </c>
      <c r="G3" s="3" t="s">
        <v>320</v>
      </c>
      <c r="H3" s="1" t="s">
        <v>50</v>
      </c>
      <c r="I3" s="3" t="s">
        <v>409</v>
      </c>
      <c r="J3" t="s">
        <v>51</v>
      </c>
      <c r="M3" t="s">
        <v>214</v>
      </c>
      <c r="N3" s="12" t="s">
        <v>387</v>
      </c>
      <c r="P3" s="2" t="s">
        <v>32</v>
      </c>
      <c r="Q3" s="30" t="s">
        <v>52</v>
      </c>
      <c r="R3" s="30" t="s">
        <v>53</v>
      </c>
      <c r="S3" s="30" t="s">
        <v>54</v>
      </c>
      <c r="T3" s="30" t="s">
        <v>55</v>
      </c>
      <c r="U3" s="48"/>
      <c r="V3" s="48" t="s">
        <v>56</v>
      </c>
      <c r="X3" s="37" t="s">
        <v>32</v>
      </c>
      <c r="Y3" s="38" t="s">
        <v>57</v>
      </c>
      <c r="Z3" s="38" t="s">
        <v>58</v>
      </c>
      <c r="AA3" s="38" t="s">
        <v>59</v>
      </c>
      <c r="AB3" s="38" t="s">
        <v>60</v>
      </c>
      <c r="AC3" s="48" t="s">
        <v>56</v>
      </c>
      <c r="AE3" s="37" t="s">
        <v>32</v>
      </c>
      <c r="AF3" s="38" t="s">
        <v>61</v>
      </c>
      <c r="AG3" s="38" t="s">
        <v>62</v>
      </c>
      <c r="AH3" s="38" t="s">
        <v>63</v>
      </c>
    </row>
    <row r="4" spans="1:34">
      <c r="B4">
        <v>1931</v>
      </c>
      <c r="C4">
        <v>61.198999999999998</v>
      </c>
      <c r="D4" s="5">
        <f t="shared" ref="D4:D35" si="0">C4*$J$4</f>
        <v>61199000000</v>
      </c>
      <c r="E4" s="4">
        <v>58.748225695741993</v>
      </c>
      <c r="F4" s="5">
        <f>E4*$J$4</f>
        <v>58748225695.741997</v>
      </c>
      <c r="G4" s="4">
        <f>E4*$J$13</f>
        <v>44.296162174589462</v>
      </c>
      <c r="H4" s="5">
        <f>G4*$J$4</f>
        <v>44296162174.589462</v>
      </c>
      <c r="I4" s="5">
        <f>H4</f>
        <v>44296162174.589462</v>
      </c>
      <c r="J4" s="5">
        <v>1000000000</v>
      </c>
      <c r="K4" t="s">
        <v>64</v>
      </c>
      <c r="M4">
        <v>2023</v>
      </c>
      <c r="N4" s="5">
        <v>0.34799999999999998</v>
      </c>
      <c r="P4">
        <v>1931</v>
      </c>
      <c r="Q4" s="4">
        <v>18.799381327338999</v>
      </c>
      <c r="R4" s="4">
        <v>16.230672982512999</v>
      </c>
      <c r="S4" s="4">
        <v>23.718171385889999</v>
      </c>
      <c r="T4" s="4">
        <v>58.748225695741993</v>
      </c>
      <c r="V4" s="4"/>
      <c r="X4">
        <v>1931</v>
      </c>
      <c r="Y4">
        <v>16.704016256498001</v>
      </c>
      <c r="Z4">
        <v>20.303138503950002</v>
      </c>
      <c r="AA4">
        <v>24.191845239551999</v>
      </c>
      <c r="AB4">
        <f t="shared" ref="AB4:AB35" si="1">SUM(Y4,Z4,AA4)</f>
        <v>61.198999999999998</v>
      </c>
      <c r="AE4">
        <v>1931</v>
      </c>
      <c r="AF4" s="39">
        <f>Y4/AB4</f>
        <v>0.27294590200000002</v>
      </c>
      <c r="AG4" s="39">
        <f t="shared" ref="AG4:AG35" si="2">Z4/AB4</f>
        <v>0.33175605000000002</v>
      </c>
      <c r="AH4" s="39">
        <f t="shared" ref="AH4:AH35" si="3">AA4/AB4</f>
        <v>0.39529804800000001</v>
      </c>
    </row>
    <row r="5" spans="1:34">
      <c r="B5">
        <v>1932</v>
      </c>
      <c r="C5">
        <v>48.379000000000005</v>
      </c>
      <c r="D5" s="5">
        <f t="shared" si="0"/>
        <v>48379000000.000008</v>
      </c>
      <c r="E5" s="4">
        <v>46.232000009507999</v>
      </c>
      <c r="F5" s="5">
        <f t="shared" ref="F5:F35" si="4">E5*$J$4</f>
        <v>46232000009.507996</v>
      </c>
      <c r="G5" s="4">
        <f t="shared" ref="G5:G68" si="5">E5*$J$13</f>
        <v>34.858928007169034</v>
      </c>
      <c r="H5" s="5">
        <f t="shared" ref="H5:H35" si="6">G5*$J$4</f>
        <v>34858928007.169037</v>
      </c>
      <c r="I5" s="5">
        <f t="shared" ref="I5:I68" si="7">H5</f>
        <v>34858928007.169037</v>
      </c>
      <c r="J5" s="5">
        <v>1000000000000</v>
      </c>
      <c r="K5" t="s">
        <v>65</v>
      </c>
      <c r="M5">
        <v>2024</v>
      </c>
      <c r="N5" s="5">
        <v>0.34312799999999999</v>
      </c>
      <c r="P5">
        <v>1932</v>
      </c>
      <c r="Q5" s="4">
        <v>14.23429400625</v>
      </c>
      <c r="R5" s="4">
        <v>13.049010337332</v>
      </c>
      <c r="S5" s="4">
        <v>18.948695665926003</v>
      </c>
      <c r="T5" s="4">
        <v>46.232000009507999</v>
      </c>
      <c r="X5">
        <v>1932</v>
      </c>
      <c r="Y5">
        <v>13.204849792858003</v>
      </c>
      <c r="Z5">
        <v>16.050025942950004</v>
      </c>
      <c r="AA5">
        <v>19.124124264192002</v>
      </c>
      <c r="AB5">
        <f t="shared" si="1"/>
        <v>48.379000000000005</v>
      </c>
      <c r="AD5" s="40"/>
      <c r="AE5">
        <v>1932</v>
      </c>
      <c r="AF5" s="39">
        <f t="shared" ref="AF5:AF35" si="8">Y5/AB5</f>
        <v>0.27294590200000002</v>
      </c>
      <c r="AG5" s="39">
        <f t="shared" si="2"/>
        <v>0.33175605000000002</v>
      </c>
      <c r="AH5" s="39">
        <f t="shared" si="3"/>
        <v>0.39529804800000001</v>
      </c>
    </row>
    <row r="6" spans="1:34">
      <c r="B6">
        <v>1933</v>
      </c>
      <c r="C6">
        <v>46.867000000000004</v>
      </c>
      <c r="D6" s="5">
        <f t="shared" si="0"/>
        <v>46867000000.000008</v>
      </c>
      <c r="E6" s="4">
        <v>44.985000007996994</v>
      </c>
      <c r="F6" s="5">
        <f t="shared" si="4"/>
        <v>44985000007.996994</v>
      </c>
      <c r="G6" s="4">
        <f t="shared" si="5"/>
        <v>33.918690006029735</v>
      </c>
      <c r="H6" s="5">
        <f t="shared" si="6"/>
        <v>33918690006.029736</v>
      </c>
      <c r="I6" s="5">
        <f t="shared" si="7"/>
        <v>33918690006.029736</v>
      </c>
      <c r="M6">
        <v>2025</v>
      </c>
      <c r="N6" s="5">
        <v>0.338256</v>
      </c>
      <c r="P6">
        <v>1933</v>
      </c>
      <c r="Q6" s="4">
        <v>13.861530927085999</v>
      </c>
      <c r="R6" s="4">
        <v>12.862341872618998</v>
      </c>
      <c r="S6" s="4">
        <v>18.261127208291995</v>
      </c>
      <c r="T6" s="4">
        <v>44.985000007996994</v>
      </c>
      <c r="X6">
        <v>1933</v>
      </c>
      <c r="Y6">
        <v>12.792155589034001</v>
      </c>
      <c r="Z6">
        <v>15.548410795350003</v>
      </c>
      <c r="AA6">
        <v>18.526433615616003</v>
      </c>
      <c r="AB6">
        <f t="shared" si="1"/>
        <v>46.867000000000004</v>
      </c>
      <c r="AD6" s="40"/>
      <c r="AE6">
        <v>1933</v>
      </c>
      <c r="AF6" s="39">
        <f t="shared" si="8"/>
        <v>0.27294590200000002</v>
      </c>
      <c r="AG6" s="39">
        <f t="shared" si="2"/>
        <v>0.33175605000000002</v>
      </c>
      <c r="AH6" s="39">
        <f t="shared" si="3"/>
        <v>0.39529804800000001</v>
      </c>
    </row>
    <row r="7" spans="1:34">
      <c r="B7">
        <v>1934</v>
      </c>
      <c r="C7">
        <v>54.404999999999994</v>
      </c>
      <c r="D7" s="5">
        <f t="shared" si="0"/>
        <v>54404999999.999992</v>
      </c>
      <c r="E7" s="4">
        <v>53.310000008583998</v>
      </c>
      <c r="F7" s="5">
        <f t="shared" si="4"/>
        <v>53310000008.584</v>
      </c>
      <c r="G7" s="4">
        <f t="shared" si="5"/>
        <v>40.195740006472334</v>
      </c>
      <c r="H7" s="5">
        <f t="shared" si="6"/>
        <v>40195740006.472336</v>
      </c>
      <c r="I7" s="5">
        <f t="shared" si="7"/>
        <v>40195740006.472336</v>
      </c>
      <c r="J7" s="5"/>
      <c r="M7">
        <v>2026</v>
      </c>
      <c r="N7" s="5">
        <v>0.33338399999999996</v>
      </c>
      <c r="P7">
        <v>1934</v>
      </c>
      <c r="Q7" s="4">
        <v>16.564143657782001</v>
      </c>
      <c r="R7" s="4">
        <v>15.326392532593999</v>
      </c>
      <c r="S7" s="4">
        <v>21.419463818207998</v>
      </c>
      <c r="T7" s="4">
        <v>53.310000008583998</v>
      </c>
      <c r="X7">
        <v>1934</v>
      </c>
      <c r="Y7">
        <v>14.849621798309999</v>
      </c>
      <c r="Z7">
        <v>18.049187900250001</v>
      </c>
      <c r="AA7">
        <v>21.506190301439997</v>
      </c>
      <c r="AB7">
        <f t="shared" si="1"/>
        <v>54.405000000000001</v>
      </c>
      <c r="AD7" s="40"/>
      <c r="AE7">
        <v>1934</v>
      </c>
      <c r="AF7" s="39">
        <f t="shared" si="8"/>
        <v>0.27294590199999996</v>
      </c>
      <c r="AG7" s="39">
        <f t="shared" si="2"/>
        <v>0.33175605000000002</v>
      </c>
      <c r="AH7" s="39">
        <f t="shared" si="3"/>
        <v>0.39529804799999996</v>
      </c>
    </row>
    <row r="8" spans="1:34">
      <c r="B8">
        <v>1935</v>
      </c>
      <c r="C8" s="4">
        <v>64.307903999999994</v>
      </c>
      <c r="D8" s="5">
        <f t="shared" si="0"/>
        <v>64307903999.999992</v>
      </c>
      <c r="E8" s="4">
        <v>61.651079009729536</v>
      </c>
      <c r="F8" s="5">
        <f t="shared" si="4"/>
        <v>61651079009.729538</v>
      </c>
      <c r="G8" s="4">
        <f t="shared" si="5"/>
        <v>46.484913573336073</v>
      </c>
      <c r="H8" s="5">
        <f t="shared" si="6"/>
        <v>46484913573.336075</v>
      </c>
      <c r="I8" s="5">
        <f t="shared" si="7"/>
        <v>46484913573.336075</v>
      </c>
      <c r="J8" s="5"/>
      <c r="M8">
        <v>2027</v>
      </c>
      <c r="N8" s="5">
        <v>0.32851199999999997</v>
      </c>
      <c r="P8">
        <v>1935</v>
      </c>
      <c r="Q8" s="4">
        <v>18.973354094465719</v>
      </c>
      <c r="R8" s="4">
        <v>17.942114139557695</v>
      </c>
      <c r="S8" s="4">
        <v>24.735610775706121</v>
      </c>
      <c r="T8" s="4">
        <v>61.651079009729536</v>
      </c>
      <c r="X8">
        <v>1935</v>
      </c>
      <c r="Y8">
        <v>17.552578863009408</v>
      </c>
      <c r="Z8">
        <v>21.334536214819199</v>
      </c>
      <c r="AA8">
        <v>25.42078892217139</v>
      </c>
      <c r="AB8">
        <f t="shared" si="1"/>
        <v>64.307904000000008</v>
      </c>
      <c r="AD8" s="40"/>
      <c r="AE8">
        <v>1935</v>
      </c>
      <c r="AF8" s="39">
        <f t="shared" si="8"/>
        <v>0.27294590199999996</v>
      </c>
      <c r="AG8" s="39">
        <f t="shared" si="2"/>
        <v>0.33175604999999997</v>
      </c>
      <c r="AH8" s="39">
        <f t="shared" si="3"/>
        <v>0.3952980479999999</v>
      </c>
    </row>
    <row r="9" spans="1:34">
      <c r="B9">
        <v>1936</v>
      </c>
      <c r="C9" s="4">
        <v>77.730070999999995</v>
      </c>
      <c r="D9" s="5">
        <f t="shared" si="0"/>
        <v>77730071000</v>
      </c>
      <c r="E9" s="4">
        <v>74.749855015323931</v>
      </c>
      <c r="F9" s="5">
        <f t="shared" si="4"/>
        <v>74749855015.323929</v>
      </c>
      <c r="G9" s="4">
        <f t="shared" si="5"/>
        <v>56.361390681554241</v>
      </c>
      <c r="H9" s="5">
        <f t="shared" si="6"/>
        <v>56361390681.554237</v>
      </c>
      <c r="I9" s="5">
        <f t="shared" si="7"/>
        <v>56361390681.554237</v>
      </c>
      <c r="M9">
        <v>2028</v>
      </c>
      <c r="N9" s="5">
        <v>0.32363999999999998</v>
      </c>
      <c r="P9">
        <v>1936</v>
      </c>
      <c r="Q9" s="4">
        <v>23.399624782873637</v>
      </c>
      <c r="R9" s="4">
        <v>21.580605357964362</v>
      </c>
      <c r="S9" s="4">
        <v>29.769624874485928</v>
      </c>
      <c r="T9" s="4">
        <v>74.749855015323931</v>
      </c>
      <c r="X9">
        <v>1936</v>
      </c>
      <c r="Y9">
        <v>21.216104341619044</v>
      </c>
      <c r="Z9">
        <v>25.787421321179551</v>
      </c>
      <c r="AA9">
        <v>30.726545337201408</v>
      </c>
      <c r="AB9">
        <f t="shared" si="1"/>
        <v>77.730071000000009</v>
      </c>
      <c r="AD9" s="40"/>
      <c r="AE9">
        <v>1936</v>
      </c>
      <c r="AF9" s="39">
        <f t="shared" si="8"/>
        <v>0.27294590199999996</v>
      </c>
      <c r="AG9" s="39">
        <f t="shared" si="2"/>
        <v>0.33175604999999997</v>
      </c>
      <c r="AH9" s="39">
        <f t="shared" si="3"/>
        <v>0.39529804799999996</v>
      </c>
    </row>
    <row r="10" spans="1:34">
      <c r="B10">
        <v>1937</v>
      </c>
      <c r="C10" s="4">
        <v>82.34994199999997</v>
      </c>
      <c r="D10" s="5">
        <f t="shared" si="0"/>
        <v>82349941999.999969</v>
      </c>
      <c r="E10" s="4">
        <v>78.692004015442961</v>
      </c>
      <c r="F10" s="5">
        <f t="shared" si="4"/>
        <v>78692004015.442963</v>
      </c>
      <c r="G10" s="4">
        <f t="shared" si="5"/>
        <v>59.333771027643991</v>
      </c>
      <c r="H10" s="5">
        <f t="shared" si="6"/>
        <v>59333771027.64399</v>
      </c>
      <c r="I10" s="5">
        <f t="shared" si="7"/>
        <v>59333771027.64399</v>
      </c>
      <c r="J10" t="s">
        <v>34</v>
      </c>
      <c r="M10">
        <v>2029</v>
      </c>
      <c r="N10" s="5">
        <v>0.318768</v>
      </c>
      <c r="P10">
        <v>1937</v>
      </c>
      <c r="Q10" s="4">
        <v>24.611614505871959</v>
      </c>
      <c r="R10" s="4">
        <v>22.77239532496116</v>
      </c>
      <c r="S10" s="4">
        <v>31.307994184609843</v>
      </c>
      <c r="T10" s="4">
        <v>78.692004015442961</v>
      </c>
      <c r="X10">
        <v>1937</v>
      </c>
      <c r="Y10">
        <v>22.477079198837679</v>
      </c>
      <c r="Z10">
        <v>27.320091475649093</v>
      </c>
      <c r="AA10">
        <v>32.552771325513206</v>
      </c>
      <c r="AB10">
        <f t="shared" si="1"/>
        <v>82.34994199999997</v>
      </c>
      <c r="AD10" s="40"/>
      <c r="AE10">
        <v>1937</v>
      </c>
      <c r="AF10" s="39">
        <f t="shared" si="8"/>
        <v>0.27294590200000002</v>
      </c>
      <c r="AG10" s="39">
        <f t="shared" si="2"/>
        <v>0.33175605000000002</v>
      </c>
      <c r="AH10" s="39">
        <f t="shared" si="3"/>
        <v>0.39529804800000001</v>
      </c>
    </row>
    <row r="11" spans="1:34">
      <c r="B11">
        <v>1938</v>
      </c>
      <c r="C11" s="4">
        <v>77.384070999999992</v>
      </c>
      <c r="D11" s="5">
        <f t="shared" si="0"/>
        <v>77384070999.999985</v>
      </c>
      <c r="E11" s="4">
        <v>76.51072601718522</v>
      </c>
      <c r="F11" s="5">
        <f t="shared" si="4"/>
        <v>76510726017.185226</v>
      </c>
      <c r="G11" s="4">
        <f t="shared" si="5"/>
        <v>57.689087416957655</v>
      </c>
      <c r="H11" s="5">
        <f t="shared" si="6"/>
        <v>57689087416.957657</v>
      </c>
      <c r="I11" s="5">
        <f t="shared" si="7"/>
        <v>57689087416.957657</v>
      </c>
      <c r="J11">
        <f>0.406</f>
        <v>0.40600000000000003</v>
      </c>
      <c r="K11" t="s">
        <v>35</v>
      </c>
      <c r="M11">
        <v>2030</v>
      </c>
      <c r="N11" s="5">
        <v>0.31389599999999995</v>
      </c>
      <c r="P11">
        <v>1938</v>
      </c>
      <c r="Q11" s="4">
        <v>24.157320204197877</v>
      </c>
      <c r="R11" s="4">
        <v>22.629543183144559</v>
      </c>
      <c r="S11" s="4">
        <v>29.723862629842785</v>
      </c>
      <c r="T11" s="4">
        <v>76.51072601718522</v>
      </c>
      <c r="X11">
        <v>1938</v>
      </c>
      <c r="Y11">
        <v>21.121665059527039</v>
      </c>
      <c r="Z11">
        <v>25.67263372787955</v>
      </c>
      <c r="AA11">
        <v>30.589772212593406</v>
      </c>
      <c r="AB11">
        <f t="shared" si="1"/>
        <v>77.384070999999992</v>
      </c>
      <c r="AD11" s="40"/>
      <c r="AE11">
        <v>1938</v>
      </c>
      <c r="AF11" s="39">
        <f t="shared" si="8"/>
        <v>0.27294590200000002</v>
      </c>
      <c r="AG11" s="39">
        <f t="shared" si="2"/>
        <v>0.33175605000000002</v>
      </c>
      <c r="AH11" s="39">
        <f t="shared" si="3"/>
        <v>0.39529804800000001</v>
      </c>
    </row>
    <row r="12" spans="1:34">
      <c r="B12">
        <v>1939</v>
      </c>
      <c r="C12" s="4">
        <v>71.202876999999987</v>
      </c>
      <c r="D12" s="5">
        <f t="shared" si="0"/>
        <v>71202876999.999985</v>
      </c>
      <c r="E12" s="4">
        <v>63.6484160070356</v>
      </c>
      <c r="F12" s="5">
        <f t="shared" si="4"/>
        <v>63648416007.035599</v>
      </c>
      <c r="G12" s="4">
        <f t="shared" si="5"/>
        <v>47.990905669304844</v>
      </c>
      <c r="H12" s="5">
        <f t="shared" si="6"/>
        <v>47990905669.304848</v>
      </c>
      <c r="I12" s="5">
        <f t="shared" si="7"/>
        <v>47990905669.304848</v>
      </c>
      <c r="J12" t="s">
        <v>36</v>
      </c>
      <c r="M12">
        <v>2031</v>
      </c>
      <c r="N12" s="5">
        <v>0.30902399999999997</v>
      </c>
      <c r="P12">
        <v>1939</v>
      </c>
      <c r="Q12" s="4">
        <v>20.467087881952612</v>
      </c>
      <c r="R12" s="4">
        <v>17.590565309913519</v>
      </c>
      <c r="S12" s="4">
        <v>25.590762815169469</v>
      </c>
      <c r="T12" s="4">
        <v>63.6484160070356</v>
      </c>
      <c r="X12">
        <v>1939</v>
      </c>
      <c r="Y12">
        <v>19.434533487760053</v>
      </c>
      <c r="Z12">
        <v>23.621985222155846</v>
      </c>
      <c r="AA12">
        <v>28.146358290084091</v>
      </c>
      <c r="AB12">
        <f t="shared" si="1"/>
        <v>71.202876999999987</v>
      </c>
      <c r="AD12" s="40"/>
      <c r="AE12">
        <v>1939</v>
      </c>
      <c r="AF12" s="39">
        <f t="shared" si="8"/>
        <v>0.27294590200000002</v>
      </c>
      <c r="AG12" s="39">
        <f t="shared" si="2"/>
        <v>0.33175605000000002</v>
      </c>
      <c r="AH12" s="39">
        <f t="shared" si="3"/>
        <v>0.39529804800000001</v>
      </c>
    </row>
    <row r="13" spans="1:34">
      <c r="B13">
        <v>1940</v>
      </c>
      <c r="C13" s="4">
        <v>62.979083999999986</v>
      </c>
      <c r="D13" s="5">
        <f t="shared" si="0"/>
        <v>62979083999.999985</v>
      </c>
      <c r="E13" s="4">
        <v>58.295121007550748</v>
      </c>
      <c r="F13" s="5">
        <f t="shared" si="4"/>
        <v>58295121007.550751</v>
      </c>
      <c r="G13" s="4">
        <f t="shared" si="5"/>
        <v>43.954521239693264</v>
      </c>
      <c r="H13" s="5">
        <f t="shared" si="6"/>
        <v>43954521239.693268</v>
      </c>
      <c r="I13" s="5">
        <f t="shared" si="7"/>
        <v>43954521239.693268</v>
      </c>
      <c r="J13" s="5">
        <v>0.754</v>
      </c>
      <c r="K13" t="s">
        <v>35</v>
      </c>
      <c r="M13">
        <v>2032</v>
      </c>
      <c r="N13" s="5">
        <v>0.30415199999999998</v>
      </c>
      <c r="P13">
        <v>1940</v>
      </c>
      <c r="Q13" s="4">
        <v>19.051993931896948</v>
      </c>
      <c r="R13" s="4">
        <v>15.827386819938976</v>
      </c>
      <c r="S13" s="4">
        <v>23.415740255714827</v>
      </c>
      <c r="T13" s="4">
        <v>58.295121007550748</v>
      </c>
      <c r="X13">
        <v>1940</v>
      </c>
      <c r="Y13">
        <v>17.189882889513765</v>
      </c>
      <c r="Z13">
        <v>20.893692140458196</v>
      </c>
      <c r="AA13">
        <v>24.895508970028029</v>
      </c>
      <c r="AB13">
        <f t="shared" si="1"/>
        <v>62.979083999999986</v>
      </c>
      <c r="AD13" s="40"/>
      <c r="AE13">
        <v>1940</v>
      </c>
      <c r="AF13" s="39">
        <f t="shared" si="8"/>
        <v>0.27294590200000002</v>
      </c>
      <c r="AG13" s="39">
        <f t="shared" si="2"/>
        <v>0.33175605000000002</v>
      </c>
      <c r="AH13" s="39">
        <f t="shared" si="3"/>
        <v>0.39529804800000001</v>
      </c>
    </row>
    <row r="14" spans="1:34">
      <c r="B14">
        <v>1941</v>
      </c>
      <c r="C14" s="4">
        <v>60.052752999999989</v>
      </c>
      <c r="D14" s="5">
        <f t="shared" si="0"/>
        <v>60052752999.999985</v>
      </c>
      <c r="E14" s="4">
        <v>59.943272001724026</v>
      </c>
      <c r="F14" s="5">
        <f t="shared" si="4"/>
        <v>59943272001.724022</v>
      </c>
      <c r="G14" s="4">
        <f t="shared" si="5"/>
        <v>45.197227089299915</v>
      </c>
      <c r="H14" s="5">
        <f t="shared" si="6"/>
        <v>45197227089.299911</v>
      </c>
      <c r="I14" s="5">
        <f t="shared" si="7"/>
        <v>45197227089.299911</v>
      </c>
      <c r="M14">
        <v>2033</v>
      </c>
      <c r="N14" s="5">
        <v>0.29927999999999999</v>
      </c>
      <c r="P14">
        <v>1941</v>
      </c>
      <c r="Q14" s="4">
        <v>20.87442481078801</v>
      </c>
      <c r="R14" s="4">
        <v>15.306821162222988</v>
      </c>
      <c r="S14" s="4">
        <v>23.76202602871302</v>
      </c>
      <c r="T14" s="4">
        <v>59.943272001724026</v>
      </c>
      <c r="X14">
        <v>1941</v>
      </c>
      <c r="Y14">
        <v>16.391152835168203</v>
      </c>
      <c r="Z14">
        <v>19.922864126905647</v>
      </c>
      <c r="AA14">
        <v>23.738736037926142</v>
      </c>
      <c r="AB14">
        <f t="shared" si="1"/>
        <v>60.052752999999996</v>
      </c>
      <c r="AD14" s="40"/>
      <c r="AE14">
        <v>1941</v>
      </c>
      <c r="AF14" s="39">
        <f t="shared" si="8"/>
        <v>0.27294590199999996</v>
      </c>
      <c r="AG14" s="39">
        <f t="shared" si="2"/>
        <v>0.33175604999999997</v>
      </c>
      <c r="AH14" s="39">
        <f t="shared" si="3"/>
        <v>0.39529804800000001</v>
      </c>
    </row>
    <row r="15" spans="1:34">
      <c r="B15">
        <v>1942</v>
      </c>
      <c r="C15" s="4">
        <v>54.867780000000003</v>
      </c>
      <c r="D15" s="5">
        <f t="shared" si="0"/>
        <v>54867780000</v>
      </c>
      <c r="E15" s="4">
        <v>54.543835001619883</v>
      </c>
      <c r="F15" s="5">
        <f t="shared" si="4"/>
        <v>54543835001.619881</v>
      </c>
      <c r="G15" s="4">
        <f t="shared" si="5"/>
        <v>41.12605159122139</v>
      </c>
      <c r="H15" s="5">
        <f t="shared" si="6"/>
        <v>41126051591.22139</v>
      </c>
      <c r="I15" s="5">
        <f t="shared" si="7"/>
        <v>41126051591.22139</v>
      </c>
      <c r="M15">
        <v>2034</v>
      </c>
      <c r="N15" s="5">
        <v>0.294408</v>
      </c>
      <c r="P15">
        <v>1942</v>
      </c>
      <c r="Q15" s="4">
        <v>19.19310606603716</v>
      </c>
      <c r="R15" s="4">
        <v>13.643300696963495</v>
      </c>
      <c r="S15" s="4">
        <v>21.707428238619226</v>
      </c>
      <c r="T15" s="4">
        <v>54.543835001619883</v>
      </c>
      <c r="X15">
        <v>1942</v>
      </c>
      <c r="Y15">
        <v>14.975935702837562</v>
      </c>
      <c r="Z15">
        <v>18.202717965069002</v>
      </c>
      <c r="AA15">
        <v>21.689126332093441</v>
      </c>
      <c r="AB15">
        <f t="shared" si="1"/>
        <v>54.86778000000001</v>
      </c>
      <c r="AD15" s="40"/>
      <c r="AE15">
        <v>1942</v>
      </c>
      <c r="AF15" s="39">
        <f t="shared" si="8"/>
        <v>0.27294590199999996</v>
      </c>
      <c r="AG15" s="39">
        <f t="shared" si="2"/>
        <v>0.33175604999999997</v>
      </c>
      <c r="AH15" s="39">
        <f t="shared" si="3"/>
        <v>0.39529804799999996</v>
      </c>
    </row>
    <row r="16" spans="1:34">
      <c r="B16">
        <v>1943</v>
      </c>
      <c r="C16" s="4">
        <v>48.669304999999994</v>
      </c>
      <c r="D16" s="5">
        <f t="shared" si="0"/>
        <v>48669304999.999992</v>
      </c>
      <c r="E16" s="4">
        <v>47.568877001795002</v>
      </c>
      <c r="F16" s="5">
        <f t="shared" si="4"/>
        <v>47568877001.795006</v>
      </c>
      <c r="G16" s="4">
        <f t="shared" si="5"/>
        <v>35.866933259353431</v>
      </c>
      <c r="H16" s="5">
        <f t="shared" si="6"/>
        <v>35866933259.353432</v>
      </c>
      <c r="I16" s="5">
        <f t="shared" si="7"/>
        <v>35866933259.353432</v>
      </c>
      <c r="K16" s="5"/>
      <c r="M16">
        <v>2035</v>
      </c>
      <c r="N16" s="5">
        <v>0.28953599999999996</v>
      </c>
      <c r="P16">
        <v>1943</v>
      </c>
      <c r="Q16" s="4">
        <v>16.442642921410418</v>
      </c>
      <c r="R16" s="4">
        <v>12.099138894247513</v>
      </c>
      <c r="S16" s="4">
        <v>19.027095186137068</v>
      </c>
      <c r="T16" s="4">
        <v>47.568877001795002</v>
      </c>
      <c r="X16">
        <v>1943</v>
      </c>
      <c r="Y16">
        <v>13.284087352938108</v>
      </c>
      <c r="Z16">
        <v>16.146336383045249</v>
      </c>
      <c r="AA16">
        <v>19.238881264016637</v>
      </c>
      <c r="AB16">
        <f t="shared" si="1"/>
        <v>48.669304999999994</v>
      </c>
      <c r="AD16" s="40"/>
      <c r="AE16">
        <v>1943</v>
      </c>
      <c r="AF16" s="39">
        <f t="shared" si="8"/>
        <v>0.27294590200000002</v>
      </c>
      <c r="AG16" s="39">
        <f t="shared" si="2"/>
        <v>0.33175605000000002</v>
      </c>
      <c r="AH16" s="39">
        <f t="shared" si="3"/>
        <v>0.39529804800000001</v>
      </c>
    </row>
    <row r="17" spans="2:34">
      <c r="B17">
        <v>1944</v>
      </c>
      <c r="C17" s="4">
        <v>25.236515999999998</v>
      </c>
      <c r="D17" s="5">
        <f t="shared" si="0"/>
        <v>25236516000</v>
      </c>
      <c r="E17" s="4">
        <v>25.366866000430001</v>
      </c>
      <c r="F17" s="5">
        <f t="shared" si="4"/>
        <v>25366866000.43</v>
      </c>
      <c r="G17" s="4">
        <f t="shared" si="5"/>
        <v>19.126616964324221</v>
      </c>
      <c r="H17" s="5">
        <f t="shared" si="6"/>
        <v>19126616964.324223</v>
      </c>
      <c r="I17" s="5">
        <f t="shared" si="7"/>
        <v>19126616964.324223</v>
      </c>
      <c r="K17" s="5"/>
      <c r="M17">
        <v>2036</v>
      </c>
      <c r="N17" s="5">
        <v>0.28466399999999997</v>
      </c>
      <c r="P17">
        <v>1944</v>
      </c>
      <c r="Q17" s="4">
        <v>8.9767362019943704</v>
      </c>
      <c r="R17" s="4">
        <v>6.153586970893838</v>
      </c>
      <c r="S17" s="4">
        <v>10.236542827541792</v>
      </c>
      <c r="T17" s="4">
        <v>25.366866000430001</v>
      </c>
      <c r="X17">
        <v>1944</v>
      </c>
      <c r="Y17">
        <v>6.8882036229574322</v>
      </c>
      <c r="Z17">
        <v>8.3723668639217994</v>
      </c>
      <c r="AA17">
        <v>9.9759455131207684</v>
      </c>
      <c r="AB17">
        <f t="shared" si="1"/>
        <v>25.236516000000002</v>
      </c>
      <c r="AD17" s="40"/>
      <c r="AE17">
        <v>1944</v>
      </c>
      <c r="AF17" s="39">
        <f t="shared" si="8"/>
        <v>0.27294590199999996</v>
      </c>
      <c r="AG17" s="39">
        <f t="shared" si="2"/>
        <v>0.33175604999999997</v>
      </c>
      <c r="AH17" s="39">
        <f t="shared" si="3"/>
        <v>0.39529804800000001</v>
      </c>
    </row>
    <row r="18" spans="2:34">
      <c r="B18">
        <v>1945</v>
      </c>
      <c r="C18" s="4">
        <v>45.668784000000002</v>
      </c>
      <c r="D18" s="5">
        <f t="shared" si="0"/>
        <v>45668784000</v>
      </c>
      <c r="E18" s="4">
        <v>45.565229003197516</v>
      </c>
      <c r="F18" s="5">
        <f t="shared" si="4"/>
        <v>45565229003.197517</v>
      </c>
      <c r="G18" s="4">
        <f t="shared" si="5"/>
        <v>34.356182668410923</v>
      </c>
      <c r="H18" s="5">
        <f t="shared" si="6"/>
        <v>34356182668.410923</v>
      </c>
      <c r="I18" s="5">
        <f t="shared" si="7"/>
        <v>34356182668.410923</v>
      </c>
      <c r="K18" s="5"/>
      <c r="M18">
        <v>2037</v>
      </c>
      <c r="N18" s="5">
        <v>0.27979199999999999</v>
      </c>
      <c r="P18">
        <v>1945</v>
      </c>
      <c r="Q18" s="4">
        <v>14.505026437675156</v>
      </c>
      <c r="R18" s="4">
        <v>13.104153582780183</v>
      </c>
      <c r="S18" s="4">
        <v>17.956048982742178</v>
      </c>
      <c r="T18" s="4">
        <v>45.565229003197516</v>
      </c>
      <c r="X18">
        <v>1945</v>
      </c>
      <c r="Y18">
        <v>12.46510744212317</v>
      </c>
      <c r="Z18">
        <v>15.150895388143201</v>
      </c>
      <c r="AA18">
        <v>18.052781169733635</v>
      </c>
      <c r="AB18">
        <f t="shared" si="1"/>
        <v>45.668784000000002</v>
      </c>
      <c r="AD18" s="40"/>
      <c r="AE18">
        <v>1945</v>
      </c>
      <c r="AF18" s="39">
        <f t="shared" si="8"/>
        <v>0.27294590200000002</v>
      </c>
      <c r="AG18" s="39">
        <f t="shared" si="2"/>
        <v>0.33175605000000002</v>
      </c>
      <c r="AH18" s="39">
        <f t="shared" si="3"/>
        <v>0.39529804800000001</v>
      </c>
    </row>
    <row r="19" spans="2:34">
      <c r="B19">
        <v>1946</v>
      </c>
      <c r="C19" s="4">
        <v>71.602353999999991</v>
      </c>
      <c r="D19" s="5">
        <f t="shared" si="0"/>
        <v>71602353999.999985</v>
      </c>
      <c r="E19" s="4">
        <v>70.091551005153079</v>
      </c>
      <c r="F19" s="5">
        <f t="shared" si="4"/>
        <v>70091551005.153076</v>
      </c>
      <c r="G19" s="4">
        <f t="shared" si="5"/>
        <v>52.849029457885422</v>
      </c>
      <c r="H19" s="5">
        <f t="shared" si="6"/>
        <v>52849029457.885422</v>
      </c>
      <c r="I19" s="5">
        <f t="shared" si="7"/>
        <v>52849029457.885422</v>
      </c>
      <c r="K19" s="5"/>
      <c r="M19">
        <v>2038</v>
      </c>
      <c r="N19" s="5">
        <v>0.27492</v>
      </c>
      <c r="P19">
        <v>1946</v>
      </c>
      <c r="Q19" s="4">
        <v>22.726934820631278</v>
      </c>
      <c r="R19" s="4">
        <v>19.714967543413618</v>
      </c>
      <c r="S19" s="4">
        <v>27.649648641108183</v>
      </c>
      <c r="T19" s="4">
        <v>70.091551005153079</v>
      </c>
      <c r="X19">
        <v>1946</v>
      </c>
      <c r="Y19">
        <v>19.543569097853307</v>
      </c>
      <c r="Z19">
        <v>23.754514133741697</v>
      </c>
      <c r="AA19">
        <v>28.30427076840499</v>
      </c>
      <c r="AB19">
        <f t="shared" si="1"/>
        <v>71.602353999999991</v>
      </c>
      <c r="AD19" s="40"/>
      <c r="AE19">
        <v>1946</v>
      </c>
      <c r="AF19" s="39">
        <f t="shared" si="8"/>
        <v>0.27294590200000002</v>
      </c>
      <c r="AG19" s="39">
        <f t="shared" si="2"/>
        <v>0.33175605000000002</v>
      </c>
      <c r="AH19" s="39">
        <f t="shared" si="3"/>
        <v>0.39529804800000001</v>
      </c>
    </row>
    <row r="20" spans="2:34">
      <c r="B20">
        <v>1947</v>
      </c>
      <c r="C20" s="4">
        <v>84.619411000000028</v>
      </c>
      <c r="D20" s="5">
        <f t="shared" si="0"/>
        <v>84619411000.000031</v>
      </c>
      <c r="E20" s="4">
        <v>81.982344010955515</v>
      </c>
      <c r="F20" s="5">
        <f t="shared" si="4"/>
        <v>81982344010.955521</v>
      </c>
      <c r="G20" s="4">
        <f t="shared" si="5"/>
        <v>61.814687384260459</v>
      </c>
      <c r="H20" s="5">
        <f t="shared" si="6"/>
        <v>61814687384.26046</v>
      </c>
      <c r="I20" s="5">
        <f t="shared" si="7"/>
        <v>61814687384.26046</v>
      </c>
      <c r="K20" s="5"/>
      <c r="M20">
        <v>2039</v>
      </c>
      <c r="N20" s="5">
        <v>0.27004799999999995</v>
      </c>
      <c r="P20">
        <v>1947</v>
      </c>
      <c r="Q20" s="4">
        <v>26.370086732049657</v>
      </c>
      <c r="R20" s="4">
        <v>22.942460381524501</v>
      </c>
      <c r="S20" s="4">
        <v>32.66979689738136</v>
      </c>
      <c r="T20" s="4">
        <v>81.982344010955515</v>
      </c>
      <c r="X20">
        <v>1947</v>
      </c>
      <c r="Y20">
        <v>23.09652146210373</v>
      </c>
      <c r="Z20">
        <v>28.073001546686562</v>
      </c>
      <c r="AA20">
        <v>33.449887991209742</v>
      </c>
      <c r="AB20">
        <f t="shared" si="1"/>
        <v>84.619411000000042</v>
      </c>
      <c r="AD20" s="40"/>
      <c r="AE20">
        <v>1947</v>
      </c>
      <c r="AF20" s="39">
        <f t="shared" si="8"/>
        <v>0.27294590199999996</v>
      </c>
      <c r="AG20" s="39">
        <f t="shared" si="2"/>
        <v>0.33175604999999997</v>
      </c>
      <c r="AH20" s="39">
        <f t="shared" si="3"/>
        <v>0.39529804799999996</v>
      </c>
    </row>
    <row r="21" spans="2:34">
      <c r="B21">
        <v>1948</v>
      </c>
      <c r="C21" s="4">
        <v>100.62255899999998</v>
      </c>
      <c r="D21">
        <f t="shared" si="0"/>
        <v>100622558999.99998</v>
      </c>
      <c r="E21" s="4">
        <v>97.626224009231464</v>
      </c>
      <c r="F21" s="5">
        <f t="shared" si="4"/>
        <v>97626224009.231461</v>
      </c>
      <c r="G21" s="4">
        <f t="shared" si="5"/>
        <v>73.610172902960528</v>
      </c>
      <c r="H21" s="5">
        <f t="shared" si="6"/>
        <v>73610172902.960526</v>
      </c>
      <c r="I21" s="5">
        <f t="shared" si="7"/>
        <v>73610172902.960526</v>
      </c>
      <c r="K21" s="5"/>
      <c r="M21">
        <v>2040</v>
      </c>
      <c r="N21" s="5">
        <v>0.26517599999999997</v>
      </c>
      <c r="P21">
        <v>1948</v>
      </c>
      <c r="Q21" s="4">
        <v>31.208892535698858</v>
      </c>
      <c r="R21" s="4">
        <v>27.533316318136642</v>
      </c>
      <c r="S21" s="4">
        <v>38.884015155395957</v>
      </c>
      <c r="T21" s="4">
        <v>97.626224009231464</v>
      </c>
      <c r="X21">
        <v>1948</v>
      </c>
      <c r="Y21">
        <v>27.464515127803214</v>
      </c>
      <c r="Z21">
        <v>33.382142714731948</v>
      </c>
      <c r="AA21">
        <v>39.775901157464823</v>
      </c>
      <c r="AB21">
        <f t="shared" si="1"/>
        <v>100.622559</v>
      </c>
      <c r="AD21" s="40"/>
      <c r="AE21">
        <v>1948</v>
      </c>
      <c r="AF21" s="39">
        <f t="shared" si="8"/>
        <v>0.27294590199999996</v>
      </c>
      <c r="AG21" s="39">
        <f t="shared" si="2"/>
        <v>0.33175605000000002</v>
      </c>
      <c r="AH21" s="39">
        <f t="shared" si="3"/>
        <v>0.3952980479999999</v>
      </c>
    </row>
    <row r="22" spans="2:34">
      <c r="B22">
        <v>1949</v>
      </c>
      <c r="C22" s="4">
        <v>114.01494600000004</v>
      </c>
      <c r="D22">
        <f t="shared" si="0"/>
        <v>114014946000.00003</v>
      </c>
      <c r="E22" s="4">
        <v>110.79373001174136</v>
      </c>
      <c r="F22" s="5">
        <f t="shared" si="4"/>
        <v>110793730011.74136</v>
      </c>
      <c r="G22" s="4">
        <f t="shared" si="5"/>
        <v>83.538472428852984</v>
      </c>
      <c r="H22" s="5">
        <f t="shared" si="6"/>
        <v>83538472428.852982</v>
      </c>
      <c r="I22" s="5">
        <f t="shared" si="7"/>
        <v>83538472428.852982</v>
      </c>
      <c r="K22" s="5"/>
      <c r="M22">
        <v>2041</v>
      </c>
      <c r="N22" s="5">
        <v>0.26030399999999998</v>
      </c>
      <c r="P22">
        <v>1949</v>
      </c>
      <c r="Q22" s="4">
        <v>34.980759527479663</v>
      </c>
      <c r="R22" s="4">
        <v>31.447945439314768</v>
      </c>
      <c r="S22" s="4">
        <v>44.36502504494694</v>
      </c>
      <c r="T22" s="4">
        <v>110.79373001174136</v>
      </c>
      <c r="X22">
        <v>1949</v>
      </c>
      <c r="Y22">
        <v>31.119912277451306</v>
      </c>
      <c r="Z22">
        <v>37.825148125923313</v>
      </c>
      <c r="AA22">
        <v>45.069885596625426</v>
      </c>
      <c r="AB22">
        <f t="shared" si="1"/>
        <v>114.01494600000004</v>
      </c>
      <c r="AD22" s="40"/>
      <c r="AE22">
        <v>1949</v>
      </c>
      <c r="AF22" s="39">
        <f t="shared" si="8"/>
        <v>0.27294590200000002</v>
      </c>
      <c r="AG22" s="39">
        <f t="shared" si="2"/>
        <v>0.33175605000000002</v>
      </c>
      <c r="AH22" s="39">
        <f t="shared" si="3"/>
        <v>0.39529804800000001</v>
      </c>
    </row>
    <row r="23" spans="2:34">
      <c r="B23">
        <v>1950</v>
      </c>
      <c r="C23" s="4">
        <v>132.98994404999996</v>
      </c>
      <c r="D23">
        <f t="shared" si="0"/>
        <v>132989944049.99997</v>
      </c>
      <c r="E23" s="4">
        <v>130.51474686474913</v>
      </c>
      <c r="F23" s="5">
        <f t="shared" si="4"/>
        <v>130514746864.74913</v>
      </c>
      <c r="G23" s="4">
        <f t="shared" si="5"/>
        <v>98.408119136020844</v>
      </c>
      <c r="H23" s="5">
        <f t="shared" si="6"/>
        <v>98408119136.020844</v>
      </c>
      <c r="I23" s="5">
        <f t="shared" si="7"/>
        <v>98408119136.020844</v>
      </c>
      <c r="K23" s="5"/>
      <c r="M23">
        <v>2042</v>
      </c>
      <c r="N23" s="5">
        <v>0.25543199999999999</v>
      </c>
      <c r="P23">
        <v>1950</v>
      </c>
      <c r="Q23" s="4">
        <v>40.47381365195929</v>
      </c>
      <c r="R23" s="4">
        <v>37.609766711997089</v>
      </c>
      <c r="S23" s="4">
        <v>52.431166500792756</v>
      </c>
      <c r="T23" s="4">
        <v>130.51474686474913</v>
      </c>
      <c r="X23">
        <v>1950</v>
      </c>
      <c r="Y23">
        <v>45.079561884694343</v>
      </c>
      <c r="Z23">
        <v>43.26018318402744</v>
      </c>
      <c r="AA23">
        <v>61.68786095151831</v>
      </c>
      <c r="AB23">
        <f t="shared" si="1"/>
        <v>150.02760602024009</v>
      </c>
      <c r="AD23" s="40"/>
      <c r="AE23">
        <v>1950</v>
      </c>
      <c r="AF23" s="39">
        <f t="shared" si="8"/>
        <v>0.30047511308427266</v>
      </c>
      <c r="AG23" s="39">
        <f t="shared" si="2"/>
        <v>0.28834815359375426</v>
      </c>
      <c r="AH23" s="39">
        <f t="shared" si="3"/>
        <v>0.41117673332197313</v>
      </c>
    </row>
    <row r="24" spans="2:34">
      <c r="B24">
        <v>1951</v>
      </c>
      <c r="C24" s="4">
        <v>149.75790840000002</v>
      </c>
      <c r="D24">
        <f t="shared" si="0"/>
        <v>149757908400.00003</v>
      </c>
      <c r="E24" s="4">
        <v>150.02860317540552</v>
      </c>
      <c r="F24" s="5">
        <f t="shared" si="4"/>
        <v>150028603175.40552</v>
      </c>
      <c r="G24" s="4">
        <f t="shared" si="5"/>
        <v>113.12156679425577</v>
      </c>
      <c r="H24" s="5">
        <f t="shared" si="6"/>
        <v>113121566794.25577</v>
      </c>
      <c r="I24" s="5">
        <f t="shared" si="7"/>
        <v>113121566794.25577</v>
      </c>
      <c r="K24" s="5"/>
      <c r="M24">
        <v>2043</v>
      </c>
      <c r="N24" s="5">
        <v>0.25056</v>
      </c>
      <c r="P24">
        <v>1951</v>
      </c>
      <c r="Q24" s="4">
        <v>45.079827658471878</v>
      </c>
      <c r="R24" s="4">
        <v>43.260466289504642</v>
      </c>
      <c r="S24" s="4">
        <v>61.688309227428988</v>
      </c>
      <c r="T24" s="4">
        <v>150.02860317540552</v>
      </c>
      <c r="X24">
        <v>1951</v>
      </c>
      <c r="Y24">
        <v>48.337589833159463</v>
      </c>
      <c r="Z24">
        <v>46.604952286635601</v>
      </c>
      <c r="AA24">
        <v>65.785792457728846</v>
      </c>
      <c r="AB24">
        <f t="shared" si="1"/>
        <v>160.72833457752392</v>
      </c>
      <c r="AD24" s="40"/>
      <c r="AE24">
        <v>1951</v>
      </c>
      <c r="AF24" s="39">
        <f t="shared" si="8"/>
        <v>0.30074093631477805</v>
      </c>
      <c r="AG24" s="39">
        <f t="shared" si="2"/>
        <v>0.28996102279748742</v>
      </c>
      <c r="AH24" s="39">
        <f t="shared" si="3"/>
        <v>0.40929804088773442</v>
      </c>
    </row>
    <row r="25" spans="2:34">
      <c r="B25">
        <v>1952</v>
      </c>
      <c r="C25" s="4">
        <v>160.24656285000006</v>
      </c>
      <c r="D25">
        <f t="shared" si="0"/>
        <v>160246562850.00006</v>
      </c>
      <c r="E25" s="4">
        <v>160.72895747930519</v>
      </c>
      <c r="F25" s="5">
        <f t="shared" si="4"/>
        <v>160728957479.30521</v>
      </c>
      <c r="G25" s="4">
        <f t="shared" si="5"/>
        <v>121.18963393939612</v>
      </c>
      <c r="H25" s="5">
        <f t="shared" si="6"/>
        <v>121189633939.39612</v>
      </c>
      <c r="I25" s="5">
        <f t="shared" si="7"/>
        <v>121189633939.39612</v>
      </c>
      <c r="K25" s="5"/>
      <c r="M25">
        <v>2044</v>
      </c>
      <c r="N25" s="5">
        <v>0.24568799999999999</v>
      </c>
      <c r="P25">
        <v>1952</v>
      </c>
      <c r="Q25" s="4">
        <v>48.337730593856264</v>
      </c>
      <c r="R25" s="4">
        <v>46.605127751661406</v>
      </c>
      <c r="S25" s="4">
        <v>65.78609913378753</v>
      </c>
      <c r="T25" s="4">
        <v>160.72895747930519</v>
      </c>
      <c r="X25">
        <v>1952</v>
      </c>
      <c r="Y25">
        <v>53.80550289720118</v>
      </c>
      <c r="Z25">
        <v>52.274399399427743</v>
      </c>
      <c r="AA25">
        <v>73.214840355962622</v>
      </c>
      <c r="AB25">
        <f t="shared" si="1"/>
        <v>179.29474265259154</v>
      </c>
      <c r="AD25" s="40"/>
      <c r="AE25">
        <v>1952</v>
      </c>
      <c r="AF25" s="39">
        <f t="shared" si="8"/>
        <v>0.30009526270079662</v>
      </c>
      <c r="AG25" s="39">
        <f t="shared" si="2"/>
        <v>0.29155567322303838</v>
      </c>
      <c r="AH25" s="39">
        <f t="shared" si="3"/>
        <v>0.40834906407616506</v>
      </c>
    </row>
    <row r="26" spans="2:34">
      <c r="B26">
        <v>1953</v>
      </c>
      <c r="C26" s="4">
        <v>177.54391439999998</v>
      </c>
      <c r="D26">
        <f t="shared" si="0"/>
        <v>177543914399.99997</v>
      </c>
      <c r="E26" s="4">
        <v>179.29578083169324</v>
      </c>
      <c r="F26" s="5">
        <f t="shared" si="4"/>
        <v>179295780831.69324</v>
      </c>
      <c r="G26" s="4">
        <f t="shared" si="5"/>
        <v>135.1890187470967</v>
      </c>
      <c r="H26" s="5">
        <f t="shared" si="6"/>
        <v>135189018747.09669</v>
      </c>
      <c r="I26" s="5">
        <f t="shared" si="7"/>
        <v>135189018747.09669</v>
      </c>
      <c r="K26" s="5"/>
      <c r="M26">
        <v>2045</v>
      </c>
      <c r="N26" s="5">
        <v>0.24081599999999997</v>
      </c>
      <c r="P26">
        <v>1953</v>
      </c>
      <c r="Q26" s="4">
        <v>53.805731126657314</v>
      </c>
      <c r="R26" s="4">
        <v>52.274693003097454</v>
      </c>
      <c r="S26" s="4">
        <v>73.215356701938475</v>
      </c>
      <c r="T26" s="4">
        <v>179.29578083169324</v>
      </c>
      <c r="X26">
        <v>1953</v>
      </c>
      <c r="Y26">
        <v>57.940665953601837</v>
      </c>
      <c r="Z26">
        <v>57.337462641924866</v>
      </c>
      <c r="AA26">
        <v>79.813599641073665</v>
      </c>
      <c r="AB26">
        <f t="shared" si="1"/>
        <v>195.09172823660037</v>
      </c>
      <c r="AD26" s="40"/>
      <c r="AE26">
        <v>1953</v>
      </c>
      <c r="AF26" s="39">
        <f t="shared" si="8"/>
        <v>0.29699191491775312</v>
      </c>
      <c r="AG26" s="39">
        <f t="shared" si="2"/>
        <v>0.29390001903303664</v>
      </c>
      <c r="AH26" s="39">
        <f t="shared" si="3"/>
        <v>0.40910806604921018</v>
      </c>
    </row>
    <row r="27" spans="2:34">
      <c r="B27">
        <v>1954</v>
      </c>
      <c r="C27" s="4">
        <v>194.98640399999999</v>
      </c>
      <c r="D27">
        <f t="shared" si="0"/>
        <v>194986404000</v>
      </c>
      <c r="E27" s="4">
        <v>195.09348303020346</v>
      </c>
      <c r="F27" s="5">
        <f t="shared" si="4"/>
        <v>195093483030.20346</v>
      </c>
      <c r="G27" s="4">
        <f t="shared" si="5"/>
        <v>147.1004862047734</v>
      </c>
      <c r="H27" s="5">
        <f t="shared" si="6"/>
        <v>147100486204.77341</v>
      </c>
      <c r="I27" s="5">
        <f t="shared" si="7"/>
        <v>147100486204.77341</v>
      </c>
      <c r="K27" s="5"/>
      <c r="M27">
        <v>2046</v>
      </c>
      <c r="N27" s="5">
        <v>0.23594399999999999</v>
      </c>
      <c r="P27">
        <v>1954</v>
      </c>
      <c r="Q27" s="4">
        <v>57.941047259917774</v>
      </c>
      <c r="R27" s="4">
        <v>57.337962456413933</v>
      </c>
      <c r="S27" s="4">
        <v>79.814473313871758</v>
      </c>
      <c r="T27" s="4">
        <v>195.09348303020346</v>
      </c>
      <c r="X27">
        <v>1954</v>
      </c>
      <c r="Y27">
        <v>64.502018305342574</v>
      </c>
      <c r="Z27">
        <v>63.826778877382573</v>
      </c>
      <c r="AA27">
        <v>89.111751231022282</v>
      </c>
      <c r="AB27">
        <f t="shared" si="1"/>
        <v>217.44054841374742</v>
      </c>
      <c r="AD27" s="40"/>
      <c r="AE27">
        <v>1954</v>
      </c>
      <c r="AF27" s="39">
        <f t="shared" si="8"/>
        <v>0.29664208803689951</v>
      </c>
      <c r="AG27" s="39">
        <f t="shared" si="2"/>
        <v>0.2935366901114162</v>
      </c>
      <c r="AH27" s="39">
        <f t="shared" si="3"/>
        <v>0.40982122185168429</v>
      </c>
    </row>
    <row r="28" spans="2:34">
      <c r="B28">
        <v>1955</v>
      </c>
      <c r="C28" s="4">
        <v>217.36614555</v>
      </c>
      <c r="D28">
        <f t="shared" si="0"/>
        <v>217366145550</v>
      </c>
      <c r="E28" s="4">
        <v>217.44352540039839</v>
      </c>
      <c r="F28" s="5">
        <f t="shared" si="4"/>
        <v>217443525400.39838</v>
      </c>
      <c r="G28" s="4">
        <f t="shared" si="5"/>
        <v>163.95241815190039</v>
      </c>
      <c r="H28" s="5">
        <f t="shared" si="6"/>
        <v>163952418151.90039</v>
      </c>
      <c r="I28" s="5">
        <f t="shared" si="7"/>
        <v>163952418151.90039</v>
      </c>
      <c r="K28" s="5"/>
      <c r="M28">
        <v>2047</v>
      </c>
      <c r="N28" s="5">
        <v>0.23107199999999997</v>
      </c>
      <c r="P28">
        <v>1955</v>
      </c>
      <c r="Q28" s="4">
        <v>64.502664347677211</v>
      </c>
      <c r="R28" s="4">
        <v>63.827635338455337</v>
      </c>
      <c r="S28" s="4">
        <v>89.113225714265837</v>
      </c>
      <c r="T28" s="4">
        <v>217.44352540039839</v>
      </c>
      <c r="X28">
        <v>1955</v>
      </c>
      <c r="Y28">
        <v>69.891910339558777</v>
      </c>
      <c r="Z28">
        <v>69.617388395712155</v>
      </c>
      <c r="AA28">
        <v>96.563765569322243</v>
      </c>
      <c r="AB28">
        <f t="shared" si="1"/>
        <v>236.07306430459317</v>
      </c>
      <c r="AD28" s="40"/>
      <c r="AE28">
        <v>1955</v>
      </c>
      <c r="AF28" s="39">
        <f t="shared" si="8"/>
        <v>0.29606050374887655</v>
      </c>
      <c r="AG28" s="39">
        <f t="shared" si="2"/>
        <v>0.29489763519097778</v>
      </c>
      <c r="AH28" s="39">
        <f t="shared" si="3"/>
        <v>0.40904186106014573</v>
      </c>
    </row>
    <row r="29" spans="2:34">
      <c r="B29">
        <v>1956</v>
      </c>
      <c r="C29" s="4">
        <v>235.56041955000009</v>
      </c>
      <c r="D29">
        <f t="shared" si="0"/>
        <v>235560419550.00009</v>
      </c>
      <c r="E29" s="4">
        <v>236.07812554961555</v>
      </c>
      <c r="F29" s="5">
        <f t="shared" si="4"/>
        <v>236078125549.61554</v>
      </c>
      <c r="G29" s="4">
        <f t="shared" si="5"/>
        <v>178.00290666441012</v>
      </c>
      <c r="H29" s="5">
        <f t="shared" si="6"/>
        <v>178002906664.41013</v>
      </c>
      <c r="I29" s="5">
        <f t="shared" si="7"/>
        <v>178002906664.41013</v>
      </c>
      <c r="K29" s="5"/>
      <c r="M29">
        <v>2048</v>
      </c>
      <c r="N29" s="5">
        <v>0.22620000000000001</v>
      </c>
      <c r="P29">
        <v>1956</v>
      </c>
      <c r="Q29" s="4">
        <v>69.893016745799343</v>
      </c>
      <c r="R29" s="4">
        <v>69.618860266088589</v>
      </c>
      <c r="S29" s="4">
        <v>96.566248537727617</v>
      </c>
      <c r="T29" s="4">
        <v>236.07812554961555</v>
      </c>
      <c r="X29">
        <v>1956</v>
      </c>
      <c r="Y29">
        <v>72.207259138494351</v>
      </c>
      <c r="Z29">
        <v>73.522864141999577</v>
      </c>
      <c r="AA29">
        <v>101.36097974809623</v>
      </c>
      <c r="AB29">
        <f t="shared" si="1"/>
        <v>247.09110302859017</v>
      </c>
      <c r="AD29" s="40"/>
      <c r="AE29">
        <v>1956</v>
      </c>
      <c r="AF29" s="39">
        <f t="shared" si="8"/>
        <v>0.29222929621282018</v>
      </c>
      <c r="AG29" s="39">
        <f t="shared" si="2"/>
        <v>0.29755366842768299</v>
      </c>
      <c r="AH29" s="39">
        <f t="shared" si="3"/>
        <v>0.41021703535949677</v>
      </c>
    </row>
    <row r="30" spans="2:34">
      <c r="B30">
        <v>1957</v>
      </c>
      <c r="C30" s="4">
        <v>246.60284985000007</v>
      </c>
      <c r="D30">
        <f t="shared" si="0"/>
        <v>246602849850.00006</v>
      </c>
      <c r="E30" s="4">
        <v>247.0996873498251</v>
      </c>
      <c r="F30" s="5">
        <f t="shared" si="4"/>
        <v>247099687349.8251</v>
      </c>
      <c r="G30" s="4">
        <f t="shared" si="5"/>
        <v>186.31316426176812</v>
      </c>
      <c r="H30" s="5">
        <f t="shared" si="6"/>
        <v>186313164261.76813</v>
      </c>
      <c r="I30" s="5">
        <f t="shared" si="7"/>
        <v>186313164261.76813</v>
      </c>
      <c r="K30" s="5"/>
      <c r="M30">
        <v>2049</v>
      </c>
      <c r="N30" s="5">
        <v>0.221328</v>
      </c>
      <c r="P30">
        <v>1957</v>
      </c>
      <c r="Q30" s="4">
        <v>72.209159596378456</v>
      </c>
      <c r="R30" s="4">
        <v>73.525389494229202</v>
      </c>
      <c r="S30" s="4">
        <v>101.36513825921746</v>
      </c>
      <c r="T30" s="4">
        <v>247.0996873498251</v>
      </c>
      <c r="X30">
        <v>1957</v>
      </c>
      <c r="Y30">
        <v>76.466388278885873</v>
      </c>
      <c r="Z30">
        <v>78.602833819907488</v>
      </c>
      <c r="AA30">
        <v>107.72572786939102</v>
      </c>
      <c r="AB30">
        <f t="shared" si="1"/>
        <v>262.79494996818437</v>
      </c>
      <c r="AD30" s="40"/>
      <c r="AE30">
        <v>1957</v>
      </c>
      <c r="AF30" s="39">
        <f t="shared" si="8"/>
        <v>0.29097358335136719</v>
      </c>
      <c r="AG30" s="39">
        <f t="shared" si="2"/>
        <v>0.299103288816713</v>
      </c>
      <c r="AH30" s="39">
        <f t="shared" si="3"/>
        <v>0.40992312783191986</v>
      </c>
    </row>
    <row r="31" spans="2:34">
      <c r="B31">
        <v>1958</v>
      </c>
      <c r="C31" s="4">
        <v>263.20196970000006</v>
      </c>
      <c r="D31">
        <f t="shared" si="0"/>
        <v>263201969700.00006</v>
      </c>
      <c r="E31" s="4">
        <v>262.80940817755578</v>
      </c>
      <c r="F31" s="5">
        <f t="shared" si="4"/>
        <v>262809408177.55579</v>
      </c>
      <c r="G31" s="4">
        <f t="shared" si="5"/>
        <v>198.15829376587706</v>
      </c>
      <c r="H31" s="5">
        <f t="shared" si="6"/>
        <v>198158293765.87708</v>
      </c>
      <c r="I31" s="5">
        <f t="shared" si="7"/>
        <v>198158293765.87708</v>
      </c>
      <c r="K31" s="5"/>
      <c r="M31">
        <v>2050</v>
      </c>
      <c r="N31" s="5">
        <v>0.21645599999999998</v>
      </c>
      <c r="P31">
        <v>1958</v>
      </c>
      <c r="Q31" s="4">
        <v>76.469635787057513</v>
      </c>
      <c r="R31" s="4">
        <v>78.60713620122101</v>
      </c>
      <c r="S31" s="4">
        <v>107.73263618927726</v>
      </c>
      <c r="T31" s="4">
        <v>262.80940817755578</v>
      </c>
      <c r="X31">
        <v>1958</v>
      </c>
      <c r="Y31">
        <v>85.512931134297588</v>
      </c>
      <c r="Z31">
        <v>88.431109747045099</v>
      </c>
      <c r="AA31">
        <v>120.35538894931418</v>
      </c>
      <c r="AB31">
        <f t="shared" si="1"/>
        <v>294.29942983065689</v>
      </c>
      <c r="AD31" s="40"/>
      <c r="AE31">
        <v>1958</v>
      </c>
      <c r="AF31" s="39">
        <f t="shared" si="8"/>
        <v>0.29056437922255801</v>
      </c>
      <c r="AG31" s="39">
        <f t="shared" si="2"/>
        <v>0.30048005800734756</v>
      </c>
      <c r="AH31" s="39">
        <f t="shared" si="3"/>
        <v>0.40895556277009432</v>
      </c>
    </row>
    <row r="32" spans="2:34">
      <c r="B32">
        <v>1959</v>
      </c>
      <c r="C32" s="4">
        <v>294.09693165000004</v>
      </c>
      <c r="D32">
        <f t="shared" si="0"/>
        <v>294096931650.00006</v>
      </c>
      <c r="E32" s="4">
        <v>294.32354872225096</v>
      </c>
      <c r="F32" s="5">
        <f t="shared" si="4"/>
        <v>294323548722.25098</v>
      </c>
      <c r="G32" s="4">
        <f t="shared" si="5"/>
        <v>221.91995573657724</v>
      </c>
      <c r="H32" s="5">
        <f t="shared" si="6"/>
        <v>221919955736.57724</v>
      </c>
      <c r="I32" s="5">
        <f t="shared" si="7"/>
        <v>221919955736.57724</v>
      </c>
      <c r="K32" s="5"/>
      <c r="P32">
        <v>1959</v>
      </c>
      <c r="Q32" s="4">
        <v>85.518431465198461</v>
      </c>
      <c r="R32" s="4">
        <v>88.438364333942857</v>
      </c>
      <c r="S32" s="4">
        <v>120.36675292310962</v>
      </c>
      <c r="T32" s="4">
        <v>294.32354872225096</v>
      </c>
      <c r="X32">
        <v>1959</v>
      </c>
      <c r="Y32">
        <v>90.717419786698102</v>
      </c>
      <c r="Z32">
        <v>96.122544373380848</v>
      </c>
      <c r="AA32">
        <v>129.99631030365757</v>
      </c>
      <c r="AB32">
        <f t="shared" si="1"/>
        <v>316.83627446373652</v>
      </c>
      <c r="AD32" s="40"/>
      <c r="AE32">
        <v>1959</v>
      </c>
      <c r="AF32" s="39">
        <f t="shared" si="8"/>
        <v>0.28632270702034518</v>
      </c>
      <c r="AG32" s="39">
        <f t="shared" si="2"/>
        <v>0.30338238428056807</v>
      </c>
      <c r="AH32" s="39">
        <f t="shared" si="3"/>
        <v>0.41029490869908675</v>
      </c>
    </row>
    <row r="33" spans="2:34">
      <c r="B33">
        <v>1960</v>
      </c>
      <c r="C33" s="4">
        <v>316.55700225000004</v>
      </c>
      <c r="D33">
        <f t="shared" si="0"/>
        <v>316557002250.00006</v>
      </c>
      <c r="E33" s="4">
        <v>316.87603954011809</v>
      </c>
      <c r="F33" s="5">
        <f t="shared" si="4"/>
        <v>316876039540.1181</v>
      </c>
      <c r="G33" s="4">
        <f t="shared" si="5"/>
        <v>238.92453381324904</v>
      </c>
      <c r="H33" s="5">
        <f t="shared" si="6"/>
        <v>238924533813.24905</v>
      </c>
      <c r="I33" s="5">
        <f t="shared" si="7"/>
        <v>238924533813.24905</v>
      </c>
      <c r="K33" s="5"/>
      <c r="P33">
        <v>1960</v>
      </c>
      <c r="Q33" s="4">
        <v>90.726622811421976</v>
      </c>
      <c r="R33" s="4">
        <v>96.134621442340404</v>
      </c>
      <c r="S33" s="4">
        <v>130.01479528635571</v>
      </c>
      <c r="T33" s="4">
        <v>316.87603954011809</v>
      </c>
      <c r="X33">
        <v>1960</v>
      </c>
      <c r="Y33">
        <v>93.965761544776853</v>
      </c>
      <c r="Z33">
        <v>101.02349665725477</v>
      </c>
      <c r="AA33">
        <v>138.38589844592806</v>
      </c>
      <c r="AB33">
        <f t="shared" si="1"/>
        <v>333.37515664795967</v>
      </c>
      <c r="AD33" s="40"/>
      <c r="AE33">
        <v>1960</v>
      </c>
      <c r="AF33" s="39">
        <f t="shared" si="8"/>
        <v>0.2818619194351174</v>
      </c>
      <c r="AG33" s="39">
        <f t="shared" si="2"/>
        <v>0.30303246850494747</v>
      </c>
      <c r="AH33" s="39">
        <f t="shared" si="3"/>
        <v>0.41510561205993518</v>
      </c>
    </row>
    <row r="34" spans="2:34">
      <c r="B34">
        <v>1961</v>
      </c>
      <c r="C34" s="4">
        <v>333.29716695000002</v>
      </c>
      <c r="D34">
        <f t="shared" si="0"/>
        <v>333297166950</v>
      </c>
      <c r="E34" s="4">
        <v>333.43977081884736</v>
      </c>
      <c r="F34" s="5">
        <f t="shared" si="4"/>
        <v>333439770818.84735</v>
      </c>
      <c r="G34" s="4">
        <f t="shared" si="5"/>
        <v>251.41358719741092</v>
      </c>
      <c r="H34" s="5">
        <f t="shared" si="6"/>
        <v>251413587197.41092</v>
      </c>
      <c r="I34" s="5">
        <f t="shared" si="7"/>
        <v>251413587197.41092</v>
      </c>
      <c r="K34" s="5"/>
      <c r="P34">
        <v>1961</v>
      </c>
      <c r="Q34" s="4">
        <v>93.98091614911398</v>
      </c>
      <c r="R34" s="4">
        <v>101.0432882819959</v>
      </c>
      <c r="S34" s="4">
        <v>138.41556638773753</v>
      </c>
      <c r="T34" s="4">
        <v>333.43977081884736</v>
      </c>
      <c r="X34">
        <v>1961</v>
      </c>
      <c r="Y34">
        <v>100.52239946625066</v>
      </c>
      <c r="Z34">
        <v>108.77437002441894</v>
      </c>
      <c r="AA34">
        <v>149.10026244168026</v>
      </c>
      <c r="AB34">
        <f t="shared" si="1"/>
        <v>358.39703193234982</v>
      </c>
      <c r="AD34" s="40"/>
      <c r="AE34">
        <v>1961</v>
      </c>
      <c r="AF34" s="39">
        <f t="shared" si="8"/>
        <v>0.28047776769877109</v>
      </c>
      <c r="AG34" s="39">
        <f t="shared" si="2"/>
        <v>0.30350242979956077</v>
      </c>
      <c r="AH34" s="39">
        <f t="shared" si="3"/>
        <v>0.41601980250166826</v>
      </c>
    </row>
    <row r="35" spans="2:34">
      <c r="B35">
        <v>1962</v>
      </c>
      <c r="C35" s="4">
        <v>357.75454860000008</v>
      </c>
      <c r="D35">
        <f t="shared" si="0"/>
        <v>357754548600.00006</v>
      </c>
      <c r="E35" s="4">
        <v>358.50031517903545</v>
      </c>
      <c r="F35" s="5">
        <f t="shared" si="4"/>
        <v>358500315179.03546</v>
      </c>
      <c r="G35" s="4">
        <f t="shared" si="5"/>
        <v>270.30923764499272</v>
      </c>
      <c r="H35" s="5">
        <f t="shared" si="6"/>
        <v>270309237644.99271</v>
      </c>
      <c r="I35" s="5">
        <f t="shared" si="7"/>
        <v>270309237644.99271</v>
      </c>
      <c r="K35" s="5"/>
      <c r="P35">
        <v>1962</v>
      </c>
      <c r="Q35" s="4">
        <v>100.54690476373972</v>
      </c>
      <c r="R35" s="4">
        <v>108.80623268131917</v>
      </c>
      <c r="S35" s="4">
        <v>149.14717773397655</v>
      </c>
      <c r="T35" s="4">
        <v>358.50031517903545</v>
      </c>
      <c r="X35">
        <v>1962</v>
      </c>
      <c r="Y35">
        <v>105.88196065398613</v>
      </c>
      <c r="Z35">
        <v>114.55494228439244</v>
      </c>
      <c r="AA35">
        <v>156.69626931466149</v>
      </c>
      <c r="AB35">
        <f t="shared" si="1"/>
        <v>377.13317225304007</v>
      </c>
      <c r="AD35" s="40"/>
      <c r="AE35">
        <v>1962</v>
      </c>
      <c r="AF35" s="39">
        <f t="shared" si="8"/>
        <v>0.28075483262698486</v>
      </c>
      <c r="AG35" s="39">
        <f t="shared" si="2"/>
        <v>0.30375196538672822</v>
      </c>
      <c r="AH35" s="39">
        <f t="shared" si="3"/>
        <v>0.41549320198628686</v>
      </c>
    </row>
    <row r="36" spans="2:34">
      <c r="B36">
        <v>1963</v>
      </c>
      <c r="C36" s="4">
        <v>376.90697250000017</v>
      </c>
      <c r="D36">
        <f t="shared" ref="D36:D67" si="9">C36*$J$4</f>
        <v>376906972500.00018</v>
      </c>
      <c r="E36" s="4">
        <v>377.29541912136244</v>
      </c>
      <c r="F36" s="5">
        <f t="shared" ref="F36:F67" si="10">E36*$J$4</f>
        <v>377295419121.36243</v>
      </c>
      <c r="G36" s="4">
        <f t="shared" si="5"/>
        <v>284.48074601750727</v>
      </c>
      <c r="H36" s="5">
        <f t="shared" ref="H36:H67" si="11">G36*$J$4</f>
        <v>284480746017.50726</v>
      </c>
      <c r="I36" s="5">
        <f t="shared" si="7"/>
        <v>284480746017.50726</v>
      </c>
      <c r="K36" s="5"/>
      <c r="P36">
        <v>1963</v>
      </c>
      <c r="Q36" s="4">
        <v>105.92083385650285</v>
      </c>
      <c r="R36" s="4">
        <v>114.60528540206705</v>
      </c>
      <c r="S36" s="4">
        <v>156.76929986279256</v>
      </c>
      <c r="T36" s="4">
        <v>377.29541912136244</v>
      </c>
      <c r="X36">
        <v>1963</v>
      </c>
      <c r="Y36">
        <v>116.52936163565565</v>
      </c>
      <c r="Z36">
        <v>125.70861240709593</v>
      </c>
      <c r="AA36">
        <v>171.66822693899448</v>
      </c>
      <c r="AB36">
        <f t="shared" ref="AB36:AB67" si="12">SUM(Y36,Z36,AA36)</f>
        <v>413.90620098174605</v>
      </c>
      <c r="AD36" s="40"/>
      <c r="AE36">
        <v>1963</v>
      </c>
      <c r="AF36" s="39">
        <f t="shared" ref="AF36:AF67" si="13">Y36/AB36</f>
        <v>0.28153567489266679</v>
      </c>
      <c r="AG36" s="39">
        <f t="shared" ref="AG36:AG67" si="14">Z36/AB36</f>
        <v>0.30371280282568147</v>
      </c>
      <c r="AH36" s="39">
        <f t="shared" ref="AH36:AH67" si="15">AA36/AB36</f>
        <v>0.41475152228165174</v>
      </c>
    </row>
    <row r="37" spans="2:34">
      <c r="B37">
        <v>1964</v>
      </c>
      <c r="C37" s="4">
        <v>415.71323730000006</v>
      </c>
      <c r="D37">
        <f t="shared" si="9"/>
        <v>415713237300.00006</v>
      </c>
      <c r="E37" s="4">
        <v>414.15639586327359</v>
      </c>
      <c r="F37" s="5">
        <f t="shared" si="10"/>
        <v>414156395863.27356</v>
      </c>
      <c r="G37" s="4">
        <f t="shared" si="5"/>
        <v>312.27392248090831</v>
      </c>
      <c r="H37" s="5">
        <f t="shared" si="11"/>
        <v>312273922480.90833</v>
      </c>
      <c r="I37" s="5">
        <f t="shared" si="7"/>
        <v>312273922480.90833</v>
      </c>
      <c r="K37" s="5"/>
      <c r="P37">
        <v>1964</v>
      </c>
      <c r="Q37" s="4">
        <v>116.58978398231307</v>
      </c>
      <c r="R37" s="4">
        <v>125.78658989243534</v>
      </c>
      <c r="S37" s="4">
        <v>171.78002198852516</v>
      </c>
      <c r="T37" s="4">
        <v>414.15639586327359</v>
      </c>
      <c r="X37">
        <v>1964</v>
      </c>
      <c r="Y37">
        <v>120.6302890253007</v>
      </c>
      <c r="Z37">
        <v>131.7833290006775</v>
      </c>
      <c r="AA37">
        <v>179.61664529477241</v>
      </c>
      <c r="AB37">
        <f t="shared" si="12"/>
        <v>432.03026332075058</v>
      </c>
      <c r="AD37" s="40"/>
      <c r="AE37">
        <v>1964</v>
      </c>
      <c r="AF37" s="39">
        <f t="shared" si="13"/>
        <v>0.27921721987272363</v>
      </c>
      <c r="AG37" s="39">
        <f t="shared" si="14"/>
        <v>0.30503263356539007</v>
      </c>
      <c r="AH37" s="39">
        <f t="shared" si="15"/>
        <v>0.41575014656188636</v>
      </c>
    </row>
    <row r="38" spans="2:34">
      <c r="B38">
        <v>1965</v>
      </c>
      <c r="C38" s="4">
        <v>433.7526519000001</v>
      </c>
      <c r="D38">
        <f t="shared" si="9"/>
        <v>433752651900.00012</v>
      </c>
      <c r="E38" s="4">
        <v>432.40878368840322</v>
      </c>
      <c r="F38" s="5">
        <f t="shared" si="10"/>
        <v>432408783688.4032</v>
      </c>
      <c r="G38" s="4">
        <f t="shared" si="5"/>
        <v>326.03622290105602</v>
      </c>
      <c r="H38" s="5">
        <f t="shared" si="11"/>
        <v>326036222901.05603</v>
      </c>
      <c r="I38" s="5">
        <f t="shared" si="7"/>
        <v>326036222901.05603</v>
      </c>
      <c r="K38" s="5"/>
      <c r="P38">
        <v>1965</v>
      </c>
      <c r="Q38" s="4">
        <v>120.72226435197048</v>
      </c>
      <c r="R38" s="4">
        <v>131.90166947443211</v>
      </c>
      <c r="S38" s="4">
        <v>179.78484986200058</v>
      </c>
      <c r="T38" s="4">
        <v>432.40878368840322</v>
      </c>
      <c r="X38">
        <v>1965</v>
      </c>
      <c r="Y38">
        <v>128.17762958041803</v>
      </c>
      <c r="Z38">
        <v>141.11483784259673</v>
      </c>
      <c r="AA38">
        <v>191.93133986348229</v>
      </c>
      <c r="AB38">
        <f t="shared" si="12"/>
        <v>461.22380728649705</v>
      </c>
      <c r="AD38" s="40"/>
      <c r="AE38">
        <v>1965</v>
      </c>
      <c r="AF38" s="39">
        <f t="shared" si="13"/>
        <v>0.27790766121662558</v>
      </c>
      <c r="AG38" s="39">
        <f t="shared" si="14"/>
        <v>0.3059574020534912</v>
      </c>
      <c r="AH38" s="39">
        <f t="shared" si="15"/>
        <v>0.41613493672988322</v>
      </c>
    </row>
    <row r="39" spans="2:34">
      <c r="B39">
        <v>1966</v>
      </c>
      <c r="C39" s="4">
        <v>464.26575240000005</v>
      </c>
      <c r="D39">
        <f t="shared" si="9"/>
        <v>464265752400.00006</v>
      </c>
      <c r="E39" s="4">
        <v>461.78532641265531</v>
      </c>
      <c r="F39" s="5">
        <f t="shared" si="10"/>
        <v>461785326412.65533</v>
      </c>
      <c r="G39" s="4">
        <f t="shared" si="5"/>
        <v>348.18613611514212</v>
      </c>
      <c r="H39" s="5">
        <f t="shared" si="11"/>
        <v>348186136115.14209</v>
      </c>
      <c r="I39" s="5">
        <f t="shared" si="7"/>
        <v>348186136115.14209</v>
      </c>
      <c r="K39" s="5"/>
      <c r="P39">
        <v>1966</v>
      </c>
      <c r="Q39" s="4">
        <v>128.31467180738696</v>
      </c>
      <c r="R39" s="4">
        <v>141.29071644342358</v>
      </c>
      <c r="S39" s="4">
        <v>192.17993816184477</v>
      </c>
      <c r="T39" s="4">
        <v>461.78532641265531</v>
      </c>
      <c r="X39">
        <v>1966</v>
      </c>
      <c r="Y39">
        <v>131.66387515846714</v>
      </c>
      <c r="Z39">
        <v>146.96372345719467</v>
      </c>
      <c r="AA39">
        <v>200.02558669795081</v>
      </c>
      <c r="AB39">
        <f t="shared" si="12"/>
        <v>478.6531853136126</v>
      </c>
      <c r="AD39" s="40"/>
      <c r="AE39">
        <v>1966</v>
      </c>
      <c r="AF39" s="39">
        <f t="shared" si="13"/>
        <v>0.27507155326293553</v>
      </c>
      <c r="AG39" s="39">
        <f t="shared" si="14"/>
        <v>0.30703592489602749</v>
      </c>
      <c r="AH39" s="39">
        <f t="shared" si="15"/>
        <v>0.41789252184103709</v>
      </c>
    </row>
    <row r="40" spans="2:34">
      <c r="B40">
        <v>1967</v>
      </c>
      <c r="C40" s="4">
        <v>483.16064580000005</v>
      </c>
      <c r="D40">
        <f t="shared" si="9"/>
        <v>483160645800.00006</v>
      </c>
      <c r="E40" s="4">
        <v>479.46979459662316</v>
      </c>
      <c r="F40" s="5">
        <f t="shared" si="10"/>
        <v>479469794596.62317</v>
      </c>
      <c r="G40" s="4">
        <f t="shared" si="5"/>
        <v>361.52022512585387</v>
      </c>
      <c r="H40" s="5">
        <f t="shared" si="11"/>
        <v>361520225125.85388</v>
      </c>
      <c r="I40" s="5">
        <f t="shared" si="7"/>
        <v>361520225125.85388</v>
      </c>
      <c r="K40" s="5"/>
      <c r="P40">
        <v>1967</v>
      </c>
      <c r="Q40" s="4">
        <v>131.86372547982637</v>
      </c>
      <c r="R40" s="4">
        <v>147.21966524362929</v>
      </c>
      <c r="S40" s="4">
        <v>200.38640387316755</v>
      </c>
      <c r="T40" s="4">
        <v>479.46979459662316</v>
      </c>
      <c r="X40">
        <v>1967</v>
      </c>
      <c r="Y40">
        <v>141.67268180669546</v>
      </c>
      <c r="Z40">
        <v>157.55576464768856</v>
      </c>
      <c r="AA40">
        <v>213.76198977400745</v>
      </c>
      <c r="AB40">
        <f t="shared" si="12"/>
        <v>512.99043622839145</v>
      </c>
      <c r="AD40" s="40"/>
      <c r="AE40">
        <v>1967</v>
      </c>
      <c r="AF40" s="39">
        <f t="shared" si="13"/>
        <v>0.27617022034231559</v>
      </c>
      <c r="AG40" s="39">
        <f t="shared" si="14"/>
        <v>0.30713197268563158</v>
      </c>
      <c r="AH40" s="39">
        <f t="shared" si="15"/>
        <v>0.41669780697205283</v>
      </c>
    </row>
    <row r="41" spans="2:34">
      <c r="B41">
        <v>1968</v>
      </c>
      <c r="C41" s="4">
        <v>515.33729100000005</v>
      </c>
      <c r="D41">
        <f t="shared" si="9"/>
        <v>515337291000.00006</v>
      </c>
      <c r="E41" s="4">
        <v>514.15449104265292</v>
      </c>
      <c r="F41" s="5">
        <f t="shared" si="10"/>
        <v>514154491042.65289</v>
      </c>
      <c r="G41" s="4">
        <f t="shared" si="5"/>
        <v>387.6724862461603</v>
      </c>
      <c r="H41" s="5">
        <f t="shared" si="11"/>
        <v>387672486246.16028</v>
      </c>
      <c r="I41" s="5">
        <f t="shared" si="7"/>
        <v>387672486246.16028</v>
      </c>
      <c r="K41" s="5"/>
      <c r="P41">
        <v>1968</v>
      </c>
      <c r="Q41" s="4">
        <v>141.95791288151935</v>
      </c>
      <c r="R41" s="4">
        <v>157.92041942393809</v>
      </c>
      <c r="S41" s="4">
        <v>214.27615873719552</v>
      </c>
      <c r="T41" s="4">
        <v>514.15449104265292</v>
      </c>
      <c r="X41">
        <v>1968</v>
      </c>
      <c r="Y41">
        <v>149.01805202411899</v>
      </c>
      <c r="Z41">
        <v>165.83946007504457</v>
      </c>
      <c r="AA41">
        <v>223.86238818921134</v>
      </c>
      <c r="AB41">
        <f t="shared" si="12"/>
        <v>538.7199002883749</v>
      </c>
      <c r="AD41" s="40"/>
      <c r="AE41">
        <v>1968</v>
      </c>
      <c r="AF41" s="39">
        <f t="shared" si="13"/>
        <v>0.27661508688346231</v>
      </c>
      <c r="AG41" s="39">
        <f t="shared" si="14"/>
        <v>0.30783986258215312</v>
      </c>
      <c r="AH41" s="39">
        <f t="shared" si="15"/>
        <v>0.41554505053438451</v>
      </c>
    </row>
    <row r="42" spans="2:34">
      <c r="B42">
        <v>1969</v>
      </c>
      <c r="C42" s="4">
        <v>542.32563465000021</v>
      </c>
      <c r="D42">
        <f t="shared" si="9"/>
        <v>542325634650.00018</v>
      </c>
      <c r="E42" s="4">
        <v>540.34645320108552</v>
      </c>
      <c r="F42" s="5">
        <f t="shared" si="10"/>
        <v>540346453201.08551</v>
      </c>
      <c r="G42" s="4">
        <f t="shared" si="5"/>
        <v>407.42122571361847</v>
      </c>
      <c r="H42" s="5">
        <f t="shared" si="11"/>
        <v>407421225713.61847</v>
      </c>
      <c r="I42" s="5">
        <f t="shared" si="7"/>
        <v>407421225713.61847</v>
      </c>
      <c r="K42" s="5"/>
      <c r="P42">
        <v>1969</v>
      </c>
      <c r="Q42" s="4">
        <v>149.41653588134812</v>
      </c>
      <c r="R42" s="4">
        <v>166.34819629427196</v>
      </c>
      <c r="S42" s="4">
        <v>224.58172102546547</v>
      </c>
      <c r="T42" s="4">
        <v>540.34645320108552</v>
      </c>
      <c r="X42">
        <v>1969</v>
      </c>
      <c r="Y42">
        <v>155.92739589360716</v>
      </c>
      <c r="Z42">
        <v>175.53519871040251</v>
      </c>
      <c r="AA42">
        <v>235.19987736602982</v>
      </c>
      <c r="AB42">
        <f t="shared" si="12"/>
        <v>566.66247197003952</v>
      </c>
      <c r="AD42" s="40"/>
      <c r="AE42">
        <v>1969</v>
      </c>
      <c r="AF42" s="39">
        <f t="shared" si="13"/>
        <v>0.27516802965884657</v>
      </c>
      <c r="AG42" s="39">
        <f t="shared" si="14"/>
        <v>0.30977029076964069</v>
      </c>
      <c r="AH42" s="39">
        <f t="shared" si="15"/>
        <v>0.41506167957151269</v>
      </c>
    </row>
    <row r="43" spans="2:34">
      <c r="B43">
        <v>1970</v>
      </c>
      <c r="C43" s="4">
        <v>571.20449932499992</v>
      </c>
      <c r="D43">
        <f t="shared" si="9"/>
        <v>571204499324.99988</v>
      </c>
      <c r="E43" s="4">
        <v>568.89069185566507</v>
      </c>
      <c r="F43" s="5">
        <f t="shared" si="10"/>
        <v>568890691855.66504</v>
      </c>
      <c r="G43" s="4">
        <f t="shared" si="5"/>
        <v>428.94358165917146</v>
      </c>
      <c r="H43" s="5">
        <f t="shared" si="11"/>
        <v>428943581659.17145</v>
      </c>
      <c r="I43" s="5">
        <f t="shared" si="7"/>
        <v>428943581659.17145</v>
      </c>
      <c r="K43" s="5"/>
      <c r="P43">
        <v>1970</v>
      </c>
      <c r="Q43" s="4">
        <v>156.47246703034102</v>
      </c>
      <c r="R43" s="4">
        <v>176.23033390417709</v>
      </c>
      <c r="S43" s="4">
        <v>236.18789092114693</v>
      </c>
      <c r="T43" s="4">
        <v>568.89069185566507</v>
      </c>
      <c r="X43">
        <v>1970</v>
      </c>
      <c r="Y43">
        <v>170.56997780414034</v>
      </c>
      <c r="Z43">
        <v>190.55940869407385</v>
      </c>
      <c r="AA43">
        <v>252.16637481273796</v>
      </c>
      <c r="AB43">
        <f t="shared" si="12"/>
        <v>613.29576131095223</v>
      </c>
      <c r="AD43" s="40"/>
      <c r="AE43">
        <v>1970</v>
      </c>
      <c r="AF43" s="39">
        <f t="shared" si="13"/>
        <v>0.27812026197529549</v>
      </c>
      <c r="AG43" s="39">
        <f t="shared" si="14"/>
        <v>0.31071372201683412</v>
      </c>
      <c r="AH43" s="39">
        <f t="shared" si="15"/>
        <v>0.41116601600787023</v>
      </c>
    </row>
    <row r="44" spans="2:34">
      <c r="B44">
        <v>1971</v>
      </c>
      <c r="C44" s="4">
        <v>605.64940659000013</v>
      </c>
      <c r="D44">
        <f t="shared" si="9"/>
        <v>605649406590.00012</v>
      </c>
      <c r="E44" s="4">
        <v>616.28912641409875</v>
      </c>
      <c r="F44" s="5">
        <f t="shared" si="10"/>
        <v>616289126414.09875</v>
      </c>
      <c r="G44" s="4">
        <f t="shared" si="5"/>
        <v>464.68200131623047</v>
      </c>
      <c r="H44" s="5">
        <f t="shared" si="11"/>
        <v>464682001316.23047</v>
      </c>
      <c r="I44" s="5">
        <f t="shared" si="7"/>
        <v>464682001316.23047</v>
      </c>
      <c r="K44" s="5"/>
      <c r="P44">
        <v>1971</v>
      </c>
      <c r="Q44" s="4">
        <v>171.30026237464878</v>
      </c>
      <c r="R44" s="4">
        <v>191.49002235881812</v>
      </c>
      <c r="S44" s="4">
        <v>253.49884168063181</v>
      </c>
      <c r="T44" s="4">
        <v>616.28912641409875</v>
      </c>
      <c r="X44">
        <v>1971</v>
      </c>
      <c r="Y44">
        <v>181.35322785805775</v>
      </c>
      <c r="Z44">
        <v>202.10674716174194</v>
      </c>
      <c r="AA44">
        <v>267.97259799974432</v>
      </c>
      <c r="AB44">
        <f t="shared" si="12"/>
        <v>651.43257301954395</v>
      </c>
      <c r="AD44" s="40"/>
      <c r="AE44">
        <v>1971</v>
      </c>
      <c r="AF44" s="39">
        <f t="shared" si="13"/>
        <v>0.27839140283919589</v>
      </c>
      <c r="AG44" s="39">
        <f t="shared" si="14"/>
        <v>0.31024967975569506</v>
      </c>
      <c r="AH44" s="39">
        <f t="shared" si="15"/>
        <v>0.41135891740510916</v>
      </c>
    </row>
    <row r="45" spans="2:34">
      <c r="B45">
        <v>1972</v>
      </c>
      <c r="C45" s="4">
        <v>654.80250425999975</v>
      </c>
      <c r="D45">
        <f t="shared" si="9"/>
        <v>654802504259.99976</v>
      </c>
      <c r="E45" s="4">
        <v>655.37752802298814</v>
      </c>
      <c r="F45" s="5">
        <f t="shared" si="10"/>
        <v>655377528022.98816</v>
      </c>
      <c r="G45" s="4">
        <f t="shared" si="5"/>
        <v>494.15465612933309</v>
      </c>
      <c r="H45" s="5">
        <f t="shared" si="11"/>
        <v>494154656129.33307</v>
      </c>
      <c r="I45" s="5">
        <f t="shared" si="7"/>
        <v>494154656129.33307</v>
      </c>
      <c r="P45">
        <v>1972</v>
      </c>
      <c r="Q45" s="4">
        <v>182.31209147373511</v>
      </c>
      <c r="R45" s="4">
        <v>203.32800809113036</v>
      </c>
      <c r="S45" s="4">
        <v>269.73742845812274</v>
      </c>
      <c r="T45" s="4">
        <v>655.37752802298814</v>
      </c>
      <c r="X45">
        <v>1972</v>
      </c>
      <c r="Y45">
        <v>193.88116661605994</v>
      </c>
      <c r="Z45">
        <v>216.67367000289278</v>
      </c>
      <c r="AA45">
        <v>286.22221165736846</v>
      </c>
      <c r="AB45">
        <f t="shared" si="12"/>
        <v>696.77704827632124</v>
      </c>
      <c r="AD45" s="40"/>
      <c r="AE45">
        <v>1972</v>
      </c>
      <c r="AF45" s="39">
        <f t="shared" si="13"/>
        <v>0.27825423798858023</v>
      </c>
      <c r="AG45" s="39">
        <f t="shared" si="14"/>
        <v>0.31096556716226159</v>
      </c>
      <c r="AH45" s="39">
        <f t="shared" si="15"/>
        <v>0.41078019484915806</v>
      </c>
    </row>
    <row r="46" spans="2:34">
      <c r="B46">
        <v>1973</v>
      </c>
      <c r="C46" s="4">
        <v>701.30934328499995</v>
      </c>
      <c r="D46">
        <f t="shared" si="9"/>
        <v>701309343285</v>
      </c>
      <c r="E46" s="4">
        <v>701.87986691391154</v>
      </c>
      <c r="F46" s="5">
        <f t="shared" si="10"/>
        <v>701879866913.9115</v>
      </c>
      <c r="G46" s="4">
        <f t="shared" si="5"/>
        <v>529.21741965308934</v>
      </c>
      <c r="H46" s="5">
        <f t="shared" si="11"/>
        <v>529217419653.08936</v>
      </c>
      <c r="I46" s="5">
        <f t="shared" si="7"/>
        <v>529217419653.08936</v>
      </c>
      <c r="P46">
        <v>1973</v>
      </c>
      <c r="Q46" s="4">
        <v>195.11572133813979</v>
      </c>
      <c r="R46" s="4">
        <v>218.24563898079336</v>
      </c>
      <c r="S46" s="4">
        <v>288.51850659497836</v>
      </c>
      <c r="T46" s="4">
        <v>701.87986691391154</v>
      </c>
      <c r="X46">
        <v>1973</v>
      </c>
      <c r="Y46">
        <v>192.73962005511339</v>
      </c>
      <c r="Z46">
        <v>217.37527968310135</v>
      </c>
      <c r="AA46">
        <v>285.78104054239662</v>
      </c>
      <c r="AB46">
        <f t="shared" si="12"/>
        <v>695.89594028061128</v>
      </c>
      <c r="AD46" s="40"/>
      <c r="AE46">
        <v>1973</v>
      </c>
      <c r="AF46" s="39">
        <f t="shared" si="13"/>
        <v>0.27696615096991883</v>
      </c>
      <c r="AG46" s="39">
        <f t="shared" si="14"/>
        <v>0.31236750654910778</v>
      </c>
      <c r="AH46" s="39">
        <f t="shared" si="15"/>
        <v>0.41066634248097356</v>
      </c>
    </row>
    <row r="47" spans="2:34">
      <c r="B47">
        <v>1974</v>
      </c>
      <c r="C47" s="4">
        <v>703.3142221349998</v>
      </c>
      <c r="D47">
        <f t="shared" si="9"/>
        <v>703314222134.99976</v>
      </c>
      <c r="E47" s="4">
        <v>702.37812686381437</v>
      </c>
      <c r="F47" s="5">
        <f t="shared" si="10"/>
        <v>702378126863.81433</v>
      </c>
      <c r="G47" s="4">
        <f t="shared" si="5"/>
        <v>529.59310765531609</v>
      </c>
      <c r="H47" s="5">
        <f t="shared" si="11"/>
        <v>529593107655.3161</v>
      </c>
      <c r="I47" s="5">
        <f t="shared" si="7"/>
        <v>529593107655.3161</v>
      </c>
      <c r="P47">
        <v>1974</v>
      </c>
      <c r="Q47" s="4">
        <v>194.29945095542919</v>
      </c>
      <c r="R47" s="4">
        <v>219.36134817171856</v>
      </c>
      <c r="S47" s="4">
        <v>288.71732773666662</v>
      </c>
      <c r="T47" s="4">
        <v>702.37812686381437</v>
      </c>
      <c r="X47">
        <v>1974</v>
      </c>
      <c r="Y47">
        <v>190.09930666195567</v>
      </c>
      <c r="Z47">
        <v>218.0567333050852</v>
      </c>
      <c r="AA47">
        <v>284.3607124222454</v>
      </c>
      <c r="AB47">
        <f t="shared" si="12"/>
        <v>692.51675238928624</v>
      </c>
      <c r="AD47" s="40"/>
      <c r="AE47">
        <v>1974</v>
      </c>
      <c r="AF47" s="39">
        <f t="shared" si="13"/>
        <v>0.27450499357031388</v>
      </c>
      <c r="AG47" s="39">
        <f t="shared" si="14"/>
        <v>0.31487575217892838</v>
      </c>
      <c r="AH47" s="39">
        <f t="shared" si="15"/>
        <v>0.41061925425075779</v>
      </c>
    </row>
    <row r="48" spans="2:34">
      <c r="B48">
        <v>1975</v>
      </c>
      <c r="C48" s="4">
        <v>702.15121096500002</v>
      </c>
      <c r="D48">
        <f t="shared" si="9"/>
        <v>702151210965</v>
      </c>
      <c r="E48" s="4">
        <v>700.60901269019428</v>
      </c>
      <c r="F48" s="5">
        <f t="shared" si="10"/>
        <v>700609012690.19434</v>
      </c>
      <c r="G48" s="4">
        <f t="shared" si="5"/>
        <v>528.25919556840654</v>
      </c>
      <c r="H48" s="5">
        <f t="shared" si="11"/>
        <v>528259195568.40656</v>
      </c>
      <c r="I48" s="5">
        <f t="shared" si="7"/>
        <v>528259195568.40656</v>
      </c>
      <c r="P48">
        <v>1975</v>
      </c>
      <c r="Q48" s="4">
        <v>192.03493944416041</v>
      </c>
      <c r="R48" s="4">
        <v>220.52175147018963</v>
      </c>
      <c r="S48" s="4">
        <v>288.05232177584429</v>
      </c>
      <c r="T48" s="4">
        <v>700.60901269019428</v>
      </c>
      <c r="X48">
        <v>1975</v>
      </c>
      <c r="Y48">
        <v>208.66034464416788</v>
      </c>
      <c r="Z48">
        <v>236.78510367886784</v>
      </c>
      <c r="AA48">
        <v>302.94694359836086</v>
      </c>
      <c r="AB48">
        <f t="shared" si="12"/>
        <v>748.39239192139667</v>
      </c>
      <c r="AD48" s="40"/>
      <c r="AE48">
        <v>1975</v>
      </c>
      <c r="AF48" s="39">
        <f t="shared" si="13"/>
        <v>0.27881141884467925</v>
      </c>
      <c r="AG48" s="39">
        <f t="shared" si="14"/>
        <v>0.31639164993507479</v>
      </c>
      <c r="AH48" s="39">
        <f t="shared" si="15"/>
        <v>0.40479693122024585</v>
      </c>
    </row>
    <row r="49" spans="2:34">
      <c r="B49">
        <v>1976</v>
      </c>
      <c r="C49" s="4">
        <v>735.57099918000029</v>
      </c>
      <c r="D49">
        <f t="shared" si="9"/>
        <v>735570999180.00024</v>
      </c>
      <c r="E49" s="4">
        <v>758.32803916266448</v>
      </c>
      <c r="F49" s="5">
        <f t="shared" si="10"/>
        <v>758328039162.66443</v>
      </c>
      <c r="G49" s="4">
        <f t="shared" si="5"/>
        <v>571.77934152864907</v>
      </c>
      <c r="H49" s="5">
        <f t="shared" si="11"/>
        <v>571779341528.64905</v>
      </c>
      <c r="I49" s="5">
        <f t="shared" si="7"/>
        <v>571779341528.64905</v>
      </c>
      <c r="P49">
        <v>1976</v>
      </c>
      <c r="Q49" s="4">
        <v>211.02170845876532</v>
      </c>
      <c r="R49" s="4">
        <v>239.7935118017493</v>
      </c>
      <c r="S49" s="4">
        <v>307.51281890214995</v>
      </c>
      <c r="T49" s="4">
        <v>758.32803916266448</v>
      </c>
      <c r="X49">
        <v>1976</v>
      </c>
      <c r="Y49">
        <v>220.12161114764473</v>
      </c>
      <c r="Z49">
        <v>248.88729498480433</v>
      </c>
      <c r="AA49">
        <v>316.91740325980584</v>
      </c>
      <c r="AB49">
        <f t="shared" si="12"/>
        <v>785.92630939225489</v>
      </c>
      <c r="AD49" s="40"/>
      <c r="AE49">
        <v>1976</v>
      </c>
      <c r="AF49" s="39">
        <f t="shared" si="13"/>
        <v>0.28007919892370253</v>
      </c>
      <c r="AG49" s="39">
        <f t="shared" si="14"/>
        <v>0.31668019254536112</v>
      </c>
      <c r="AH49" s="39">
        <f t="shared" si="15"/>
        <v>0.40324060853093635</v>
      </c>
    </row>
    <row r="50" spans="2:34">
      <c r="B50">
        <v>1977</v>
      </c>
      <c r="C50" s="4">
        <v>795.18938300999991</v>
      </c>
      <c r="D50">
        <f t="shared" si="9"/>
        <v>795189383009.99988</v>
      </c>
      <c r="E50" s="4">
        <v>797.93470371711567</v>
      </c>
      <c r="F50" s="5">
        <f t="shared" si="10"/>
        <v>797934703717.11572</v>
      </c>
      <c r="G50" s="4">
        <f t="shared" si="5"/>
        <v>601.64276660270525</v>
      </c>
      <c r="H50" s="5">
        <f t="shared" si="11"/>
        <v>601642766602.7052</v>
      </c>
      <c r="I50" s="5">
        <f t="shared" si="7"/>
        <v>601642766602.7052</v>
      </c>
      <c r="P50">
        <v>1977</v>
      </c>
      <c r="Q50" s="4">
        <v>222.95666062941368</v>
      </c>
      <c r="R50" s="4">
        <v>252.50145212549336</v>
      </c>
      <c r="S50" s="4">
        <v>322.47659096220866</v>
      </c>
      <c r="T50" s="4">
        <v>797.93470371711567</v>
      </c>
      <c r="X50">
        <v>1977</v>
      </c>
      <c r="Y50">
        <v>237.5418946519487</v>
      </c>
      <c r="Z50">
        <v>267.22226740050468</v>
      </c>
      <c r="AA50">
        <v>337.68280362664933</v>
      </c>
      <c r="AB50">
        <f t="shared" si="12"/>
        <v>842.44696567910273</v>
      </c>
      <c r="AD50" s="40"/>
      <c r="AE50">
        <v>1977</v>
      </c>
      <c r="AF50" s="39">
        <f t="shared" si="13"/>
        <v>0.28196658582592721</v>
      </c>
      <c r="AG50" s="39">
        <f t="shared" si="14"/>
        <v>0.31719773266094542</v>
      </c>
      <c r="AH50" s="39">
        <f t="shared" si="15"/>
        <v>0.40083568151312732</v>
      </c>
    </row>
    <row r="51" spans="2:34">
      <c r="B51">
        <v>1978</v>
      </c>
      <c r="C51" s="4">
        <v>852.94622322000021</v>
      </c>
      <c r="D51">
        <f t="shared" si="9"/>
        <v>852946223220.00024</v>
      </c>
      <c r="E51" s="4">
        <v>856.74748937702952</v>
      </c>
      <c r="F51" s="5">
        <f t="shared" si="10"/>
        <v>856747489377.02954</v>
      </c>
      <c r="G51" s="4">
        <f t="shared" si="5"/>
        <v>645.98760699028026</v>
      </c>
      <c r="H51" s="5">
        <f t="shared" si="11"/>
        <v>645987606990.28027</v>
      </c>
      <c r="I51" s="5">
        <f t="shared" si="7"/>
        <v>645987606990.28027</v>
      </c>
      <c r="P51">
        <v>1978</v>
      </c>
      <c r="Q51" s="4">
        <v>240.89545056551887</v>
      </c>
      <c r="R51" s="4">
        <v>271.50110993943002</v>
      </c>
      <c r="S51" s="4">
        <v>344.3509288720806</v>
      </c>
      <c r="T51" s="4">
        <v>856.74748937702952</v>
      </c>
      <c r="X51">
        <v>1978</v>
      </c>
      <c r="Y51">
        <v>244.21143188771975</v>
      </c>
      <c r="Z51">
        <v>272.96346743771232</v>
      </c>
      <c r="AA51">
        <v>341.84917581600928</v>
      </c>
      <c r="AB51">
        <f t="shared" si="12"/>
        <v>859.02407514144136</v>
      </c>
      <c r="AD51" s="40"/>
      <c r="AE51">
        <v>1978</v>
      </c>
      <c r="AF51" s="39">
        <f t="shared" si="13"/>
        <v>0.2842893918281737</v>
      </c>
      <c r="AG51" s="39">
        <f t="shared" si="14"/>
        <v>0.31775997359883995</v>
      </c>
      <c r="AH51" s="39">
        <f t="shared" si="15"/>
        <v>0.39795063457298635</v>
      </c>
    </row>
    <row r="52" spans="2:34">
      <c r="B52">
        <v>1979</v>
      </c>
      <c r="C52" s="4">
        <v>872.08510516499996</v>
      </c>
      <c r="D52">
        <f t="shared" si="9"/>
        <v>872085105165</v>
      </c>
      <c r="E52" s="4">
        <v>875.82184305100884</v>
      </c>
      <c r="F52" s="5">
        <f t="shared" si="10"/>
        <v>875821843051.00879</v>
      </c>
      <c r="G52" s="4">
        <f t="shared" si="5"/>
        <v>660.36966966046066</v>
      </c>
      <c r="H52" s="5">
        <f t="shared" si="11"/>
        <v>660369669660.46069</v>
      </c>
      <c r="I52" s="5">
        <f t="shared" si="7"/>
        <v>660369669660.46069</v>
      </c>
      <c r="P52">
        <v>1979</v>
      </c>
      <c r="Q52" s="4">
        <v>248.12452754152181</v>
      </c>
      <c r="R52" s="4">
        <v>277.96181077283575</v>
      </c>
      <c r="S52" s="4">
        <v>349.73550473665125</v>
      </c>
      <c r="T52" s="4">
        <v>875.82184305100884</v>
      </c>
      <c r="X52">
        <v>1979</v>
      </c>
      <c r="Y52">
        <v>246.97485180017844</v>
      </c>
      <c r="Z52">
        <v>277.47544499326517</v>
      </c>
      <c r="AA52">
        <v>344.84276541778661</v>
      </c>
      <c r="AB52">
        <f t="shared" si="12"/>
        <v>869.29306221123022</v>
      </c>
      <c r="AD52" s="40"/>
      <c r="AE52">
        <v>1979</v>
      </c>
      <c r="AF52" s="39">
        <f t="shared" si="13"/>
        <v>0.28410999987961</v>
      </c>
      <c r="AG52" s="39">
        <f t="shared" si="14"/>
        <v>0.31919666342147934</v>
      </c>
      <c r="AH52" s="39">
        <f t="shared" si="15"/>
        <v>0.3966933366989106</v>
      </c>
    </row>
    <row r="53" spans="2:34">
      <c r="B53">
        <v>1980</v>
      </c>
      <c r="C53" s="4">
        <v>884.32393800000034</v>
      </c>
      <c r="D53">
        <f t="shared" si="9"/>
        <v>884323938000.00037</v>
      </c>
      <c r="E53" s="4">
        <v>888.7763579681631</v>
      </c>
      <c r="F53" s="5">
        <f t="shared" si="10"/>
        <v>888776357968.16309</v>
      </c>
      <c r="G53" s="4">
        <f t="shared" si="5"/>
        <v>670.13737390799497</v>
      </c>
      <c r="H53" s="5">
        <f t="shared" si="11"/>
        <v>670137373907.995</v>
      </c>
      <c r="I53" s="5">
        <f t="shared" si="7"/>
        <v>670137373907.995</v>
      </c>
      <c r="P53">
        <v>1980</v>
      </c>
      <c r="Q53" s="4">
        <v>251.48444868844084</v>
      </c>
      <c r="R53" s="4">
        <v>283.24381274095305</v>
      </c>
      <c r="S53" s="4">
        <v>354.04809653876919</v>
      </c>
      <c r="T53" s="4">
        <v>888.7763579681631</v>
      </c>
      <c r="X53">
        <v>1980</v>
      </c>
      <c r="Y53">
        <v>247.18435302554906</v>
      </c>
      <c r="Z53">
        <v>279.79197477031772</v>
      </c>
      <c r="AA53">
        <v>345.06389457539001</v>
      </c>
      <c r="AB53">
        <f t="shared" si="12"/>
        <v>872.04022237125685</v>
      </c>
      <c r="AD53" s="40"/>
      <c r="AE53">
        <v>1980</v>
      </c>
      <c r="AF53" s="39">
        <f t="shared" si="13"/>
        <v>0.28345521993630513</v>
      </c>
      <c r="AG53" s="39">
        <f t="shared" si="14"/>
        <v>0.32084755678987575</v>
      </c>
      <c r="AH53" s="39">
        <f t="shared" si="15"/>
        <v>0.39569722327381901</v>
      </c>
    </row>
    <row r="54" spans="2:34">
      <c r="B54">
        <v>1981</v>
      </c>
      <c r="C54" s="4">
        <v>886.66810404</v>
      </c>
      <c r="D54">
        <f t="shared" si="9"/>
        <v>886668104040</v>
      </c>
      <c r="E54" s="4">
        <v>894.38038898116793</v>
      </c>
      <c r="F54" s="5">
        <f t="shared" si="10"/>
        <v>894380388981.16797</v>
      </c>
      <c r="G54" s="4">
        <f t="shared" si="5"/>
        <v>674.36281329180065</v>
      </c>
      <c r="H54" s="5">
        <f t="shared" si="11"/>
        <v>674362813291.80066</v>
      </c>
      <c r="I54" s="5">
        <f t="shared" si="7"/>
        <v>674362813291.80066</v>
      </c>
      <c r="P54">
        <v>1981</v>
      </c>
      <c r="Q54" s="4">
        <v>252.32351471658575</v>
      </c>
      <c r="R54" s="4">
        <v>286.37707341309988</v>
      </c>
      <c r="S54" s="4">
        <v>355.67980085148218</v>
      </c>
      <c r="T54" s="4">
        <v>894.38038898116793</v>
      </c>
      <c r="X54">
        <v>1981</v>
      </c>
      <c r="Y54">
        <v>248.34833912802395</v>
      </c>
      <c r="Z54">
        <v>281.14440917978368</v>
      </c>
      <c r="AA54">
        <v>342.79478279955731</v>
      </c>
      <c r="AB54">
        <f t="shared" si="12"/>
        <v>872.287531107365</v>
      </c>
      <c r="AD54" s="40"/>
      <c r="AE54">
        <v>1981</v>
      </c>
      <c r="AF54" s="39">
        <f t="shared" si="13"/>
        <v>0.28470926187921874</v>
      </c>
      <c r="AG54" s="39">
        <f t="shared" si="14"/>
        <v>0.3223070365603784</v>
      </c>
      <c r="AH54" s="39">
        <f t="shared" si="15"/>
        <v>0.3929837015604028</v>
      </c>
    </row>
    <row r="55" spans="2:34">
      <c r="B55">
        <v>1982</v>
      </c>
      <c r="C55" s="4">
        <v>887.55533097000034</v>
      </c>
      <c r="D55">
        <f t="shared" si="9"/>
        <v>887555330970.00037</v>
      </c>
      <c r="E55" s="4">
        <v>897.64097765042948</v>
      </c>
      <c r="F55" s="5">
        <f t="shared" si="10"/>
        <v>897640977650.42944</v>
      </c>
      <c r="G55" s="4">
        <f t="shared" si="5"/>
        <v>676.82129714842381</v>
      </c>
      <c r="H55" s="5">
        <f t="shared" si="11"/>
        <v>676821297148.42383</v>
      </c>
      <c r="I55" s="5">
        <f t="shared" si="7"/>
        <v>676821297148.42383</v>
      </c>
      <c r="P55">
        <v>1982</v>
      </c>
      <c r="Q55" s="4">
        <v>254.14667766557292</v>
      </c>
      <c r="R55" s="4">
        <v>288.59001605972048</v>
      </c>
      <c r="S55" s="4">
        <v>354.90428392513599</v>
      </c>
      <c r="T55" s="4">
        <v>897.64097765042948</v>
      </c>
      <c r="X55">
        <v>1982</v>
      </c>
      <c r="Y55">
        <v>257.46092574249724</v>
      </c>
      <c r="Z55">
        <v>289.05533313608669</v>
      </c>
      <c r="AA55">
        <v>349.43698190141203</v>
      </c>
      <c r="AB55">
        <f t="shared" si="12"/>
        <v>895.95324077999589</v>
      </c>
      <c r="AD55" s="40"/>
      <c r="AE55">
        <v>1982</v>
      </c>
      <c r="AF55" s="39">
        <f t="shared" si="13"/>
        <v>0.28735977953309011</v>
      </c>
      <c r="AG55" s="39">
        <f t="shared" si="14"/>
        <v>0.32262323520861635</v>
      </c>
      <c r="AH55" s="39">
        <f t="shared" si="15"/>
        <v>0.39001698525829359</v>
      </c>
    </row>
    <row r="56" spans="2:34">
      <c r="B56">
        <v>1983</v>
      </c>
      <c r="C56" s="4">
        <v>916.27771525499998</v>
      </c>
      <c r="D56">
        <f t="shared" si="9"/>
        <v>916277715255</v>
      </c>
      <c r="E56" s="4">
        <v>924.4654033972954</v>
      </c>
      <c r="F56" s="5">
        <f t="shared" si="10"/>
        <v>924465403397.29541</v>
      </c>
      <c r="G56" s="4">
        <f t="shared" si="5"/>
        <v>697.04691416156072</v>
      </c>
      <c r="H56" s="5">
        <f t="shared" si="11"/>
        <v>697046914161.56067</v>
      </c>
      <c r="I56" s="5">
        <f t="shared" si="7"/>
        <v>697046914161.56067</v>
      </c>
      <c r="P56">
        <v>1983</v>
      </c>
      <c r="Q56" s="4">
        <v>263.9452067328358</v>
      </c>
      <c r="R56" s="4">
        <v>297.40346625161408</v>
      </c>
      <c r="S56" s="4">
        <v>363.11673041284547</v>
      </c>
      <c r="T56" s="4">
        <v>924.4654033972954</v>
      </c>
      <c r="X56">
        <v>1983</v>
      </c>
      <c r="Y56">
        <v>266.42338637067473</v>
      </c>
      <c r="Z56">
        <v>296.95621478209995</v>
      </c>
      <c r="AA56">
        <v>356.09075024341411</v>
      </c>
      <c r="AB56">
        <f t="shared" si="12"/>
        <v>919.47035139618879</v>
      </c>
      <c r="AD56" s="40"/>
      <c r="AE56">
        <v>1983</v>
      </c>
      <c r="AF56" s="39">
        <f t="shared" si="13"/>
        <v>0.28975745217463361</v>
      </c>
      <c r="AG56" s="39">
        <f t="shared" si="14"/>
        <v>0.32296442656490298</v>
      </c>
      <c r="AH56" s="39">
        <f t="shared" si="15"/>
        <v>0.3872781212604634</v>
      </c>
    </row>
    <row r="57" spans="2:34">
      <c r="B57">
        <v>1984</v>
      </c>
      <c r="C57" s="4">
        <v>941.04205138500049</v>
      </c>
      <c r="D57">
        <f t="shared" si="9"/>
        <v>941042051385.00049</v>
      </c>
      <c r="E57" s="4">
        <v>951.28118254936521</v>
      </c>
      <c r="F57" s="5">
        <f t="shared" si="10"/>
        <v>951281182549.36523</v>
      </c>
      <c r="G57" s="4">
        <f t="shared" si="5"/>
        <v>717.26601164222143</v>
      </c>
      <c r="H57" s="5">
        <f t="shared" si="11"/>
        <v>717266011642.22144</v>
      </c>
      <c r="I57" s="5">
        <f t="shared" si="7"/>
        <v>717266011642.22144</v>
      </c>
      <c r="P57">
        <v>1984</v>
      </c>
      <c r="Q57" s="4">
        <v>273.61817163911763</v>
      </c>
      <c r="R57" s="4">
        <v>306.24841633429634</v>
      </c>
      <c r="S57" s="4">
        <v>371.41459457595124</v>
      </c>
      <c r="T57" s="4">
        <v>951.28118254936521</v>
      </c>
      <c r="X57">
        <v>1984</v>
      </c>
      <c r="Y57">
        <v>275.83989951856319</v>
      </c>
      <c r="Z57">
        <v>302.58890037012236</v>
      </c>
      <c r="AA57">
        <v>357.47059708502746</v>
      </c>
      <c r="AB57">
        <f t="shared" si="12"/>
        <v>935.89939697371301</v>
      </c>
      <c r="AD57" s="40"/>
      <c r="AE57">
        <v>1984</v>
      </c>
      <c r="AF57" s="39">
        <f t="shared" si="13"/>
        <v>0.2947324257398905</v>
      </c>
      <c r="AG57" s="39">
        <f t="shared" si="14"/>
        <v>0.32331349004878279</v>
      </c>
      <c r="AH57" s="39">
        <f t="shared" si="15"/>
        <v>0.38195408421132671</v>
      </c>
    </row>
    <row r="58" spans="2:34">
      <c r="B58">
        <v>1985</v>
      </c>
      <c r="C58" s="4">
        <v>959.33815846499988</v>
      </c>
      <c r="D58">
        <f t="shared" si="9"/>
        <v>959338158464.99988</v>
      </c>
      <c r="E58" s="4">
        <v>971.14972151446398</v>
      </c>
      <c r="F58" s="5">
        <f t="shared" si="10"/>
        <v>971149721514.46399</v>
      </c>
      <c r="G58" s="4">
        <f t="shared" si="5"/>
        <v>732.24689002190587</v>
      </c>
      <c r="H58" s="5">
        <f t="shared" si="11"/>
        <v>732246890021.90588</v>
      </c>
      <c r="I58" s="5">
        <f t="shared" si="7"/>
        <v>732246890021.90588</v>
      </c>
      <c r="P58">
        <v>1985</v>
      </c>
      <c r="Q58" s="4">
        <v>283.76811505238777</v>
      </c>
      <c r="R58" s="4">
        <v>312.86746951151321</v>
      </c>
      <c r="S58" s="4">
        <v>374.51413695056306</v>
      </c>
      <c r="T58" s="4">
        <v>971.14972151446398</v>
      </c>
      <c r="X58">
        <v>1985</v>
      </c>
      <c r="Y58">
        <v>290.44169387598464</v>
      </c>
      <c r="Z58">
        <v>317.26996950322768</v>
      </c>
      <c r="AA58">
        <v>372.69484027512266</v>
      </c>
      <c r="AB58">
        <f t="shared" si="12"/>
        <v>980.40650365433498</v>
      </c>
      <c r="AD58" s="40"/>
      <c r="AE58">
        <v>1985</v>
      </c>
      <c r="AF58" s="39">
        <f t="shared" si="13"/>
        <v>0.29624619256747259</v>
      </c>
      <c r="AG58" s="39">
        <f t="shared" si="14"/>
        <v>0.32361063326349432</v>
      </c>
      <c r="AH58" s="39">
        <f t="shared" si="15"/>
        <v>0.38014317416903309</v>
      </c>
    </row>
    <row r="59" spans="2:34">
      <c r="B59">
        <v>1986</v>
      </c>
      <c r="C59" s="4">
        <v>1000.707608835</v>
      </c>
      <c r="D59">
        <f t="shared" si="9"/>
        <v>1000707608835</v>
      </c>
      <c r="E59" s="4">
        <v>1019.2448286999258</v>
      </c>
      <c r="F59" s="5">
        <f t="shared" si="10"/>
        <v>1019244828699.9259</v>
      </c>
      <c r="G59" s="4">
        <f t="shared" si="5"/>
        <v>768.51060083974414</v>
      </c>
      <c r="H59" s="5">
        <f t="shared" si="11"/>
        <v>768510600839.74414</v>
      </c>
      <c r="I59" s="5">
        <f t="shared" si="7"/>
        <v>768510600839.74414</v>
      </c>
      <c r="P59">
        <v>1986</v>
      </c>
      <c r="Q59" s="4">
        <v>299.12515682346299</v>
      </c>
      <c r="R59" s="4">
        <v>328.57911254595388</v>
      </c>
      <c r="S59" s="4">
        <v>391.54055933050904</v>
      </c>
      <c r="T59" s="4">
        <v>1019.2448286999258</v>
      </c>
      <c r="X59">
        <v>1986</v>
      </c>
      <c r="Y59">
        <v>304.83662394270311</v>
      </c>
      <c r="Z59">
        <v>331.72889232800463</v>
      </c>
      <c r="AA59">
        <v>384.39321441308596</v>
      </c>
      <c r="AB59">
        <f t="shared" si="12"/>
        <v>1020.9587306837938</v>
      </c>
      <c r="AD59" s="40"/>
      <c r="AE59">
        <v>1986</v>
      </c>
      <c r="AF59" s="39">
        <f t="shared" si="13"/>
        <v>0.29857879146450589</v>
      </c>
      <c r="AG59" s="39">
        <f t="shared" si="14"/>
        <v>0.32491900246136984</v>
      </c>
      <c r="AH59" s="39">
        <f t="shared" si="15"/>
        <v>0.37650220607412416</v>
      </c>
    </row>
    <row r="60" spans="2:34">
      <c r="B60">
        <v>1987</v>
      </c>
      <c r="C60" s="4">
        <v>1053.2254556699997</v>
      </c>
      <c r="D60">
        <f t="shared" si="9"/>
        <v>1053225455669.9998</v>
      </c>
      <c r="E60" s="4">
        <v>1063.5481322054779</v>
      </c>
      <c r="F60" s="5">
        <f t="shared" si="10"/>
        <v>1063548132205.4779</v>
      </c>
      <c r="G60" s="4">
        <f t="shared" si="5"/>
        <v>801.91529168293039</v>
      </c>
      <c r="H60" s="5">
        <f t="shared" si="11"/>
        <v>801915291682.93042</v>
      </c>
      <c r="I60" s="5">
        <f t="shared" si="7"/>
        <v>801915291682.93042</v>
      </c>
      <c r="P60">
        <v>1987</v>
      </c>
      <c r="Q60" s="4">
        <v>314.29658923374558</v>
      </c>
      <c r="R60" s="4">
        <v>344.11583943801185</v>
      </c>
      <c r="S60" s="4">
        <v>405.13570353372052</v>
      </c>
      <c r="T60" s="4">
        <v>1063.5481322054779</v>
      </c>
      <c r="X60">
        <v>1987</v>
      </c>
      <c r="Y60">
        <v>326.42156337572601</v>
      </c>
      <c r="Z60">
        <v>353.20927583630447</v>
      </c>
      <c r="AA60">
        <v>403.32023286139753</v>
      </c>
      <c r="AB60">
        <f t="shared" si="12"/>
        <v>1082.9510720734279</v>
      </c>
      <c r="AD60" s="40"/>
      <c r="AE60">
        <v>1987</v>
      </c>
      <c r="AF60" s="39">
        <f t="shared" si="13"/>
        <v>0.30141856986276983</v>
      </c>
      <c r="AG60" s="39">
        <f t="shared" si="14"/>
        <v>0.32615441726286565</v>
      </c>
      <c r="AH60" s="39">
        <f t="shared" si="15"/>
        <v>0.37242701287436464</v>
      </c>
    </row>
    <row r="61" spans="2:34">
      <c r="B61">
        <v>1988</v>
      </c>
      <c r="C61" s="4">
        <v>1118.3078147549998</v>
      </c>
      <c r="D61">
        <f t="shared" si="9"/>
        <v>1118307814754.9998</v>
      </c>
      <c r="E61" s="4">
        <v>1129.4757001979945</v>
      </c>
      <c r="F61" s="5">
        <f t="shared" si="10"/>
        <v>1129475700197.9944</v>
      </c>
      <c r="G61" s="4">
        <f t="shared" si="5"/>
        <v>851.62467794928784</v>
      </c>
      <c r="H61" s="5">
        <f t="shared" si="11"/>
        <v>851624677949.28784</v>
      </c>
      <c r="I61" s="5">
        <f t="shared" si="7"/>
        <v>851624677949.28784</v>
      </c>
      <c r="P61">
        <v>1988</v>
      </c>
      <c r="Q61" s="4">
        <v>336.67941358752392</v>
      </c>
      <c r="R61" s="4">
        <v>366.72540287719517</v>
      </c>
      <c r="S61" s="4">
        <v>426.07088373327548</v>
      </c>
      <c r="T61" s="4">
        <v>1129.4757001979945</v>
      </c>
      <c r="X61">
        <v>1988</v>
      </c>
      <c r="Y61">
        <v>334.33145309350675</v>
      </c>
      <c r="Z61">
        <v>362.27820730966062</v>
      </c>
      <c r="AA61">
        <v>414.8423505107794</v>
      </c>
      <c r="AB61">
        <f t="shared" si="12"/>
        <v>1111.4520109139467</v>
      </c>
      <c r="AD61" s="40"/>
      <c r="AE61">
        <v>1988</v>
      </c>
      <c r="AF61" s="39">
        <f t="shared" si="13"/>
        <v>0.30080601754329106</v>
      </c>
      <c r="AG61" s="39">
        <f t="shared" si="14"/>
        <v>0.32595038179989377</v>
      </c>
      <c r="AH61" s="39">
        <f t="shared" si="15"/>
        <v>0.37324360065681528</v>
      </c>
    </row>
    <row r="62" spans="2:34">
      <c r="B62">
        <v>1989</v>
      </c>
      <c r="C62" s="4">
        <v>1148.1033988950003</v>
      </c>
      <c r="D62">
        <f t="shared" si="9"/>
        <v>1148103398895.0002</v>
      </c>
      <c r="E62" s="4">
        <v>1162.1233403873207</v>
      </c>
      <c r="F62" s="5">
        <f t="shared" si="10"/>
        <v>1162123340387.3208</v>
      </c>
      <c r="G62" s="4">
        <f t="shared" si="5"/>
        <v>876.24099865203982</v>
      </c>
      <c r="H62" s="5">
        <f t="shared" si="11"/>
        <v>876240998652.03979</v>
      </c>
      <c r="I62" s="5">
        <f t="shared" si="7"/>
        <v>876240998652.03979</v>
      </c>
      <c r="P62">
        <v>1989</v>
      </c>
      <c r="Q62" s="4">
        <v>345.40975174041864</v>
      </c>
      <c r="R62" s="4">
        <v>376.98038233565637</v>
      </c>
      <c r="S62" s="4">
        <v>439.73320631124579</v>
      </c>
      <c r="T62" s="4">
        <v>1162.1233403873207</v>
      </c>
      <c r="X62">
        <v>1989</v>
      </c>
      <c r="Y62">
        <v>333.81934264050517</v>
      </c>
      <c r="Z62">
        <v>363.31915182844403</v>
      </c>
      <c r="AA62">
        <v>415.58918614156931</v>
      </c>
      <c r="AB62">
        <f t="shared" si="12"/>
        <v>1112.7276806105185</v>
      </c>
      <c r="AD62" s="40"/>
      <c r="AE62">
        <v>1989</v>
      </c>
      <c r="AF62" s="39">
        <f t="shared" si="13"/>
        <v>0.300000933253812</v>
      </c>
      <c r="AG62" s="39">
        <f t="shared" si="14"/>
        <v>0.32651218996286879</v>
      </c>
      <c r="AH62" s="39">
        <f t="shared" si="15"/>
        <v>0.37348687678331921</v>
      </c>
    </row>
    <row r="63" spans="2:34">
      <c r="B63">
        <v>1990</v>
      </c>
      <c r="C63" s="4">
        <v>1153.0294134450005</v>
      </c>
      <c r="D63">
        <f t="shared" si="9"/>
        <v>1153029413445.0005</v>
      </c>
      <c r="E63" s="4">
        <v>1167.7901306515373</v>
      </c>
      <c r="F63" s="5">
        <f t="shared" si="10"/>
        <v>1167790130651.5374</v>
      </c>
      <c r="G63" s="4">
        <f t="shared" si="5"/>
        <v>880.51375851125908</v>
      </c>
      <c r="H63" s="5">
        <f t="shared" si="11"/>
        <v>880513758511.25903</v>
      </c>
      <c r="I63" s="5">
        <f t="shared" si="7"/>
        <v>880513758511.25903</v>
      </c>
      <c r="P63">
        <v>1990</v>
      </c>
      <c r="Q63" s="4">
        <v>345.74330250537821</v>
      </c>
      <c r="R63" s="4">
        <v>379.27132719586712</v>
      </c>
      <c r="S63" s="4">
        <v>442.77550095029198</v>
      </c>
      <c r="T63" s="4">
        <v>1167.7901306515373</v>
      </c>
      <c r="X63">
        <v>1990</v>
      </c>
      <c r="Y63">
        <v>346.07089776191913</v>
      </c>
      <c r="Z63">
        <v>374.0457176175936</v>
      </c>
      <c r="AA63">
        <v>415.52471816884764</v>
      </c>
      <c r="AB63">
        <f t="shared" si="12"/>
        <v>1135.6413335483603</v>
      </c>
      <c r="AD63" s="40"/>
      <c r="AE63">
        <v>1990</v>
      </c>
      <c r="AF63" s="39">
        <f t="shared" si="13"/>
        <v>0.30473608835688087</v>
      </c>
      <c r="AG63" s="39">
        <f t="shared" si="14"/>
        <v>0.32936958753418355</v>
      </c>
      <c r="AH63" s="39">
        <f t="shared" si="15"/>
        <v>0.36589432410893563</v>
      </c>
    </row>
    <row r="64" spans="2:34">
      <c r="B64">
        <v>1991</v>
      </c>
      <c r="C64" s="4">
        <v>1183.2729999999995</v>
      </c>
      <c r="D64">
        <f t="shared" si="9"/>
        <v>1183272999999.9995</v>
      </c>
      <c r="E64" s="4">
        <v>1195.3775438417754</v>
      </c>
      <c r="F64" s="5">
        <f t="shared" si="10"/>
        <v>1195377543841.7754</v>
      </c>
      <c r="G64" s="4">
        <f t="shared" si="5"/>
        <v>901.31466805669868</v>
      </c>
      <c r="H64" s="5">
        <f t="shared" si="11"/>
        <v>901314668056.69873</v>
      </c>
      <c r="I64" s="5">
        <f t="shared" si="7"/>
        <v>901314668056.69873</v>
      </c>
      <c r="P64">
        <v>1991</v>
      </c>
      <c r="Q64" s="4">
        <v>358.87046664703865</v>
      </c>
      <c r="R64" s="4">
        <v>391.32094332050826</v>
      </c>
      <c r="S64" s="4">
        <v>445.18613387422852</v>
      </c>
      <c r="T64" s="4">
        <v>1195.3775438417754</v>
      </c>
      <c r="X64">
        <v>1991</v>
      </c>
      <c r="Y64">
        <v>369.70493116416827</v>
      </c>
      <c r="Z64">
        <v>390.34791800295784</v>
      </c>
      <c r="AA64">
        <v>417.86598799800993</v>
      </c>
      <c r="AB64">
        <f t="shared" si="12"/>
        <v>1177.9188371651362</v>
      </c>
      <c r="AD64" s="40"/>
      <c r="AE64">
        <v>1991</v>
      </c>
      <c r="AF64" s="39">
        <f t="shared" si="13"/>
        <v>0.31386282271699351</v>
      </c>
      <c r="AG64" s="39">
        <f t="shared" si="14"/>
        <v>0.33138778809446418</v>
      </c>
      <c r="AH64" s="39">
        <f t="shared" si="15"/>
        <v>0.35474938918854215</v>
      </c>
    </row>
    <row r="65" spans="2:34">
      <c r="B65">
        <v>1992</v>
      </c>
      <c r="C65" s="4">
        <v>1245.061999999999</v>
      </c>
      <c r="D65">
        <f t="shared" si="9"/>
        <v>1245061999999.999</v>
      </c>
      <c r="E65" s="4">
        <v>1242.6544767758432</v>
      </c>
      <c r="F65" s="5">
        <f t="shared" si="10"/>
        <v>1242654476775.8433</v>
      </c>
      <c r="G65" s="4">
        <f t="shared" si="5"/>
        <v>936.9614754889858</v>
      </c>
      <c r="H65" s="5">
        <f t="shared" si="11"/>
        <v>936961475488.98584</v>
      </c>
      <c r="I65" s="5">
        <f t="shared" si="7"/>
        <v>936961475488.98584</v>
      </c>
      <c r="P65">
        <v>1992</v>
      </c>
      <c r="Q65" s="4">
        <v>383.41746423844506</v>
      </c>
      <c r="R65" s="4">
        <v>409.03073717565042</v>
      </c>
      <c r="S65" s="4">
        <v>450.20627536174783</v>
      </c>
      <c r="T65" s="4">
        <v>1242.6544767758432</v>
      </c>
      <c r="X65">
        <v>1992</v>
      </c>
      <c r="Y65">
        <v>398.24803358063468</v>
      </c>
      <c r="Z65">
        <v>408.94685309603756</v>
      </c>
      <c r="AA65">
        <v>423.39176980734629</v>
      </c>
      <c r="AB65">
        <f t="shared" si="12"/>
        <v>1230.5866564840185</v>
      </c>
      <c r="AD65" s="40"/>
      <c r="AE65">
        <v>1992</v>
      </c>
      <c r="AF65" s="39">
        <f t="shared" si="13"/>
        <v>0.3236245342676578</v>
      </c>
      <c r="AG65" s="39">
        <f t="shared" si="14"/>
        <v>0.33231861481780051</v>
      </c>
      <c r="AH65" s="39">
        <f t="shared" si="15"/>
        <v>0.34405685091454169</v>
      </c>
    </row>
    <row r="66" spans="2:34">
      <c r="B66">
        <v>1993</v>
      </c>
      <c r="C66" s="4">
        <v>1319.7019999999995</v>
      </c>
      <c r="D66">
        <f t="shared" si="9"/>
        <v>1319701999999.9995</v>
      </c>
      <c r="E66" s="4">
        <v>1300.6944828807477</v>
      </c>
      <c r="F66" s="5">
        <f t="shared" si="10"/>
        <v>1300694482880.7478</v>
      </c>
      <c r="G66" s="4">
        <f t="shared" si="5"/>
        <v>980.72364009208377</v>
      </c>
      <c r="H66" s="5">
        <f t="shared" si="11"/>
        <v>980723640092.08374</v>
      </c>
      <c r="I66" s="5">
        <f t="shared" si="7"/>
        <v>980723640092.08374</v>
      </c>
      <c r="P66">
        <v>1993</v>
      </c>
      <c r="Q66" s="4">
        <v>412.92137566182674</v>
      </c>
      <c r="R66" s="4">
        <v>429.1359083047231</v>
      </c>
      <c r="S66" s="4">
        <v>458.63719891419794</v>
      </c>
      <c r="T66" s="4">
        <v>1300.6944828807477</v>
      </c>
      <c r="X66">
        <v>1993</v>
      </c>
      <c r="Y66">
        <v>430.90875330767079</v>
      </c>
      <c r="Z66">
        <v>435.40083916055272</v>
      </c>
      <c r="AA66">
        <v>440.9368823484254</v>
      </c>
      <c r="AB66">
        <f t="shared" si="12"/>
        <v>1307.246474816649</v>
      </c>
      <c r="AD66" s="40"/>
      <c r="AE66">
        <v>1993</v>
      </c>
      <c r="AF66" s="39">
        <f t="shared" si="13"/>
        <v>0.32963083979102636</v>
      </c>
      <c r="AG66" s="39">
        <f t="shared" si="14"/>
        <v>0.33306713580667402</v>
      </c>
      <c r="AH66" s="39">
        <f t="shared" si="15"/>
        <v>0.33730202440229956</v>
      </c>
    </row>
    <row r="67" spans="2:34">
      <c r="B67">
        <v>1994</v>
      </c>
      <c r="C67" s="4">
        <v>1369.6230000000005</v>
      </c>
      <c r="D67">
        <f t="shared" si="9"/>
        <v>1369623000000.0005</v>
      </c>
      <c r="E67" s="4">
        <v>1383.1495275588641</v>
      </c>
      <c r="F67" s="5">
        <f t="shared" si="10"/>
        <v>1383149527558.864</v>
      </c>
      <c r="G67" s="4">
        <f t="shared" si="5"/>
        <v>1042.8947437793836</v>
      </c>
      <c r="H67" s="5">
        <f t="shared" si="11"/>
        <v>1042894743779.3835</v>
      </c>
      <c r="I67" s="5">
        <f t="shared" si="7"/>
        <v>1042894743779.3835</v>
      </c>
      <c r="P67">
        <v>1994</v>
      </c>
      <c r="Q67" s="4">
        <v>446.60457871580809</v>
      </c>
      <c r="R67" s="4">
        <v>457.21153868190794</v>
      </c>
      <c r="S67" s="4">
        <v>479.33341016114809</v>
      </c>
      <c r="T67" s="4">
        <v>1383.1495275588641</v>
      </c>
      <c r="X67">
        <v>1994</v>
      </c>
      <c r="Y67">
        <v>458.32807362242301</v>
      </c>
      <c r="Z67">
        <v>459.26920006976206</v>
      </c>
      <c r="AA67">
        <v>455.24524499442509</v>
      </c>
      <c r="AB67">
        <f t="shared" si="12"/>
        <v>1372.8425186866102</v>
      </c>
      <c r="AD67" s="40"/>
      <c r="AE67">
        <v>1994</v>
      </c>
      <c r="AF67" s="39">
        <f t="shared" si="13"/>
        <v>0.33385334980803377</v>
      </c>
      <c r="AG67" s="39">
        <f t="shared" si="14"/>
        <v>0.33453888105763363</v>
      </c>
      <c r="AH67" s="39">
        <f t="shared" si="15"/>
        <v>0.3316077691343326</v>
      </c>
    </row>
    <row r="68" spans="2:34">
      <c r="B68">
        <v>1995</v>
      </c>
      <c r="C68" s="4">
        <v>1444.268</v>
      </c>
      <c r="D68">
        <f t="shared" ref="D68:D99" si="16">C68*$J$4</f>
        <v>1444268000000</v>
      </c>
      <c r="E68" s="4">
        <v>1455.0161304791368</v>
      </c>
      <c r="F68" s="5">
        <f t="shared" ref="F68:F99" si="17">E68*$J$4</f>
        <v>1455016130479.1367</v>
      </c>
      <c r="G68" s="4">
        <f t="shared" si="5"/>
        <v>1097.0821623812692</v>
      </c>
      <c r="H68" s="5">
        <f t="shared" ref="H68:H99" si="18">G68*$J$4</f>
        <v>1097082162381.2692</v>
      </c>
      <c r="I68" s="5">
        <f t="shared" si="7"/>
        <v>1097082162381.2692</v>
      </c>
      <c r="P68">
        <v>1995</v>
      </c>
      <c r="Q68" s="4">
        <v>475.12517928957959</v>
      </c>
      <c r="R68" s="4">
        <v>482.83617013860021</v>
      </c>
      <c r="S68" s="4">
        <v>497.05478105095699</v>
      </c>
      <c r="T68" s="4">
        <v>1455.0161304791368</v>
      </c>
      <c r="X68">
        <v>1995</v>
      </c>
      <c r="Y68">
        <v>475.2157845253484</v>
      </c>
      <c r="Z68">
        <v>475.87861473950335</v>
      </c>
      <c r="AA68">
        <v>469.74467747244239</v>
      </c>
      <c r="AB68">
        <f t="shared" ref="AB68:AB88" si="19">SUM(Y68,Z68,AA68)</f>
        <v>1420.8390767372941</v>
      </c>
      <c r="AD68" s="40"/>
      <c r="AE68">
        <v>1995</v>
      </c>
      <c r="AF68" s="39">
        <f t="shared" ref="AF68:AF88" si="20">Y68/AB68</f>
        <v>0.33446137026059097</v>
      </c>
      <c r="AG68" s="39">
        <f t="shared" ref="AG68:AG88" si="21">Z68/AB68</f>
        <v>0.33492787644345656</v>
      </c>
      <c r="AH68" s="39">
        <f t="shared" ref="AH68:AH88" si="22">AA68/AB68</f>
        <v>0.33061075329595246</v>
      </c>
    </row>
    <row r="69" spans="2:34">
      <c r="B69">
        <v>1996</v>
      </c>
      <c r="C69" s="4">
        <v>1492.7259999999992</v>
      </c>
      <c r="D69">
        <f t="shared" si="16"/>
        <v>1492725999999.9993</v>
      </c>
      <c r="E69" s="4">
        <v>1509.811253603953</v>
      </c>
      <c r="F69" s="5">
        <f t="shared" si="17"/>
        <v>1509811253603.9529</v>
      </c>
      <c r="G69" s="4">
        <f t="shared" ref="G69:G132" si="23">E69*$J$13</f>
        <v>1138.3976852173805</v>
      </c>
      <c r="H69" s="5">
        <f t="shared" si="18"/>
        <v>1138397685217.3806</v>
      </c>
      <c r="I69" s="5">
        <f t="shared" ref="I69:I96" si="24">H69</f>
        <v>1138397685217.3806</v>
      </c>
      <c r="P69">
        <v>1996</v>
      </c>
      <c r="Q69" s="4">
        <v>493.21302517024588</v>
      </c>
      <c r="R69" s="4">
        <v>501.3576189212248</v>
      </c>
      <c r="S69" s="4">
        <v>515.24060951248237</v>
      </c>
      <c r="T69" s="4">
        <v>1509.811253603953</v>
      </c>
      <c r="X69">
        <v>1996</v>
      </c>
      <c r="Y69">
        <v>491.96180176733196</v>
      </c>
      <c r="Z69">
        <v>487.89862575756808</v>
      </c>
      <c r="AA69">
        <v>482.10528909534804</v>
      </c>
      <c r="AB69">
        <f t="shared" si="19"/>
        <v>1461.965716620248</v>
      </c>
      <c r="AD69" s="40"/>
      <c r="AE69">
        <v>1996</v>
      </c>
      <c r="AF69" s="39">
        <f t="shared" si="20"/>
        <v>0.33650707138649077</v>
      </c>
      <c r="AG69" s="39">
        <f t="shared" si="21"/>
        <v>0.33372781605678503</v>
      </c>
      <c r="AH69" s="39">
        <f t="shared" si="22"/>
        <v>0.32976511255672419</v>
      </c>
    </row>
    <row r="70" spans="2:34">
      <c r="B70">
        <v>1997</v>
      </c>
      <c r="C70" s="4">
        <v>1539.8869999999993</v>
      </c>
      <c r="D70">
        <f t="shared" si="16"/>
        <v>1539886999999.9993</v>
      </c>
      <c r="E70" s="4">
        <v>1558.3155467469501</v>
      </c>
      <c r="F70" s="5">
        <f t="shared" si="17"/>
        <v>1558315546746.9502</v>
      </c>
      <c r="G70" s="4">
        <f t="shared" si="23"/>
        <v>1174.9699222472004</v>
      </c>
      <c r="H70" s="5">
        <f t="shared" si="18"/>
        <v>1174969922247.2004</v>
      </c>
      <c r="I70" s="5">
        <f t="shared" si="24"/>
        <v>1174969922247.2004</v>
      </c>
      <c r="P70">
        <v>1997</v>
      </c>
      <c r="Q70" s="4">
        <v>511.28031359575084</v>
      </c>
      <c r="R70" s="4">
        <v>515.4676740359713</v>
      </c>
      <c r="S70" s="4">
        <v>531.56755911522805</v>
      </c>
      <c r="T70" s="4">
        <v>1558.3155467469501</v>
      </c>
      <c r="X70">
        <v>1997</v>
      </c>
      <c r="Y70">
        <v>497.39210671710123</v>
      </c>
      <c r="Z70">
        <v>485.41800848049974</v>
      </c>
      <c r="AA70">
        <v>472.59079083838174</v>
      </c>
      <c r="AB70">
        <f t="shared" si="19"/>
        <v>1455.4009060359826</v>
      </c>
      <c r="AD70" s="40"/>
      <c r="AE70">
        <v>1997</v>
      </c>
      <c r="AF70" s="39">
        <f t="shared" si="20"/>
        <v>0.34175607879194486</v>
      </c>
      <c r="AG70" s="39">
        <f t="shared" si="21"/>
        <v>0.33352872494948033</v>
      </c>
      <c r="AH70" s="39">
        <f t="shared" si="22"/>
        <v>0.32471519625857481</v>
      </c>
    </row>
    <row r="71" spans="2:34">
      <c r="B71">
        <v>1998</v>
      </c>
      <c r="C71" s="4">
        <v>1536.4920000000002</v>
      </c>
      <c r="D71">
        <f t="shared" si="16"/>
        <v>1536492000000.0002</v>
      </c>
      <c r="E71" s="4">
        <v>1559.7547625089815</v>
      </c>
      <c r="F71" s="5">
        <f t="shared" si="17"/>
        <v>1559754762508.9814</v>
      </c>
      <c r="G71" s="4">
        <f t="shared" si="23"/>
        <v>1176.0550909317719</v>
      </c>
      <c r="H71" s="5">
        <f t="shared" si="18"/>
        <v>1176055090931.772</v>
      </c>
      <c r="I71" s="5">
        <f t="shared" si="24"/>
        <v>1176055090931.772</v>
      </c>
      <c r="P71">
        <v>1998</v>
      </c>
      <c r="Q71" s="4">
        <v>518.17662560242377</v>
      </c>
      <c r="R71" s="4">
        <v>515.27744892636474</v>
      </c>
      <c r="S71" s="4">
        <v>526.30068798019272</v>
      </c>
      <c r="T71" s="4">
        <v>1559.7547625089815</v>
      </c>
      <c r="X71">
        <v>1998</v>
      </c>
      <c r="Y71">
        <v>518.39783647948286</v>
      </c>
      <c r="Z71">
        <v>503.11166831552674</v>
      </c>
      <c r="AA71">
        <v>486.62281457425598</v>
      </c>
      <c r="AB71">
        <f t="shared" si="19"/>
        <v>1508.1323193692656</v>
      </c>
      <c r="AD71" s="40"/>
      <c r="AE71">
        <v>1998</v>
      </c>
      <c r="AF71" s="39">
        <f t="shared" si="20"/>
        <v>0.34373498254867207</v>
      </c>
      <c r="AG71" s="39">
        <f t="shared" si="21"/>
        <v>0.33359915562709991</v>
      </c>
      <c r="AH71" s="39">
        <f t="shared" si="22"/>
        <v>0.32266586182422802</v>
      </c>
    </row>
    <row r="72" spans="2:34">
      <c r="B72">
        <v>1999</v>
      </c>
      <c r="C72" s="4">
        <v>1595.7469999999996</v>
      </c>
      <c r="D72">
        <f t="shared" si="16"/>
        <v>1595746999999.9995</v>
      </c>
      <c r="E72" s="4">
        <v>1621.157577438948</v>
      </c>
      <c r="F72" s="5">
        <f t="shared" si="17"/>
        <v>1621157577438.948</v>
      </c>
      <c r="G72" s="4">
        <f t="shared" si="23"/>
        <v>1222.3528133889668</v>
      </c>
      <c r="H72" s="5">
        <f t="shared" si="18"/>
        <v>1222352813388.9668</v>
      </c>
      <c r="I72" s="5">
        <f t="shared" si="24"/>
        <v>1222352813388.9668</v>
      </c>
      <c r="P72">
        <v>1999</v>
      </c>
      <c r="Q72" s="4">
        <v>540.81685780130522</v>
      </c>
      <c r="R72" s="4">
        <v>535.4830936532195</v>
      </c>
      <c r="S72" s="4">
        <v>544.85762598442329</v>
      </c>
      <c r="T72" s="4">
        <v>1621.157577438948</v>
      </c>
      <c r="X72">
        <v>1999</v>
      </c>
      <c r="Y72">
        <v>538.70164297036388</v>
      </c>
      <c r="Z72">
        <v>522.81147289394767</v>
      </c>
      <c r="AA72">
        <v>503.37217427236351</v>
      </c>
      <c r="AB72">
        <f t="shared" si="19"/>
        <v>1564.8852901366752</v>
      </c>
      <c r="AD72" s="40"/>
      <c r="AE72">
        <v>1999</v>
      </c>
      <c r="AF72" s="39">
        <f t="shared" si="20"/>
        <v>0.34424353424864407</v>
      </c>
      <c r="AG72" s="39">
        <f t="shared" si="21"/>
        <v>0.33408932666769842</v>
      </c>
      <c r="AH72" s="39">
        <f t="shared" si="22"/>
        <v>0.32166713908365746</v>
      </c>
    </row>
    <row r="73" spans="2:34">
      <c r="B73">
        <v>2000</v>
      </c>
      <c r="C73" s="4">
        <v>1653.8549999999998</v>
      </c>
      <c r="D73">
        <f t="shared" si="16"/>
        <v>1653854999999.9998</v>
      </c>
      <c r="E73" s="4">
        <v>1687.2821610578089</v>
      </c>
      <c r="F73" s="5">
        <f t="shared" si="17"/>
        <v>1687282161057.8088</v>
      </c>
      <c r="G73" s="4">
        <f t="shared" si="23"/>
        <v>1272.210749437588</v>
      </c>
      <c r="H73" s="5">
        <f t="shared" si="18"/>
        <v>1272210749437.5879</v>
      </c>
      <c r="I73" s="5">
        <f t="shared" si="24"/>
        <v>1272210749437.5879</v>
      </c>
      <c r="P73">
        <v>2000</v>
      </c>
      <c r="Q73" s="4">
        <v>562.94653073308291</v>
      </c>
      <c r="R73" s="4">
        <v>557.93557922857622</v>
      </c>
      <c r="S73" s="4">
        <v>566.40005109614992</v>
      </c>
      <c r="T73" s="4">
        <v>1687.2821610578089</v>
      </c>
      <c r="X73">
        <v>2000</v>
      </c>
      <c r="Y73">
        <v>567.16376457084095</v>
      </c>
      <c r="Z73">
        <v>547.81085305503291</v>
      </c>
      <c r="AA73">
        <v>518.72956873204259</v>
      </c>
      <c r="AB73">
        <f t="shared" si="19"/>
        <v>1633.7041863579166</v>
      </c>
      <c r="AD73" s="40"/>
      <c r="AE73">
        <v>2000</v>
      </c>
      <c r="AF73" s="39">
        <f t="shared" si="20"/>
        <v>0.34716429651517405</v>
      </c>
      <c r="AG73" s="39">
        <f t="shared" si="21"/>
        <v>0.33531826485447774</v>
      </c>
      <c r="AH73" s="39">
        <f t="shared" si="22"/>
        <v>0.31751743863034815</v>
      </c>
    </row>
    <row r="74" spans="2:34">
      <c r="B74">
        <v>2001</v>
      </c>
      <c r="C74" s="4">
        <v>1733.1659999999999</v>
      </c>
      <c r="D74">
        <f t="shared" si="16"/>
        <v>1733166000000</v>
      </c>
      <c r="E74" s="4">
        <v>1766.1954193870311</v>
      </c>
      <c r="F74" s="5">
        <f t="shared" si="17"/>
        <v>1766195419387.031</v>
      </c>
      <c r="G74" s="4">
        <f t="shared" si="23"/>
        <v>1331.7113462178215</v>
      </c>
      <c r="H74" s="5">
        <f t="shared" si="18"/>
        <v>1331711346217.8215</v>
      </c>
      <c r="I74" s="5">
        <f t="shared" si="24"/>
        <v>1331711346217.8215</v>
      </c>
      <c r="P74">
        <v>2001</v>
      </c>
      <c r="Q74" s="4">
        <v>593.44673214624606</v>
      </c>
      <c r="R74" s="4">
        <v>585.94418693642808</v>
      </c>
      <c r="S74" s="4">
        <v>586.80450030435702</v>
      </c>
      <c r="T74" s="4">
        <v>1766.1954193870311</v>
      </c>
      <c r="X74">
        <v>2001</v>
      </c>
      <c r="Y74">
        <v>605.81983540947192</v>
      </c>
      <c r="Z74">
        <v>584.96491762374387</v>
      </c>
      <c r="AA74">
        <v>549.39791718271704</v>
      </c>
      <c r="AB74">
        <f t="shared" si="19"/>
        <v>1740.1826702159328</v>
      </c>
      <c r="AD74" s="40"/>
      <c r="AE74">
        <v>2001</v>
      </c>
      <c r="AF74" s="39">
        <f t="shared" si="20"/>
        <v>0.34813577090403847</v>
      </c>
      <c r="AG74" s="39">
        <f t="shared" si="21"/>
        <v>0.33615144411888537</v>
      </c>
      <c r="AH74" s="39">
        <f t="shared" si="22"/>
        <v>0.31571278497707617</v>
      </c>
    </row>
    <row r="75" spans="2:34">
      <c r="B75">
        <v>2002</v>
      </c>
      <c r="C75" s="4">
        <v>1852.9050000000007</v>
      </c>
      <c r="D75">
        <f t="shared" si="16"/>
        <v>1852905000000.0007</v>
      </c>
      <c r="E75" s="4">
        <v>1883.5024502134188</v>
      </c>
      <c r="F75" s="5">
        <f t="shared" si="17"/>
        <v>1883502450213.4187</v>
      </c>
      <c r="G75" s="4">
        <f t="shared" si="23"/>
        <v>1420.1608474609177</v>
      </c>
      <c r="H75" s="5">
        <f t="shared" si="18"/>
        <v>1420160847460.9177</v>
      </c>
      <c r="I75" s="5">
        <f t="shared" si="24"/>
        <v>1420160847460.9177</v>
      </c>
      <c r="P75">
        <v>2002</v>
      </c>
      <c r="Q75" s="4">
        <v>634.37123973895768</v>
      </c>
      <c r="R75" s="4">
        <v>626.37599671231067</v>
      </c>
      <c r="S75" s="4">
        <v>622.75521376215067</v>
      </c>
      <c r="T75" s="4">
        <v>1883.5024502134188</v>
      </c>
      <c r="X75">
        <v>2002</v>
      </c>
      <c r="Y75">
        <v>675.23750331878909</v>
      </c>
      <c r="Z75">
        <v>646.07635336199155</v>
      </c>
      <c r="AA75">
        <v>592.75063671959708</v>
      </c>
      <c r="AB75">
        <f t="shared" si="19"/>
        <v>1914.0644934003776</v>
      </c>
      <c r="AD75" s="40"/>
      <c r="AE75">
        <v>2002</v>
      </c>
      <c r="AF75" s="39">
        <f t="shared" si="20"/>
        <v>0.35277677719166861</v>
      </c>
      <c r="AG75" s="39">
        <f t="shared" si="21"/>
        <v>0.33754158001971118</v>
      </c>
      <c r="AH75" s="39">
        <f t="shared" si="22"/>
        <v>0.3096816427886202</v>
      </c>
    </row>
    <row r="76" spans="2:34">
      <c r="B76">
        <v>2003</v>
      </c>
      <c r="C76" s="4">
        <v>2028.6380000000006</v>
      </c>
      <c r="D76">
        <f t="shared" si="16"/>
        <v>2028638000000.0005</v>
      </c>
      <c r="E76" s="4">
        <v>2068.9473329204088</v>
      </c>
      <c r="F76" s="5">
        <f t="shared" si="17"/>
        <v>2068947332920.4089</v>
      </c>
      <c r="G76" s="4">
        <f t="shared" si="23"/>
        <v>1559.9862890219883</v>
      </c>
      <c r="H76" s="5">
        <f t="shared" si="18"/>
        <v>1559986289021.9883</v>
      </c>
      <c r="I76" s="5">
        <f t="shared" si="24"/>
        <v>1559986289021.9883</v>
      </c>
      <c r="P76">
        <v>2003</v>
      </c>
      <c r="Q76" s="4">
        <v>706.30271785689581</v>
      </c>
      <c r="R76" s="4">
        <v>691.04150166756881</v>
      </c>
      <c r="S76" s="4">
        <v>671.60311339594398</v>
      </c>
      <c r="T76" s="4">
        <v>2068.9473329204088</v>
      </c>
      <c r="X76">
        <v>2003</v>
      </c>
      <c r="Y76">
        <v>734.11608450423444</v>
      </c>
      <c r="Z76">
        <v>697.44739140652587</v>
      </c>
      <c r="AA76">
        <v>634.43424185871334</v>
      </c>
      <c r="AB76">
        <f t="shared" si="19"/>
        <v>2065.9977177694736</v>
      </c>
      <c r="AD76" s="40"/>
      <c r="AE76">
        <v>2003</v>
      </c>
      <c r="AF76" s="39">
        <f t="shared" si="20"/>
        <v>0.35533247601880841</v>
      </c>
      <c r="AG76" s="39">
        <f t="shared" si="21"/>
        <v>0.33758381502933871</v>
      </c>
      <c r="AH76" s="39">
        <f t="shared" si="22"/>
        <v>0.30708370895185289</v>
      </c>
    </row>
    <row r="77" spans="2:34">
      <c r="B77">
        <v>2004</v>
      </c>
      <c r="C77" s="4">
        <v>2191.5090000000005</v>
      </c>
      <c r="D77">
        <f t="shared" si="16"/>
        <v>2191509000000.0005</v>
      </c>
      <c r="E77" s="4">
        <v>2233.1687864843834</v>
      </c>
      <c r="F77" s="5">
        <f t="shared" si="17"/>
        <v>2233168786484.3833</v>
      </c>
      <c r="G77" s="4">
        <f t="shared" si="23"/>
        <v>1683.8092650092251</v>
      </c>
      <c r="H77" s="5">
        <f t="shared" si="18"/>
        <v>1683809265009.2251</v>
      </c>
      <c r="I77" s="5">
        <f t="shared" si="24"/>
        <v>1683809265009.2251</v>
      </c>
      <c r="P77">
        <v>2004</v>
      </c>
      <c r="Q77" s="4">
        <v>767.95258305079926</v>
      </c>
      <c r="R77" s="4">
        <v>746.24688128104037</v>
      </c>
      <c r="S77" s="4">
        <v>718.96932215254367</v>
      </c>
      <c r="T77" s="4">
        <v>2233.1687864843834</v>
      </c>
      <c r="X77">
        <v>2004</v>
      </c>
      <c r="Y77">
        <v>788.85304815902578</v>
      </c>
      <c r="Z77">
        <v>753.11820048987352</v>
      </c>
      <c r="AA77">
        <v>678.55572172586324</v>
      </c>
      <c r="AB77">
        <f t="shared" si="19"/>
        <v>2220.5269703747626</v>
      </c>
      <c r="AD77" s="40"/>
      <c r="AE77">
        <v>2004</v>
      </c>
      <c r="AF77" s="39">
        <f t="shared" si="20"/>
        <v>0.35525488259477861</v>
      </c>
      <c r="AG77" s="39">
        <f t="shared" si="21"/>
        <v>0.33916192441597243</v>
      </c>
      <c r="AH77" s="39">
        <f t="shared" si="22"/>
        <v>0.30558319298924891</v>
      </c>
    </row>
    <row r="78" spans="2:34">
      <c r="B78">
        <v>2005</v>
      </c>
      <c r="C78" s="4">
        <v>2349.9340000000016</v>
      </c>
      <c r="D78">
        <f t="shared" si="16"/>
        <v>2349934000000.0015</v>
      </c>
      <c r="E78" s="4">
        <v>2400.6948805684483</v>
      </c>
      <c r="F78" s="5">
        <f t="shared" si="17"/>
        <v>2400694880568.4482</v>
      </c>
      <c r="G78" s="4">
        <f t="shared" si="23"/>
        <v>1810.1239399486101</v>
      </c>
      <c r="H78" s="5">
        <f t="shared" si="18"/>
        <v>1810123939948.6101</v>
      </c>
      <c r="I78" s="5">
        <f t="shared" si="24"/>
        <v>1810123939948.6101</v>
      </c>
      <c r="P78">
        <v>2005</v>
      </c>
      <c r="Q78" s="4">
        <v>825.7280131877651</v>
      </c>
      <c r="R78" s="4">
        <v>806.03312628270407</v>
      </c>
      <c r="S78" s="4">
        <v>768.93374109797935</v>
      </c>
      <c r="T78" s="4">
        <v>2400.6948805684483</v>
      </c>
      <c r="X78">
        <v>2005</v>
      </c>
      <c r="Y78">
        <v>880.76345813084458</v>
      </c>
      <c r="Z78">
        <v>839.84921167106631</v>
      </c>
      <c r="AA78">
        <v>750.36444417765188</v>
      </c>
      <c r="AB78">
        <f t="shared" si="19"/>
        <v>2470.977113979563</v>
      </c>
      <c r="AD78" s="40"/>
      <c r="AE78">
        <v>2005</v>
      </c>
      <c r="AF78" s="39">
        <f t="shared" si="20"/>
        <v>0.35644338959997718</v>
      </c>
      <c r="AG78" s="39">
        <f t="shared" si="21"/>
        <v>0.33988546754221882</v>
      </c>
      <c r="AH78" s="39">
        <f t="shared" si="22"/>
        <v>0.30367114285780389</v>
      </c>
    </row>
    <row r="79" spans="2:34">
      <c r="B79">
        <v>2006</v>
      </c>
      <c r="C79" s="4">
        <v>2618.280271000001</v>
      </c>
      <c r="D79">
        <f t="shared" si="16"/>
        <v>2618280271000.001</v>
      </c>
      <c r="E79" s="4">
        <v>2664.8310332854448</v>
      </c>
      <c r="F79" s="5">
        <f t="shared" si="17"/>
        <v>2664831033285.4448</v>
      </c>
      <c r="G79" s="4">
        <f t="shared" si="23"/>
        <v>2009.2825990972253</v>
      </c>
      <c r="H79" s="5">
        <f t="shared" si="18"/>
        <v>2009282599097.2253</v>
      </c>
      <c r="I79" s="5">
        <f t="shared" si="24"/>
        <v>2009282599097.2253</v>
      </c>
      <c r="P79">
        <v>2006</v>
      </c>
      <c r="Q79" s="4">
        <v>920.95268414313921</v>
      </c>
      <c r="R79" s="4">
        <v>897.15986040925725</v>
      </c>
      <c r="S79" s="4">
        <v>846.71848873304828</v>
      </c>
      <c r="T79" s="4">
        <v>2664.8310332854448</v>
      </c>
      <c r="X79">
        <v>2006</v>
      </c>
      <c r="Y79">
        <v>944.96825959632304</v>
      </c>
      <c r="Z79">
        <v>900.81353790813944</v>
      </c>
      <c r="AA79">
        <v>795.28355047941216</v>
      </c>
      <c r="AB79">
        <f t="shared" si="19"/>
        <v>2641.0653479838747</v>
      </c>
      <c r="AD79" s="40"/>
      <c r="AE79">
        <v>2006</v>
      </c>
      <c r="AF79" s="39">
        <f t="shared" si="20"/>
        <v>0.35779813639131985</v>
      </c>
      <c r="AG79" s="39">
        <f t="shared" si="21"/>
        <v>0.34107960963396783</v>
      </c>
      <c r="AH79" s="39">
        <f t="shared" si="22"/>
        <v>0.30112225397471226</v>
      </c>
    </row>
    <row r="80" spans="2:34">
      <c r="B80">
        <v>2007</v>
      </c>
      <c r="C80" s="4">
        <v>2810.0214149999997</v>
      </c>
      <c r="D80">
        <f t="shared" si="16"/>
        <v>2810021414999.9995</v>
      </c>
      <c r="E80" s="4">
        <v>2849.2775452071251</v>
      </c>
      <c r="F80" s="5">
        <f t="shared" si="17"/>
        <v>2849277545207.125</v>
      </c>
      <c r="G80" s="4">
        <f t="shared" si="23"/>
        <v>2148.3552690861725</v>
      </c>
      <c r="H80" s="5">
        <f t="shared" si="18"/>
        <v>2148355269086.1724</v>
      </c>
      <c r="I80" s="5">
        <f t="shared" si="24"/>
        <v>2148355269086.1724</v>
      </c>
      <c r="P80">
        <v>2007</v>
      </c>
      <c r="Q80" s="4">
        <v>988.7567856400467</v>
      </c>
      <c r="R80" s="4">
        <v>962.79965822796044</v>
      </c>
      <c r="S80" s="4">
        <v>897.72110133911804</v>
      </c>
      <c r="T80" s="4">
        <v>2849.2775452071251</v>
      </c>
      <c r="X80">
        <v>2007</v>
      </c>
      <c r="Y80">
        <v>950.50350920924166</v>
      </c>
      <c r="Z80">
        <v>913.18911252776365</v>
      </c>
      <c r="AA80">
        <v>794.86858016119822</v>
      </c>
      <c r="AB80">
        <f t="shared" si="19"/>
        <v>2658.5612018982038</v>
      </c>
      <c r="AD80" s="40"/>
      <c r="AE80">
        <v>2007</v>
      </c>
      <c r="AF80" s="39">
        <f t="shared" si="20"/>
        <v>0.35752553243107038</v>
      </c>
      <c r="AG80" s="39">
        <f t="shared" si="21"/>
        <v>0.34348997189748715</v>
      </c>
      <c r="AH80" s="39">
        <f t="shared" si="22"/>
        <v>0.29898449567144242</v>
      </c>
    </row>
    <row r="81" spans="2:38">
      <c r="B81">
        <v>2008</v>
      </c>
      <c r="C81" s="4">
        <v>2850.6805929999982</v>
      </c>
      <c r="D81">
        <f t="shared" si="16"/>
        <v>2850680592999.998</v>
      </c>
      <c r="E81" s="4">
        <v>2881.7951354352945</v>
      </c>
      <c r="F81" s="5">
        <f t="shared" si="17"/>
        <v>2881795135435.2944</v>
      </c>
      <c r="G81" s="4">
        <f t="shared" si="23"/>
        <v>2172.8735321182121</v>
      </c>
      <c r="H81" s="5">
        <f t="shared" si="18"/>
        <v>2172873532118.2122</v>
      </c>
      <c r="I81" s="5">
        <f t="shared" si="24"/>
        <v>2172873532118.2122</v>
      </c>
      <c r="P81">
        <v>2008</v>
      </c>
      <c r="Q81" s="4">
        <v>998.18800266300957</v>
      </c>
      <c r="R81" s="4">
        <v>980.13219833808853</v>
      </c>
      <c r="S81" s="4">
        <v>903.47493443419648</v>
      </c>
      <c r="T81" s="4">
        <v>2881.7951354352945</v>
      </c>
      <c r="X81">
        <v>2008</v>
      </c>
      <c r="Y81">
        <v>1049.3228445569487</v>
      </c>
      <c r="Z81">
        <v>993.7368231391938</v>
      </c>
      <c r="AA81">
        <v>827.79049699779148</v>
      </c>
      <c r="AB81">
        <f t="shared" si="19"/>
        <v>2870.8501646939339</v>
      </c>
      <c r="AD81" s="40"/>
      <c r="AE81">
        <v>2008</v>
      </c>
      <c r="AF81" s="39">
        <f t="shared" si="20"/>
        <v>0.36550944297325205</v>
      </c>
      <c r="AG81" s="39">
        <f t="shared" si="21"/>
        <v>0.34614722682510241</v>
      </c>
      <c r="AH81" s="39">
        <f t="shared" si="22"/>
        <v>0.28834333020164554</v>
      </c>
    </row>
    <row r="82" spans="2:38">
      <c r="B82">
        <v>2009</v>
      </c>
      <c r="C82" s="4">
        <v>3033.0741379999981</v>
      </c>
      <c r="D82">
        <f t="shared" si="16"/>
        <v>3033074137999.998</v>
      </c>
      <c r="E82" s="4">
        <v>3109.7747877288239</v>
      </c>
      <c r="F82" s="5">
        <f t="shared" si="17"/>
        <v>3109774787728.8237</v>
      </c>
      <c r="G82" s="4">
        <f t="shared" si="23"/>
        <v>2344.7701899475333</v>
      </c>
      <c r="H82" s="5">
        <f t="shared" si="18"/>
        <v>2344770189947.5332</v>
      </c>
      <c r="I82" s="5">
        <f t="shared" si="24"/>
        <v>2344770189947.5332</v>
      </c>
      <c r="P82">
        <v>2009</v>
      </c>
      <c r="Q82" s="4">
        <v>1101.2159956671162</v>
      </c>
      <c r="R82" s="4">
        <v>1065.9246252520679</v>
      </c>
      <c r="S82" s="4">
        <v>942.63416680963996</v>
      </c>
      <c r="T82" s="4">
        <v>3109.7747877288239</v>
      </c>
      <c r="X82">
        <v>2009</v>
      </c>
      <c r="Y82">
        <v>1137.6694851828252</v>
      </c>
      <c r="Z82">
        <v>1070.6061317920205</v>
      </c>
      <c r="AA82">
        <v>876.21774630929031</v>
      </c>
      <c r="AB82">
        <f t="shared" si="19"/>
        <v>3084.4933632841357</v>
      </c>
      <c r="AD82" s="40"/>
      <c r="AE82">
        <v>2009</v>
      </c>
      <c r="AF82" s="39">
        <f t="shared" si="20"/>
        <v>0.36883512174962846</v>
      </c>
      <c r="AG82" s="39">
        <f t="shared" si="21"/>
        <v>0.34709302491483396</v>
      </c>
      <c r="AH82" s="39">
        <f t="shared" si="22"/>
        <v>0.28407185333553764</v>
      </c>
    </row>
    <row r="83" spans="2:38">
      <c r="B83">
        <v>2010</v>
      </c>
      <c r="C83" s="4">
        <v>3278.3870000000015</v>
      </c>
      <c r="D83">
        <f t="shared" si="16"/>
        <v>3278387000000.0015</v>
      </c>
      <c r="E83" s="4">
        <v>3339.8041368044865</v>
      </c>
      <c r="F83" s="5">
        <f t="shared" si="17"/>
        <v>3339804136804.4863</v>
      </c>
      <c r="G83" s="4">
        <f t="shared" si="23"/>
        <v>2518.212319150583</v>
      </c>
      <c r="H83" s="5">
        <f t="shared" si="18"/>
        <v>2518212319150.583</v>
      </c>
      <c r="I83" s="5">
        <f t="shared" si="24"/>
        <v>2518212319150.583</v>
      </c>
      <c r="P83">
        <v>2010</v>
      </c>
      <c r="Q83" s="4">
        <v>1194.1067021970207</v>
      </c>
      <c r="R83" s="4">
        <v>1148.3395159994225</v>
      </c>
      <c r="S83" s="4">
        <v>997.35791860804341</v>
      </c>
      <c r="T83" s="4">
        <v>3339.8041368044865</v>
      </c>
      <c r="X83">
        <v>2010</v>
      </c>
      <c r="Y83">
        <v>1276.0763572999001</v>
      </c>
      <c r="Z83">
        <v>1195.4046217180053</v>
      </c>
      <c r="AA83">
        <v>964.31217436851944</v>
      </c>
      <c r="AB83">
        <f t="shared" si="19"/>
        <v>3435.7931533864248</v>
      </c>
      <c r="AD83" s="40"/>
      <c r="AE83">
        <v>2010</v>
      </c>
      <c r="AF83" s="39">
        <f t="shared" si="20"/>
        <v>0.37140663023970449</v>
      </c>
      <c r="AG83" s="39">
        <f t="shared" si="21"/>
        <v>0.34792683038551875</v>
      </c>
      <c r="AH83" s="39">
        <f t="shared" si="22"/>
        <v>0.28066653937477676</v>
      </c>
    </row>
    <row r="84" spans="2:38">
      <c r="B84">
        <v>2011</v>
      </c>
      <c r="C84" s="4">
        <v>3632.2559999999994</v>
      </c>
      <c r="D84">
        <f t="shared" si="16"/>
        <v>3632255999999.9995</v>
      </c>
      <c r="E84" s="4">
        <v>3708.2361003635929</v>
      </c>
      <c r="F84" s="5">
        <f t="shared" si="17"/>
        <v>3708236100363.5928</v>
      </c>
      <c r="G84" s="4">
        <f t="shared" si="23"/>
        <v>2796.0100196741491</v>
      </c>
      <c r="H84" s="5">
        <f t="shared" si="18"/>
        <v>2796010019674.1489</v>
      </c>
      <c r="I84" s="5">
        <f t="shared" si="24"/>
        <v>2796010019674.1489</v>
      </c>
      <c r="P84">
        <v>2011</v>
      </c>
      <c r="Q84" s="4">
        <v>1337.4232539105228</v>
      </c>
      <c r="R84" s="4">
        <v>1279.0054591835797</v>
      </c>
      <c r="S84" s="4">
        <v>1091.8073872694904</v>
      </c>
      <c r="T84" s="4">
        <v>3708.2361003635929</v>
      </c>
      <c r="X84">
        <v>2011</v>
      </c>
      <c r="Y84">
        <v>1343.9807437708077</v>
      </c>
      <c r="Z84">
        <v>1255.9876774300806</v>
      </c>
      <c r="AA84">
        <v>1018.268631624982</v>
      </c>
      <c r="AB84">
        <f t="shared" si="19"/>
        <v>3618.2370528258703</v>
      </c>
      <c r="AD84" s="40"/>
      <c r="AE84">
        <v>2011</v>
      </c>
      <c r="AF84" s="39">
        <f t="shared" si="20"/>
        <v>0.37144629391298417</v>
      </c>
      <c r="AG84" s="39">
        <f t="shared" si="21"/>
        <v>0.34712697346602672</v>
      </c>
      <c r="AH84" s="39">
        <f t="shared" si="22"/>
        <v>0.28142673262098916</v>
      </c>
    </row>
    <row r="85" spans="2:38">
      <c r="B85">
        <v>2012</v>
      </c>
      <c r="C85" s="4">
        <v>3822.9780000000001</v>
      </c>
      <c r="D85">
        <f t="shared" si="16"/>
        <v>3822978000000</v>
      </c>
      <c r="E85" s="4">
        <v>3908.6369109742564</v>
      </c>
      <c r="F85" s="5">
        <f t="shared" si="17"/>
        <v>3908636910974.2563</v>
      </c>
      <c r="G85" s="4">
        <f t="shared" si="23"/>
        <v>2947.1122308745894</v>
      </c>
      <c r="H85" s="5">
        <f t="shared" si="18"/>
        <v>2947112230874.5894</v>
      </c>
      <c r="I85" s="5">
        <f t="shared" si="24"/>
        <v>2947112230874.5894</v>
      </c>
      <c r="P85">
        <v>2012</v>
      </c>
      <c r="Q85" s="4">
        <v>1410.6420562350511</v>
      </c>
      <c r="R85" s="4">
        <v>1345.8080594298267</v>
      </c>
      <c r="S85" s="4">
        <v>1152.1867953093786</v>
      </c>
      <c r="T85" s="4">
        <v>3908.6369109742564</v>
      </c>
      <c r="X85">
        <v>2012</v>
      </c>
      <c r="Y85">
        <v>1435.0504968154646</v>
      </c>
      <c r="Z85">
        <v>1346.4964372155516</v>
      </c>
      <c r="AA85">
        <v>1074.2053422905458</v>
      </c>
      <c r="AB85">
        <f t="shared" si="19"/>
        <v>3855.752276321562</v>
      </c>
      <c r="AD85" s="40"/>
      <c r="AE85">
        <v>2012</v>
      </c>
      <c r="AF85" s="39">
        <f t="shared" si="20"/>
        <v>0.37218430904604732</v>
      </c>
      <c r="AG85" s="39">
        <f t="shared" si="21"/>
        <v>0.34921756915880675</v>
      </c>
      <c r="AH85" s="39">
        <f t="shared" si="22"/>
        <v>0.27859812179514593</v>
      </c>
    </row>
    <row r="86" spans="2:38">
      <c r="B86">
        <v>2013</v>
      </c>
      <c r="C86" s="4">
        <v>4074.884</v>
      </c>
      <c r="D86">
        <f t="shared" si="16"/>
        <v>4074884000000</v>
      </c>
      <c r="E86" s="4">
        <v>4165.039752949202</v>
      </c>
      <c r="F86" s="5">
        <f t="shared" si="17"/>
        <v>4165039752949.2021</v>
      </c>
      <c r="G86" s="4">
        <f t="shared" si="23"/>
        <v>3140.4399737236981</v>
      </c>
      <c r="H86" s="5">
        <f t="shared" si="18"/>
        <v>3140439973723.6982</v>
      </c>
      <c r="I86" s="5">
        <f t="shared" si="24"/>
        <v>3140439973723.6982</v>
      </c>
      <c r="P86">
        <v>2013</v>
      </c>
      <c r="Q86" s="4">
        <v>1507.4785218367558</v>
      </c>
      <c r="R86" s="4">
        <v>1442.9273606912468</v>
      </c>
      <c r="S86" s="4">
        <v>1214.6338704211989</v>
      </c>
      <c r="T86" s="4">
        <v>4165.039752949202</v>
      </c>
      <c r="X86">
        <v>2013</v>
      </c>
      <c r="Y86">
        <v>1473.4061868666477</v>
      </c>
      <c r="Z86">
        <v>1370.4387887821556</v>
      </c>
      <c r="AA86">
        <v>1096.3971624550741</v>
      </c>
      <c r="AB86">
        <f t="shared" si="19"/>
        <v>3940.2421381038776</v>
      </c>
      <c r="AD86" s="40"/>
      <c r="AE86">
        <v>2013</v>
      </c>
      <c r="AF86" s="39">
        <f t="shared" si="20"/>
        <v>0.37393798026221808</v>
      </c>
      <c r="AG86" s="39">
        <f t="shared" si="21"/>
        <v>0.34780572887371786</v>
      </c>
      <c r="AH86" s="39">
        <f t="shared" si="22"/>
        <v>0.278256290864064</v>
      </c>
    </row>
    <row r="87" spans="2:38">
      <c r="B87">
        <v>2014</v>
      </c>
      <c r="C87" s="4">
        <v>4188.4170000000022</v>
      </c>
      <c r="D87">
        <f t="shared" si="16"/>
        <v>4188417000000.002</v>
      </c>
      <c r="E87" s="4">
        <v>4269.4805599224474</v>
      </c>
      <c r="F87" s="5">
        <f t="shared" si="17"/>
        <v>4269480559922.4473</v>
      </c>
      <c r="G87" s="4">
        <f t="shared" si="23"/>
        <v>3219.1883421815255</v>
      </c>
      <c r="H87" s="5">
        <f t="shared" si="18"/>
        <v>3219188342181.5254</v>
      </c>
      <c r="I87" s="5">
        <f t="shared" si="24"/>
        <v>3219188342181.5254</v>
      </c>
      <c r="P87">
        <v>2014</v>
      </c>
      <c r="Q87" s="4">
        <v>1552.1090450967583</v>
      </c>
      <c r="R87" s="4">
        <v>1473.9184883509299</v>
      </c>
      <c r="S87" s="4">
        <v>1243.4530264747589</v>
      </c>
      <c r="T87" s="4">
        <v>4269.4805599224474</v>
      </c>
      <c r="X87">
        <v>2014</v>
      </c>
      <c r="Y87">
        <v>1423.8782821778527</v>
      </c>
      <c r="Z87">
        <v>1154.9893104681773</v>
      </c>
      <c r="AA87">
        <v>1197.4773520811461</v>
      </c>
      <c r="AB87">
        <f t="shared" si="19"/>
        <v>3776.344944727176</v>
      </c>
      <c r="AD87" s="40"/>
      <c r="AE87">
        <v>2014</v>
      </c>
      <c r="AF87" s="39">
        <f t="shared" si="20"/>
        <v>0.37705196506637495</v>
      </c>
      <c r="AG87" s="39">
        <f t="shared" si="21"/>
        <v>0.30584846653928227</v>
      </c>
      <c r="AH87" s="39">
        <f t="shared" si="22"/>
        <v>0.31709956839434289</v>
      </c>
    </row>
    <row r="88" spans="2:38">
      <c r="B88" s="8">
        <v>2015</v>
      </c>
      <c r="C88" s="9">
        <v>4096.3489999999974</v>
      </c>
      <c r="D88" s="8">
        <f t="shared" si="16"/>
        <v>4096348999999.9976</v>
      </c>
      <c r="E88" s="9">
        <v>4118.5545593171537</v>
      </c>
      <c r="F88" s="10">
        <f t="shared" si="17"/>
        <v>4118554559317.1538</v>
      </c>
      <c r="G88" s="4">
        <f t="shared" si="23"/>
        <v>3105.3901377251341</v>
      </c>
      <c r="H88" s="31">
        <f t="shared" si="18"/>
        <v>3105390137725.1343</v>
      </c>
      <c r="I88" s="5">
        <f t="shared" si="24"/>
        <v>3105390137725.1343</v>
      </c>
      <c r="P88" s="8">
        <v>2015</v>
      </c>
      <c r="Q88" s="32">
        <v>1509.4263654241656</v>
      </c>
      <c r="R88" s="32">
        <v>1266.0095595895789</v>
      </c>
      <c r="S88" s="32">
        <v>1343.118634303409</v>
      </c>
      <c r="T88" s="32">
        <v>4118.5545593171537</v>
      </c>
      <c r="X88">
        <v>2015</v>
      </c>
      <c r="Y88">
        <v>1326.4817867114236</v>
      </c>
      <c r="Z88">
        <v>1164.0607428025503</v>
      </c>
      <c r="AA88">
        <v>1331.7130053032517</v>
      </c>
      <c r="AB88">
        <f t="shared" si="19"/>
        <v>3822.2555348172255</v>
      </c>
      <c r="AD88" s="40"/>
      <c r="AE88">
        <v>2015</v>
      </c>
      <c r="AF88" s="39">
        <f t="shared" si="20"/>
        <v>0.34704162885720147</v>
      </c>
      <c r="AG88" s="39">
        <f t="shared" si="21"/>
        <v>0.30454812144270044</v>
      </c>
      <c r="AH88" s="39">
        <f t="shared" si="22"/>
        <v>0.34841024970009815</v>
      </c>
    </row>
    <row r="89" spans="2:38">
      <c r="B89">
        <v>2016</v>
      </c>
      <c r="C89" s="4">
        <v>3844.7658206191772</v>
      </c>
      <c r="D89">
        <f t="shared" si="16"/>
        <v>3844765820619.1772</v>
      </c>
      <c r="E89" s="4">
        <v>4186.998436773848</v>
      </c>
      <c r="F89" s="5">
        <f t="shared" si="17"/>
        <v>4186998436773.8481</v>
      </c>
      <c r="G89" s="4">
        <f t="shared" si="23"/>
        <v>3156.9968213274815</v>
      </c>
      <c r="H89" s="5">
        <f t="shared" si="18"/>
        <v>3156996821327.4814</v>
      </c>
      <c r="I89" s="5">
        <f t="shared" si="24"/>
        <v>3156996821327.4814</v>
      </c>
      <c r="P89">
        <v>2016</v>
      </c>
      <c r="Q89" s="4">
        <v>1419.5125601322434</v>
      </c>
      <c r="R89" s="4">
        <v>1283.1705446718447</v>
      </c>
      <c r="S89" s="4">
        <v>1484.3153319697599</v>
      </c>
      <c r="T89" s="4">
        <v>4186.998436773848</v>
      </c>
      <c r="AE89" s="36">
        <v>2016</v>
      </c>
      <c r="AF89" s="47">
        <f t="shared" ref="AF89:AF120" si="25">Q89/T89</f>
        <v>0.3390286816600776</v>
      </c>
      <c r="AG89" s="47">
        <f t="shared" ref="AG89:AG120" si="26">R89/T89</f>
        <v>0.30646549408806301</v>
      </c>
      <c r="AH89" s="47">
        <f t="shared" ref="AH89:AH120" si="27">S89/T89</f>
        <v>0.35450582425185945</v>
      </c>
      <c r="AJ89" s="40"/>
      <c r="AK89" s="40"/>
      <c r="AL89" s="40"/>
    </row>
    <row r="90" spans="2:38">
      <c r="B90">
        <v>2017</v>
      </c>
      <c r="C90" s="4">
        <v>3835.7729296523785</v>
      </c>
      <c r="D90">
        <f t="shared" si="16"/>
        <v>3835772929652.3784</v>
      </c>
      <c r="E90" s="4">
        <v>4233.3669798306355</v>
      </c>
      <c r="F90" s="5">
        <f t="shared" si="17"/>
        <v>4233366979830.6357</v>
      </c>
      <c r="G90" s="4">
        <f t="shared" si="23"/>
        <v>3191.9587027922994</v>
      </c>
      <c r="H90" s="5">
        <f t="shared" si="18"/>
        <v>3191958702792.2993</v>
      </c>
      <c r="I90" s="5">
        <f t="shared" si="24"/>
        <v>3191958702792.2993</v>
      </c>
      <c r="P90">
        <v>2017</v>
      </c>
      <c r="Q90" s="4">
        <v>1322.9904883739293</v>
      </c>
      <c r="R90" s="4">
        <v>1286.1704524439056</v>
      </c>
      <c r="S90" s="4">
        <v>1624.2060390128011</v>
      </c>
      <c r="T90" s="4">
        <v>4233.3669798306355</v>
      </c>
      <c r="AE90">
        <v>2017</v>
      </c>
      <c r="AF90" s="39">
        <f t="shared" si="25"/>
        <v>0.31251495433236887</v>
      </c>
      <c r="AG90" s="39">
        <f t="shared" si="26"/>
        <v>0.30381737717795526</v>
      </c>
      <c r="AH90" s="39">
        <f t="shared" si="27"/>
        <v>0.38366766848967598</v>
      </c>
    </row>
    <row r="91" spans="2:38">
      <c r="B91">
        <v>2018</v>
      </c>
      <c r="C91" s="4">
        <v>3780.3795918419396</v>
      </c>
      <c r="D91">
        <f t="shared" si="16"/>
        <v>3780379591841.9395</v>
      </c>
      <c r="E91" s="4">
        <v>4249.4181737909576</v>
      </c>
      <c r="F91" s="5">
        <f t="shared" si="17"/>
        <v>4249418173790.9575</v>
      </c>
      <c r="G91" s="4">
        <f t="shared" si="23"/>
        <v>3204.061303038382</v>
      </c>
      <c r="H91" s="5">
        <f t="shared" si="18"/>
        <v>3204061303038.3818</v>
      </c>
      <c r="I91" s="5">
        <f t="shared" si="24"/>
        <v>3204061303038.3818</v>
      </c>
      <c r="P91">
        <v>2018</v>
      </c>
      <c r="Q91" s="4">
        <v>1229.0320429795875</v>
      </c>
      <c r="R91" s="4">
        <v>1274.5974139874202</v>
      </c>
      <c r="S91" s="4">
        <v>1745.7887168239499</v>
      </c>
      <c r="T91" s="4">
        <v>4249.4181737909576</v>
      </c>
      <c r="AE91">
        <v>2018</v>
      </c>
      <c r="AF91" s="39">
        <f t="shared" si="25"/>
        <v>0.28922360490663435</v>
      </c>
      <c r="AG91" s="39">
        <f t="shared" si="26"/>
        <v>0.29994633661820491</v>
      </c>
      <c r="AH91" s="39">
        <f t="shared" si="27"/>
        <v>0.41083005847516074</v>
      </c>
    </row>
    <row r="92" spans="2:38">
      <c r="B92">
        <v>2019</v>
      </c>
      <c r="C92" s="4">
        <v>3663.1811681875579</v>
      </c>
      <c r="D92">
        <f t="shared" si="16"/>
        <v>3663181168187.5581</v>
      </c>
      <c r="E92" s="4">
        <v>4220.2267989572138</v>
      </c>
      <c r="F92" s="5">
        <f t="shared" si="17"/>
        <v>4220226798957.2139</v>
      </c>
      <c r="G92" s="4">
        <f t="shared" si="23"/>
        <v>3182.0510064137393</v>
      </c>
      <c r="H92" s="5">
        <f t="shared" si="18"/>
        <v>3182051006413.7393</v>
      </c>
      <c r="I92" s="5">
        <f t="shared" si="24"/>
        <v>3182051006413.7393</v>
      </c>
      <c r="P92">
        <v>2019</v>
      </c>
      <c r="Q92" s="4">
        <v>1143.7429956262142</v>
      </c>
      <c r="R92" s="4">
        <v>1249.6760146915892</v>
      </c>
      <c r="S92" s="4">
        <v>1826.8077886394105</v>
      </c>
      <c r="T92" s="4">
        <v>4220.2267989572138</v>
      </c>
      <c r="AE92">
        <v>2019</v>
      </c>
      <c r="AF92" s="39">
        <f t="shared" si="25"/>
        <v>0.271014580521792</v>
      </c>
      <c r="AG92" s="39">
        <f t="shared" si="26"/>
        <v>0.29611584263679258</v>
      </c>
      <c r="AH92" s="39">
        <f t="shared" si="27"/>
        <v>0.43286957684141547</v>
      </c>
    </row>
    <row r="93" spans="2:38">
      <c r="B93">
        <v>2020</v>
      </c>
      <c r="C93" s="4">
        <v>3477.1475767597699</v>
      </c>
      <c r="D93">
        <f t="shared" si="16"/>
        <v>3477147576759.77</v>
      </c>
      <c r="E93" s="4">
        <v>4130.8407371799267</v>
      </c>
      <c r="F93" s="5">
        <f t="shared" si="17"/>
        <v>4130840737179.9268</v>
      </c>
      <c r="G93" s="4">
        <f t="shared" si="23"/>
        <v>3114.6539158336645</v>
      </c>
      <c r="H93" s="5">
        <f t="shared" si="18"/>
        <v>3114653915833.6646</v>
      </c>
      <c r="I93" s="5">
        <f t="shared" si="24"/>
        <v>3114653915833.6646</v>
      </c>
      <c r="P93">
        <v>2020</v>
      </c>
      <c r="Q93" s="4">
        <v>1070.7174192929463</v>
      </c>
      <c r="R93" s="4">
        <v>1214.481336409116</v>
      </c>
      <c r="S93" s="4">
        <v>1845.6419814778644</v>
      </c>
      <c r="T93" s="4">
        <v>4130.8407371799267</v>
      </c>
      <c r="AE93">
        <v>2020</v>
      </c>
      <c r="AF93" s="39">
        <f t="shared" si="25"/>
        <v>0.25920084733741433</v>
      </c>
      <c r="AG93" s="39">
        <f t="shared" si="26"/>
        <v>0.29400342779572453</v>
      </c>
      <c r="AH93" s="39">
        <f t="shared" si="27"/>
        <v>0.44679572486686114</v>
      </c>
    </row>
    <row r="94" spans="2:38">
      <c r="B94">
        <v>2021</v>
      </c>
      <c r="C94" s="4">
        <v>3233.7025116089553</v>
      </c>
      <c r="D94">
        <f t="shared" si="16"/>
        <v>3233702511608.9551</v>
      </c>
      <c r="E94" s="4">
        <v>3974.7925704532117</v>
      </c>
      <c r="F94" s="5">
        <f t="shared" si="17"/>
        <v>3974792570453.2119</v>
      </c>
      <c r="G94" s="4">
        <f t="shared" si="23"/>
        <v>2996.9935981217218</v>
      </c>
      <c r="H94" s="5">
        <f t="shared" si="18"/>
        <v>2996993598121.7217</v>
      </c>
      <c r="I94" s="5">
        <f t="shared" si="24"/>
        <v>2996993598121.7217</v>
      </c>
      <c r="P94">
        <v>2021</v>
      </c>
      <c r="Q94" s="4">
        <v>1011.0528849761947</v>
      </c>
      <c r="R94" s="4">
        <v>1173.0562557972328</v>
      </c>
      <c r="S94" s="4">
        <v>1790.683429679784</v>
      </c>
      <c r="T94" s="4">
        <v>3974.7925704532117</v>
      </c>
      <c r="AE94">
        <v>2021</v>
      </c>
      <c r="AF94" s="39">
        <f t="shared" si="25"/>
        <v>0.25436620076526734</v>
      </c>
      <c r="AG94" s="39">
        <f t="shared" si="26"/>
        <v>0.2951238926320825</v>
      </c>
      <c r="AH94" s="39">
        <f t="shared" si="27"/>
        <v>0.45050990660265011</v>
      </c>
    </row>
    <row r="95" spans="2:38">
      <c r="B95">
        <v>2022</v>
      </c>
      <c r="C95" s="4">
        <v>2962.385691705631</v>
      </c>
      <c r="D95">
        <f t="shared" si="16"/>
        <v>2962385691705.6309</v>
      </c>
      <c r="E95" s="4">
        <v>3764.174552055556</v>
      </c>
      <c r="F95" s="5">
        <f t="shared" si="17"/>
        <v>3764174552055.5562</v>
      </c>
      <c r="G95" s="4">
        <f t="shared" si="23"/>
        <v>2838.1876122498893</v>
      </c>
      <c r="H95" s="5">
        <f t="shared" si="18"/>
        <v>2838187612249.8892</v>
      </c>
      <c r="I95" s="5">
        <f t="shared" si="24"/>
        <v>2838187612249.8892</v>
      </c>
      <c r="P95">
        <v>2022</v>
      </c>
      <c r="Q95" s="4">
        <v>964.31670575969827</v>
      </c>
      <c r="R95" s="4">
        <v>1130.0870147946353</v>
      </c>
      <c r="S95" s="4">
        <v>1669.7708315012223</v>
      </c>
      <c r="T95" s="4">
        <v>3764.174552055556</v>
      </c>
      <c r="AE95">
        <v>2022</v>
      </c>
      <c r="AF95" s="39">
        <f t="shared" si="25"/>
        <v>0.25618278122439891</v>
      </c>
      <c r="AG95" s="39">
        <f t="shared" si="26"/>
        <v>0.3002217349823782</v>
      </c>
      <c r="AH95" s="39">
        <f t="shared" si="27"/>
        <v>0.44359548379322289</v>
      </c>
    </row>
    <row r="96" spans="2:38">
      <c r="B96">
        <v>2023</v>
      </c>
      <c r="C96" s="4">
        <v>2701.6223466067845</v>
      </c>
      <c r="D96">
        <f t="shared" si="16"/>
        <v>2701622346606.7847</v>
      </c>
      <c r="E96" s="4">
        <v>3528.9778776679468</v>
      </c>
      <c r="F96" s="5">
        <f t="shared" si="17"/>
        <v>3528977877667.9468</v>
      </c>
      <c r="G96" s="4">
        <f>E96*$J$13</f>
        <v>2660.8493197616317</v>
      </c>
      <c r="H96" s="5">
        <f>G96*$J$4</f>
        <v>2660849319761.6318</v>
      </c>
      <c r="I96" s="5">
        <f t="shared" si="24"/>
        <v>2660849319761.6318</v>
      </c>
      <c r="P96">
        <v>2023</v>
      </c>
      <c r="Q96" s="4">
        <v>928.78275554382583</v>
      </c>
      <c r="R96" s="4">
        <v>1089.8038737915665</v>
      </c>
      <c r="S96" s="4">
        <v>1510.3912483325541</v>
      </c>
      <c r="T96" s="4">
        <v>3528.9778776679468</v>
      </c>
      <c r="AE96">
        <v>2023</v>
      </c>
      <c r="AF96" s="39">
        <f t="shared" si="25"/>
        <v>0.26318746893295714</v>
      </c>
      <c r="AG96" s="39">
        <f t="shared" si="26"/>
        <v>0.30881572839774818</v>
      </c>
      <c r="AH96" s="39">
        <f t="shared" si="27"/>
        <v>0.42799680266929457</v>
      </c>
    </row>
    <row r="97" spans="2:34">
      <c r="B97">
        <v>2024</v>
      </c>
      <c r="C97" s="4">
        <v>2482.5440931735093</v>
      </c>
      <c r="D97">
        <f t="shared" si="16"/>
        <v>2482544093173.5093</v>
      </c>
      <c r="E97" s="4">
        <v>3308.1346958790737</v>
      </c>
      <c r="F97" s="5">
        <f t="shared" si="17"/>
        <v>3308134695879.0737</v>
      </c>
      <c r="G97" s="4">
        <f t="shared" si="23"/>
        <v>2494.3335606928217</v>
      </c>
      <c r="H97" s="5">
        <f t="shared" si="18"/>
        <v>2494333560692.8218</v>
      </c>
      <c r="I97" s="5">
        <f>E97*($J$11+K17)*$J$4</f>
        <v>1343102686526.9041</v>
      </c>
      <c r="P97">
        <v>2024</v>
      </c>
      <c r="Q97" s="4">
        <v>902.82171896819921</v>
      </c>
      <c r="R97" s="4">
        <v>1055.9469527813835</v>
      </c>
      <c r="S97" s="4">
        <v>1349.3660241294911</v>
      </c>
      <c r="T97" s="4">
        <v>3308.1346958790737</v>
      </c>
      <c r="AE97">
        <v>2024</v>
      </c>
      <c r="AF97" s="39">
        <f t="shared" si="25"/>
        <v>0.27290960071633102</v>
      </c>
      <c r="AG97" s="39">
        <f t="shared" si="26"/>
        <v>0.31919708532327029</v>
      </c>
      <c r="AH97" s="39">
        <f t="shared" si="27"/>
        <v>0.40789331396039868</v>
      </c>
    </row>
    <row r="98" spans="2:34">
      <c r="B98">
        <v>2025</v>
      </c>
      <c r="C98" s="4">
        <v>2243.7435703476567</v>
      </c>
      <c r="D98">
        <f t="shared" si="16"/>
        <v>2243743570347.6567</v>
      </c>
      <c r="E98" s="4">
        <v>3132.5981745543013</v>
      </c>
      <c r="F98" s="5">
        <f t="shared" si="17"/>
        <v>3132598174554.3013</v>
      </c>
      <c r="G98" s="4">
        <f t="shared" si="23"/>
        <v>2361.9790236139434</v>
      </c>
      <c r="H98" s="5">
        <f t="shared" si="18"/>
        <v>2361979023613.9434</v>
      </c>
      <c r="I98" s="5">
        <f t="shared" ref="I98:I161" si="28">E98*($J$11+K18)*$J$4</f>
        <v>1271834858869.0464</v>
      </c>
      <c r="P98">
        <v>2025</v>
      </c>
      <c r="Q98" s="4">
        <v>884.82922311483219</v>
      </c>
      <c r="R98" s="4">
        <v>1030.7826878204651</v>
      </c>
      <c r="S98" s="4">
        <v>1216.9862636190039</v>
      </c>
      <c r="T98" s="4">
        <v>3132.5981745543013</v>
      </c>
      <c r="AE98">
        <v>2025</v>
      </c>
      <c r="AF98" s="39">
        <f t="shared" si="25"/>
        <v>0.28245857713325251</v>
      </c>
      <c r="AG98" s="39">
        <f t="shared" si="26"/>
        <v>0.32905040173788724</v>
      </c>
      <c r="AH98" s="39">
        <f t="shared" si="27"/>
        <v>0.38849102112886019</v>
      </c>
    </row>
    <row r="99" spans="2:34">
      <c r="B99">
        <v>2026</v>
      </c>
      <c r="C99" s="4">
        <v>2162.7591040792513</v>
      </c>
      <c r="D99">
        <f t="shared" si="16"/>
        <v>2162759104079.2512</v>
      </c>
      <c r="E99" s="4">
        <v>2937.9343108994035</v>
      </c>
      <c r="F99" s="5">
        <f t="shared" si="17"/>
        <v>2937934310899.4033</v>
      </c>
      <c r="G99" s="4">
        <f t="shared" si="23"/>
        <v>2215.2024704181504</v>
      </c>
      <c r="H99" s="5">
        <f t="shared" si="18"/>
        <v>2215202470418.1504</v>
      </c>
      <c r="I99" s="5">
        <f t="shared" si="28"/>
        <v>1192801330225.158</v>
      </c>
      <c r="P99">
        <v>2026</v>
      </c>
      <c r="Q99" s="4">
        <v>831.16068595449281</v>
      </c>
      <c r="R99" s="4">
        <v>979.08747311393518</v>
      </c>
      <c r="S99" s="4">
        <v>1127.6861518309759</v>
      </c>
      <c r="T99" s="4">
        <v>2937.9343108994035</v>
      </c>
      <c r="AE99">
        <v>2026</v>
      </c>
      <c r="AF99" s="39">
        <f t="shared" si="25"/>
        <v>0.28290649075133534</v>
      </c>
      <c r="AG99" s="39">
        <f t="shared" si="26"/>
        <v>0.3332571015906079</v>
      </c>
      <c r="AH99" s="39">
        <f t="shared" si="27"/>
        <v>0.38383640765805688</v>
      </c>
    </row>
    <row r="100" spans="2:34">
      <c r="B100">
        <v>2027</v>
      </c>
      <c r="C100" s="4">
        <v>2127.8275212788117</v>
      </c>
      <c r="D100">
        <f t="shared" ref="D100:D131" si="29">C100*$J$4</f>
        <v>2127827521278.8118</v>
      </c>
      <c r="E100" s="4">
        <v>2907.1871642174228</v>
      </c>
      <c r="F100" s="5">
        <f t="shared" ref="F100:F131" si="30">E100*$J$4</f>
        <v>2907187164217.4229</v>
      </c>
      <c r="G100" s="4">
        <f t="shared" si="23"/>
        <v>2192.019121819937</v>
      </c>
      <c r="H100" s="5">
        <f t="shared" ref="H100:H131" si="31">G100*$J$4</f>
        <v>2192019121819.937</v>
      </c>
      <c r="I100" s="5">
        <f t="shared" si="28"/>
        <v>1180317988672.2737</v>
      </c>
      <c r="P100">
        <v>2027</v>
      </c>
      <c r="Q100" s="4">
        <v>841.93102831479246</v>
      </c>
      <c r="R100" s="4">
        <v>983.89761615422435</v>
      </c>
      <c r="S100" s="4">
        <v>1081.3585197484063</v>
      </c>
      <c r="T100" s="4">
        <v>2907.1871642174228</v>
      </c>
      <c r="AE100">
        <v>2027</v>
      </c>
      <c r="AF100" s="39">
        <f t="shared" si="25"/>
        <v>0.28960331095209324</v>
      </c>
      <c r="AG100" s="39">
        <f t="shared" si="26"/>
        <v>0.33843628241908424</v>
      </c>
      <c r="AH100" s="39">
        <f t="shared" si="27"/>
        <v>0.37196040662882257</v>
      </c>
    </row>
    <row r="101" spans="2:34">
      <c r="B101">
        <v>2028</v>
      </c>
      <c r="C101" s="4">
        <v>2125.9179070124183</v>
      </c>
      <c r="D101">
        <f t="shared" si="29"/>
        <v>2125917907012.4182</v>
      </c>
      <c r="E101" s="4">
        <v>2927.412928308077</v>
      </c>
      <c r="F101" s="5">
        <f t="shared" si="30"/>
        <v>2927412928308.0771</v>
      </c>
      <c r="G101" s="4">
        <f t="shared" si="23"/>
        <v>2207.2693479442901</v>
      </c>
      <c r="H101" s="5">
        <f t="shared" si="31"/>
        <v>2207269347944.29</v>
      </c>
      <c r="I101" s="5">
        <f t="shared" si="28"/>
        <v>1188529648893.0793</v>
      </c>
      <c r="P101">
        <v>2028</v>
      </c>
      <c r="Q101" s="4">
        <v>860.05549700331096</v>
      </c>
      <c r="R101" s="4">
        <v>997.57318001641909</v>
      </c>
      <c r="S101" s="4">
        <v>1069.7842512883469</v>
      </c>
      <c r="T101" s="4">
        <v>2927.412928308077</v>
      </c>
      <c r="AE101">
        <v>2028</v>
      </c>
      <c r="AF101" s="39">
        <f t="shared" si="25"/>
        <v>0.29379370729922522</v>
      </c>
      <c r="AG101" s="39">
        <f t="shared" si="26"/>
        <v>0.34076954787276115</v>
      </c>
      <c r="AH101" s="39">
        <f t="shared" si="27"/>
        <v>0.36543674482801364</v>
      </c>
    </row>
    <row r="102" spans="2:34">
      <c r="B102">
        <v>2029</v>
      </c>
      <c r="C102" s="4">
        <v>2145.626188814656</v>
      </c>
      <c r="D102">
        <f t="shared" si="29"/>
        <v>2145626188814.656</v>
      </c>
      <c r="E102" s="4">
        <v>2985.8958930072122</v>
      </c>
      <c r="F102" s="5">
        <f t="shared" si="30"/>
        <v>2985895893007.2124</v>
      </c>
      <c r="G102" s="4">
        <f t="shared" si="23"/>
        <v>2251.3655033274381</v>
      </c>
      <c r="H102" s="5">
        <f t="shared" si="31"/>
        <v>2251365503327.438</v>
      </c>
      <c r="I102" s="5">
        <f t="shared" si="28"/>
        <v>1212273732560.9282</v>
      </c>
      <c r="P102">
        <v>2029</v>
      </c>
      <c r="Q102" s="4">
        <v>884.691437119086</v>
      </c>
      <c r="R102" s="4">
        <v>1019.289389673819</v>
      </c>
      <c r="S102" s="4">
        <v>1081.9150662143072</v>
      </c>
      <c r="T102" s="4">
        <v>2985.8958930072122</v>
      </c>
      <c r="AE102">
        <v>2029</v>
      </c>
      <c r="AF102" s="39">
        <f t="shared" si="25"/>
        <v>0.29629011486669038</v>
      </c>
      <c r="AG102" s="39">
        <f t="shared" si="26"/>
        <v>0.34136802694994595</v>
      </c>
      <c r="AH102" s="39">
        <f t="shared" si="27"/>
        <v>0.36234185818336362</v>
      </c>
    </row>
    <row r="103" spans="2:34">
      <c r="B103">
        <v>2030</v>
      </c>
      <c r="C103" s="4">
        <v>2142.4714118090305</v>
      </c>
      <c r="D103">
        <f t="shared" si="29"/>
        <v>2142471411809.0305</v>
      </c>
      <c r="E103" s="4">
        <v>3071.4431361045408</v>
      </c>
      <c r="F103" s="5">
        <f t="shared" si="30"/>
        <v>3071443136104.541</v>
      </c>
      <c r="G103" s="4">
        <f t="shared" si="23"/>
        <v>2315.8681246228239</v>
      </c>
      <c r="H103" s="5">
        <f t="shared" si="31"/>
        <v>2315868124622.8237</v>
      </c>
      <c r="I103" s="5">
        <f t="shared" si="28"/>
        <v>1247005913258.4436</v>
      </c>
      <c r="P103">
        <v>2030</v>
      </c>
      <c r="Q103" s="4">
        <v>915.0704637975449</v>
      </c>
      <c r="R103" s="4">
        <v>1047.9819072004918</v>
      </c>
      <c r="S103" s="4">
        <v>1108.3907651065044</v>
      </c>
      <c r="T103" s="4">
        <v>3071.4431361045408</v>
      </c>
      <c r="AE103">
        <v>2030</v>
      </c>
      <c r="AF103" s="39">
        <f t="shared" si="25"/>
        <v>0.2979285056724551</v>
      </c>
      <c r="AG103" s="39">
        <f t="shared" si="26"/>
        <v>0.34120179367202269</v>
      </c>
      <c r="AH103" s="39">
        <f t="shared" si="27"/>
        <v>0.36086970065552237</v>
      </c>
    </row>
    <row r="104" spans="2:34">
      <c r="B104">
        <v>2031</v>
      </c>
      <c r="C104" s="4">
        <v>2203.0542900445967</v>
      </c>
      <c r="D104">
        <f t="shared" si="29"/>
        <v>2203054290044.5967</v>
      </c>
      <c r="E104" s="4">
        <v>3140.661597921724</v>
      </c>
      <c r="F104" s="5">
        <f t="shared" si="30"/>
        <v>3140661597921.7241</v>
      </c>
      <c r="G104" s="4">
        <f t="shared" si="23"/>
        <v>2368.05884483298</v>
      </c>
      <c r="H104" s="5">
        <f t="shared" si="31"/>
        <v>2368058844832.98</v>
      </c>
      <c r="I104" s="5">
        <f t="shared" si="28"/>
        <v>1275108608756.22</v>
      </c>
      <c r="P104">
        <v>2031</v>
      </c>
      <c r="Q104" s="4">
        <v>929.18130397874916</v>
      </c>
      <c r="R104" s="4">
        <v>1070.1101157787502</v>
      </c>
      <c r="S104" s="4">
        <v>1141.3701781642249</v>
      </c>
      <c r="T104" s="4">
        <v>3140.661597921724</v>
      </c>
      <c r="AE104">
        <v>2031</v>
      </c>
      <c r="AF104" s="39">
        <f t="shared" si="25"/>
        <v>0.29585527603280087</v>
      </c>
      <c r="AG104" s="39">
        <f t="shared" si="26"/>
        <v>0.34072760863089363</v>
      </c>
      <c r="AH104" s="39">
        <f t="shared" si="27"/>
        <v>0.36341711533630555</v>
      </c>
    </row>
    <row r="105" spans="2:34">
      <c r="B105">
        <v>2032</v>
      </c>
      <c r="C105" s="4">
        <v>2265.8730454965516</v>
      </c>
      <c r="D105">
        <f t="shared" si="29"/>
        <v>2265873045496.5518</v>
      </c>
      <c r="E105" s="4">
        <v>3271.2168918662546</v>
      </c>
      <c r="F105" s="5">
        <f t="shared" si="30"/>
        <v>3271216891866.2544</v>
      </c>
      <c r="G105" s="4">
        <f t="shared" si="23"/>
        <v>2466.4975364671559</v>
      </c>
      <c r="H105" s="5">
        <f t="shared" si="31"/>
        <v>2466497536467.1558</v>
      </c>
      <c r="I105" s="5">
        <f t="shared" si="28"/>
        <v>1328114058097.6995</v>
      </c>
      <c r="P105">
        <v>2032</v>
      </c>
      <c r="Q105" s="4">
        <v>974.47353487692453</v>
      </c>
      <c r="R105" s="4">
        <v>1114.5931427080443</v>
      </c>
      <c r="S105" s="4">
        <v>1182.150214281286</v>
      </c>
      <c r="T105" s="4">
        <v>3271.2168918662546</v>
      </c>
      <c r="AE105">
        <v>2032</v>
      </c>
      <c r="AF105" s="39">
        <f t="shared" si="25"/>
        <v>0.2978932816408208</v>
      </c>
      <c r="AG105" s="39">
        <f t="shared" si="26"/>
        <v>0.34072737441514012</v>
      </c>
      <c r="AH105" s="39">
        <f t="shared" si="27"/>
        <v>0.36137934394403914</v>
      </c>
    </row>
    <row r="106" spans="2:34">
      <c r="B106">
        <v>2033</v>
      </c>
      <c r="C106" s="4">
        <v>2328.8467475419352</v>
      </c>
      <c r="D106">
        <f t="shared" si="29"/>
        <v>2328846747541.9351</v>
      </c>
      <c r="E106" s="4">
        <v>3408.4141856678998</v>
      </c>
      <c r="F106" s="5">
        <f t="shared" si="30"/>
        <v>3408414185667.8999</v>
      </c>
      <c r="G106" s="4">
        <f t="shared" si="23"/>
        <v>2569.9442959935964</v>
      </c>
      <c r="H106" s="5">
        <f t="shared" si="31"/>
        <v>2569944295993.5962</v>
      </c>
      <c r="I106" s="5">
        <f t="shared" si="28"/>
        <v>1383816159381.1675</v>
      </c>
      <c r="P106">
        <v>2033</v>
      </c>
      <c r="Q106" s="4">
        <v>1022.1883670214135</v>
      </c>
      <c r="R106" s="4">
        <v>1160.8982839649452</v>
      </c>
      <c r="S106" s="4">
        <v>1225.3275346815412</v>
      </c>
      <c r="T106" s="4">
        <v>3408.4141856678998</v>
      </c>
      <c r="AE106">
        <v>2033</v>
      </c>
      <c r="AF106" s="39">
        <f t="shared" si="25"/>
        <v>0.29990145309206584</v>
      </c>
      <c r="AG106" s="39">
        <f t="shared" si="26"/>
        <v>0.34059777384052287</v>
      </c>
      <c r="AH106" s="39">
        <f t="shared" si="27"/>
        <v>0.35950077306741135</v>
      </c>
    </row>
    <row r="107" spans="2:34">
      <c r="B107">
        <v>2034</v>
      </c>
      <c r="C107" s="4">
        <v>2392.0225648801497</v>
      </c>
      <c r="D107">
        <f t="shared" si="29"/>
        <v>2392022564880.1499</v>
      </c>
      <c r="E107" s="4">
        <v>3552.0726761875499</v>
      </c>
      <c r="F107" s="5">
        <f t="shared" si="30"/>
        <v>3552072676187.5498</v>
      </c>
      <c r="G107" s="4">
        <f t="shared" si="23"/>
        <v>2678.2627978454125</v>
      </c>
      <c r="H107" s="5">
        <f t="shared" si="31"/>
        <v>2678262797845.4126</v>
      </c>
      <c r="I107" s="5">
        <f t="shared" si="28"/>
        <v>1442141506532.1453</v>
      </c>
      <c r="P107">
        <v>2034</v>
      </c>
      <c r="Q107" s="4">
        <v>1072.1044903675127</v>
      </c>
      <c r="R107" s="4">
        <v>1208.807798549296</v>
      </c>
      <c r="S107" s="4">
        <v>1271.1603872707415</v>
      </c>
      <c r="T107" s="4">
        <v>3552.0726761875499</v>
      </c>
      <c r="AE107">
        <v>2034</v>
      </c>
      <c r="AF107" s="39">
        <f t="shared" si="25"/>
        <v>0.30182504360192469</v>
      </c>
      <c r="AG107" s="39">
        <f t="shared" si="26"/>
        <v>0.34031054788178289</v>
      </c>
      <c r="AH107" s="39">
        <f t="shared" si="27"/>
        <v>0.35786440851629242</v>
      </c>
    </row>
    <row r="108" spans="2:34">
      <c r="B108">
        <v>2035</v>
      </c>
      <c r="C108" s="4">
        <v>2455.6128661134185</v>
      </c>
      <c r="D108">
        <f t="shared" si="29"/>
        <v>2455612866113.4185</v>
      </c>
      <c r="E108" s="4">
        <v>3701.738964819092</v>
      </c>
      <c r="F108" s="5">
        <f t="shared" si="30"/>
        <v>3701738964819.0918</v>
      </c>
      <c r="G108" s="4">
        <f t="shared" si="23"/>
        <v>2791.1111794735953</v>
      </c>
      <c r="H108" s="5">
        <f t="shared" si="31"/>
        <v>2791111179473.5952</v>
      </c>
      <c r="I108" s="5">
        <f t="shared" si="28"/>
        <v>1502906019716.5513</v>
      </c>
      <c r="P108">
        <v>2035</v>
      </c>
      <c r="Q108" s="4">
        <v>1123.8964233168683</v>
      </c>
      <c r="R108" s="4">
        <v>1258.000047304844</v>
      </c>
      <c r="S108" s="4">
        <v>1319.8424941973797</v>
      </c>
      <c r="T108" s="4">
        <v>3701.738964819092</v>
      </c>
      <c r="AE108">
        <v>2035</v>
      </c>
      <c r="AF108" s="39">
        <f t="shared" si="25"/>
        <v>0.3036130948179363</v>
      </c>
      <c r="AG108" s="39">
        <f t="shared" si="26"/>
        <v>0.33984029107960717</v>
      </c>
      <c r="AH108" s="39">
        <f t="shared" si="27"/>
        <v>0.35654661410245653</v>
      </c>
    </row>
    <row r="109" spans="2:34">
      <c r="B109">
        <v>2036</v>
      </c>
      <c r="C109" s="4">
        <v>2519.5515648326086</v>
      </c>
      <c r="D109">
        <f t="shared" si="29"/>
        <v>2519551564832.6084</v>
      </c>
      <c r="E109" s="4">
        <v>3856.7418904403557</v>
      </c>
      <c r="F109" s="5">
        <f t="shared" si="30"/>
        <v>3856741890440.356</v>
      </c>
      <c r="G109" s="4">
        <f t="shared" si="23"/>
        <v>2907.9833853920281</v>
      </c>
      <c r="H109" s="5">
        <f t="shared" si="31"/>
        <v>2907983385392.0283</v>
      </c>
      <c r="I109" s="5">
        <f t="shared" si="28"/>
        <v>1565837207518.7844</v>
      </c>
      <c r="P109">
        <v>2036</v>
      </c>
      <c r="Q109" s="4">
        <v>1177.1374920412979</v>
      </c>
      <c r="R109" s="4">
        <v>1308.0737337073379</v>
      </c>
      <c r="S109" s="4">
        <v>1371.5306646917197</v>
      </c>
      <c r="T109" s="4">
        <v>3856.7418904403557</v>
      </c>
      <c r="AE109">
        <v>2036</v>
      </c>
      <c r="AF109" s="39">
        <f t="shared" si="25"/>
        <v>0.3052155227081827</v>
      </c>
      <c r="AG109" s="39">
        <f t="shared" si="26"/>
        <v>0.33916548497830235</v>
      </c>
      <c r="AH109" s="39">
        <f t="shared" si="27"/>
        <v>0.3556189923135149</v>
      </c>
    </row>
    <row r="110" spans="2:34">
      <c r="B110">
        <v>2037</v>
      </c>
      <c r="C110" s="4">
        <v>2583.8667214789962</v>
      </c>
      <c r="D110">
        <f t="shared" si="29"/>
        <v>2583866721478.9961</v>
      </c>
      <c r="E110" s="4">
        <v>4015.9185917513278</v>
      </c>
      <c r="F110" s="5">
        <f t="shared" si="30"/>
        <v>4015918591751.3276</v>
      </c>
      <c r="G110" s="4">
        <f t="shared" si="23"/>
        <v>3028.002618180501</v>
      </c>
      <c r="H110" s="5">
        <f t="shared" si="31"/>
        <v>3028002618180.501</v>
      </c>
      <c r="I110" s="5">
        <f t="shared" si="28"/>
        <v>1630462948251.0393</v>
      </c>
      <c r="P110">
        <v>2037</v>
      </c>
      <c r="Q110" s="4">
        <v>1231.2051612072739</v>
      </c>
      <c r="R110" s="4">
        <v>1358.4873378679713</v>
      </c>
      <c r="S110" s="4">
        <v>1426.226092676083</v>
      </c>
      <c r="T110" s="4">
        <v>4015.9185917513278</v>
      </c>
      <c r="AE110">
        <v>2037</v>
      </c>
      <c r="AF110" s="39">
        <f t="shared" si="25"/>
        <v>0.30658120504139746</v>
      </c>
      <c r="AG110" s="39">
        <f t="shared" si="26"/>
        <v>0.33827561660694416</v>
      </c>
      <c r="AH110" s="39">
        <f t="shared" si="27"/>
        <v>0.35514317835165848</v>
      </c>
    </row>
    <row r="111" spans="2:34">
      <c r="B111">
        <v>2038</v>
      </c>
      <c r="C111" s="4">
        <v>2648.6262985798103</v>
      </c>
      <c r="D111">
        <f t="shared" si="29"/>
        <v>2648626298579.8101</v>
      </c>
      <c r="E111" s="4">
        <v>4177.3559759907021</v>
      </c>
      <c r="F111" s="5">
        <f t="shared" si="30"/>
        <v>4177355975990.7021</v>
      </c>
      <c r="G111" s="4">
        <f t="shared" si="23"/>
        <v>3149.7264058969895</v>
      </c>
      <c r="H111" s="5">
        <f t="shared" si="31"/>
        <v>3149726405896.9893</v>
      </c>
      <c r="I111" s="5">
        <f t="shared" si="28"/>
        <v>1696006526252.2251</v>
      </c>
      <c r="P111">
        <v>2038</v>
      </c>
      <c r="Q111" s="4">
        <v>1285.2031993148173</v>
      </c>
      <c r="R111" s="4">
        <v>1408.5049152810759</v>
      </c>
      <c r="S111" s="4">
        <v>1483.6478613948088</v>
      </c>
      <c r="T111" s="4">
        <v>4177.3559759907021</v>
      </c>
      <c r="AE111">
        <v>2038</v>
      </c>
      <c r="AF111" s="39">
        <f t="shared" si="25"/>
        <v>0.30765948765235845</v>
      </c>
      <c r="AG111" s="39">
        <f t="shared" si="26"/>
        <v>0.33717617636046321</v>
      </c>
      <c r="AH111" s="39">
        <f t="shared" si="27"/>
        <v>0.35516433598717828</v>
      </c>
    </row>
    <row r="112" spans="2:34">
      <c r="B112">
        <v>2039</v>
      </c>
      <c r="C112" s="4">
        <v>2713.8265106038871</v>
      </c>
      <c r="D112">
        <f t="shared" si="29"/>
        <v>2713826510603.8872</v>
      </c>
      <c r="E112" s="4">
        <v>4338.817741314042</v>
      </c>
      <c r="F112" s="5">
        <f t="shared" si="30"/>
        <v>4338817741314.042</v>
      </c>
      <c r="G112" s="4">
        <f t="shared" si="23"/>
        <v>3271.4685769507878</v>
      </c>
      <c r="H112" s="5">
        <f t="shared" si="31"/>
        <v>3271468576950.7876</v>
      </c>
      <c r="I112" s="5">
        <f t="shared" si="28"/>
        <v>1761560002973.5012</v>
      </c>
      <c r="P112">
        <v>2039</v>
      </c>
      <c r="Q112" s="4">
        <v>1338.1454586936429</v>
      </c>
      <c r="R112" s="4">
        <v>1457.338868366521</v>
      </c>
      <c r="S112" s="4">
        <v>1543.3334142538781</v>
      </c>
      <c r="T112" s="4">
        <v>4338.817741314042</v>
      </c>
      <c r="AE112">
        <v>2039</v>
      </c>
      <c r="AF112" s="39">
        <f t="shared" si="25"/>
        <v>0.30841246129144295</v>
      </c>
      <c r="AG112" s="39">
        <f t="shared" si="26"/>
        <v>0.33588386405121395</v>
      </c>
      <c r="AH112" s="39">
        <f t="shared" si="27"/>
        <v>0.35570367465734309</v>
      </c>
    </row>
    <row r="113" spans="2:34">
      <c r="B113">
        <v>2040</v>
      </c>
      <c r="C113" s="4">
        <v>2779.4473085759278</v>
      </c>
      <c r="D113">
        <f t="shared" si="29"/>
        <v>2779447308575.9277</v>
      </c>
      <c r="E113" s="4">
        <v>4497.4642968731951</v>
      </c>
      <c r="F113" s="5">
        <f t="shared" si="30"/>
        <v>4497464296873.1953</v>
      </c>
      <c r="G113" s="4">
        <f t="shared" si="23"/>
        <v>3391.0880798423891</v>
      </c>
      <c r="H113" s="5">
        <f t="shared" si="31"/>
        <v>3391088079842.3892</v>
      </c>
      <c r="I113" s="5">
        <f t="shared" si="28"/>
        <v>1825970504530.5173</v>
      </c>
      <c r="P113">
        <v>2040</v>
      </c>
      <c r="Q113" s="4">
        <v>1388.8794136586857</v>
      </c>
      <c r="R113" s="4">
        <v>1504.0900481450362</v>
      </c>
      <c r="S113" s="4">
        <v>1604.4948350694729</v>
      </c>
      <c r="T113" s="4">
        <v>4497.4642968731951</v>
      </c>
      <c r="AE113">
        <v>2040</v>
      </c>
      <c r="AF113" s="39">
        <f t="shared" si="25"/>
        <v>0.30881388310837432</v>
      </c>
      <c r="AG113" s="39">
        <f t="shared" si="26"/>
        <v>0.33443068112641511</v>
      </c>
      <c r="AH113" s="39">
        <f t="shared" si="27"/>
        <v>0.35675543576521052</v>
      </c>
    </row>
    <row r="114" spans="2:34">
      <c r="B114">
        <v>2041</v>
      </c>
      <c r="C114" s="4">
        <v>2845.4851244071124</v>
      </c>
      <c r="D114">
        <f t="shared" si="29"/>
        <v>2845485124407.1123</v>
      </c>
      <c r="E114" s="4">
        <v>4650.191204204667</v>
      </c>
      <c r="F114" s="5">
        <f t="shared" si="30"/>
        <v>4650191204204.667</v>
      </c>
      <c r="G114" s="4">
        <f t="shared" si="23"/>
        <v>3506.2441679703188</v>
      </c>
      <c r="H114" s="5">
        <f t="shared" si="31"/>
        <v>3506244167970.3188</v>
      </c>
      <c r="I114" s="5">
        <f t="shared" si="28"/>
        <v>1887977628907.095</v>
      </c>
      <c r="P114">
        <v>2041</v>
      </c>
      <c r="Q114" s="4">
        <v>1436.2291430306968</v>
      </c>
      <c r="R114" s="4">
        <v>1547.8719644425121</v>
      </c>
      <c r="S114" s="4">
        <v>1666.0900967314581</v>
      </c>
      <c r="T114" s="4">
        <v>4650.191204204667</v>
      </c>
      <c r="AE114">
        <v>2041</v>
      </c>
      <c r="AF114" s="39">
        <f t="shared" si="25"/>
        <v>0.30885378255674079</v>
      </c>
      <c r="AG114" s="39">
        <f t="shared" si="26"/>
        <v>0.33286200426402646</v>
      </c>
      <c r="AH114" s="39">
        <f t="shared" si="27"/>
        <v>0.35828421317923276</v>
      </c>
    </row>
    <row r="115" spans="2:34">
      <c r="B115">
        <v>2042</v>
      </c>
      <c r="C115" s="4">
        <v>2911.9955716523054</v>
      </c>
      <c r="D115">
        <f t="shared" si="29"/>
        <v>2911995571652.3057</v>
      </c>
      <c r="E115" s="4">
        <v>4793.5902248561524</v>
      </c>
      <c r="F115" s="5">
        <f t="shared" si="30"/>
        <v>4793590224856.1523</v>
      </c>
      <c r="G115" s="4">
        <f t="shared" si="23"/>
        <v>3614.3670295415391</v>
      </c>
      <c r="H115" s="5">
        <f t="shared" si="31"/>
        <v>3614367029541.5391</v>
      </c>
      <c r="I115" s="5">
        <f t="shared" si="28"/>
        <v>1946197631291.5981</v>
      </c>
      <c r="P115">
        <v>2042</v>
      </c>
      <c r="Q115" s="4">
        <v>1479.0127143647355</v>
      </c>
      <c r="R115" s="4">
        <v>1587.8012654668496</v>
      </c>
      <c r="S115" s="4">
        <v>1726.7762450245671</v>
      </c>
      <c r="T115" s="4">
        <v>4793.5902248561524</v>
      </c>
      <c r="AE115">
        <v>2042</v>
      </c>
      <c r="AF115" s="39">
        <f t="shared" si="25"/>
        <v>0.30853966338124328</v>
      </c>
      <c r="AG115" s="39">
        <f t="shared" si="26"/>
        <v>0.33123425052764016</v>
      </c>
      <c r="AH115" s="39">
        <f t="shared" si="27"/>
        <v>0.36022608609111656</v>
      </c>
    </row>
    <row r="116" spans="2:34">
      <c r="B116">
        <v>2043</v>
      </c>
      <c r="C116" s="4">
        <v>2979.0255934601792</v>
      </c>
      <c r="D116">
        <f t="shared" si="29"/>
        <v>2979025593460.1792</v>
      </c>
      <c r="E116" s="4">
        <v>4924.3280336109347</v>
      </c>
      <c r="F116" s="5">
        <f t="shared" si="30"/>
        <v>4924328033610.9346</v>
      </c>
      <c r="G116" s="4">
        <f t="shared" si="23"/>
        <v>3712.9433373426446</v>
      </c>
      <c r="H116" s="5">
        <f t="shared" si="31"/>
        <v>3712943337342.6445</v>
      </c>
      <c r="I116" s="5">
        <f t="shared" si="28"/>
        <v>1999277181646.0398</v>
      </c>
      <c r="P116">
        <v>2043</v>
      </c>
      <c r="Q116" s="4">
        <v>1516.1884731078981</v>
      </c>
      <c r="R116" s="4">
        <v>1623.1167815835104</v>
      </c>
      <c r="S116" s="4">
        <v>1785.0227789195258</v>
      </c>
      <c r="T116" s="4">
        <v>4924.3280336109347</v>
      </c>
      <c r="AE116">
        <v>2043</v>
      </c>
      <c r="AF116" s="39">
        <f t="shared" si="25"/>
        <v>0.30789753703635786</v>
      </c>
      <c r="AG116" s="39">
        <f t="shared" si="26"/>
        <v>0.3296118314021626</v>
      </c>
      <c r="AH116" s="39">
        <f t="shared" si="27"/>
        <v>0.36249063156147943</v>
      </c>
    </row>
    <row r="117" spans="2:34">
      <c r="B117">
        <v>2044</v>
      </c>
      <c r="C117" s="4">
        <v>3046.6320301424594</v>
      </c>
      <c r="D117">
        <f t="shared" si="29"/>
        <v>3046632030142.4595</v>
      </c>
      <c r="E117" s="4">
        <v>5039.3546897375672</v>
      </c>
      <c r="F117" s="5">
        <f t="shared" si="30"/>
        <v>5039354689737.5674</v>
      </c>
      <c r="G117" s="4">
        <f t="shared" si="23"/>
        <v>3799.6734360621258</v>
      </c>
      <c r="H117" s="5">
        <f t="shared" si="31"/>
        <v>3799673436062.126</v>
      </c>
      <c r="I117" s="5">
        <f t="shared" si="28"/>
        <v>2045978004033.4524</v>
      </c>
      <c r="P117">
        <v>2044</v>
      </c>
      <c r="Q117" s="4">
        <v>1546.9278821178932</v>
      </c>
      <c r="R117" s="4">
        <v>1653.2376708647578</v>
      </c>
      <c r="S117" s="4">
        <v>1839.1891367549163</v>
      </c>
      <c r="T117" s="4">
        <v>5039.3546897375672</v>
      </c>
      <c r="AE117">
        <v>2044</v>
      </c>
      <c r="AF117" s="39">
        <f t="shared" si="25"/>
        <v>0.30696943901729051</v>
      </c>
      <c r="AG117" s="39">
        <f t="shared" si="26"/>
        <v>0.32806535214350091</v>
      </c>
      <c r="AH117" s="39">
        <f t="shared" si="27"/>
        <v>0.36496520883920858</v>
      </c>
    </row>
    <row r="118" spans="2:34">
      <c r="B118">
        <v>2045</v>
      </c>
      <c r="C118" s="4">
        <v>3114.8673237674193</v>
      </c>
      <c r="D118">
        <f t="shared" si="29"/>
        <v>3114867323767.4194</v>
      </c>
      <c r="E118" s="4">
        <v>5136.2923099297141</v>
      </c>
      <c r="F118" s="5">
        <f t="shared" si="30"/>
        <v>5136292309929.7139</v>
      </c>
      <c r="G118" s="4">
        <f t="shared" si="23"/>
        <v>3872.7644016870045</v>
      </c>
      <c r="H118" s="5">
        <f t="shared" si="31"/>
        <v>3872764401687.0044</v>
      </c>
      <c r="I118" s="5">
        <f t="shared" si="28"/>
        <v>2085334677831.4639</v>
      </c>
      <c r="P118">
        <v>2045</v>
      </c>
      <c r="Q118" s="4">
        <v>1570.7477563477075</v>
      </c>
      <c r="R118" s="4">
        <v>1677.8571199756625</v>
      </c>
      <c r="S118" s="4">
        <v>1887.687433606344</v>
      </c>
      <c r="T118" s="4">
        <v>5136.2923099297141</v>
      </c>
      <c r="AE118">
        <v>2045</v>
      </c>
      <c r="AF118" s="39">
        <f t="shared" si="25"/>
        <v>0.30581354439486758</v>
      </c>
      <c r="AG118" s="39">
        <f t="shared" si="26"/>
        <v>0.32666698441830361</v>
      </c>
      <c r="AH118" s="39">
        <f t="shared" si="27"/>
        <v>0.36751947118682882</v>
      </c>
    </row>
    <row r="119" spans="2:34">
      <c r="B119">
        <v>2046</v>
      </c>
      <c r="C119" s="4">
        <v>3183.9588560746752</v>
      </c>
      <c r="D119">
        <f t="shared" si="29"/>
        <v>3183958856074.6753</v>
      </c>
      <c r="E119" s="4">
        <v>5213.5570476262965</v>
      </c>
      <c r="F119" s="5">
        <f t="shared" si="30"/>
        <v>5213557047626.2969</v>
      </c>
      <c r="G119" s="4">
        <f t="shared" si="23"/>
        <v>3931.0220139102275</v>
      </c>
      <c r="H119" s="5">
        <f t="shared" si="31"/>
        <v>3931022013910.2275</v>
      </c>
      <c r="I119" s="5">
        <f t="shared" si="28"/>
        <v>2116704161336.2766</v>
      </c>
      <c r="P119">
        <v>2046</v>
      </c>
      <c r="Q119" s="4">
        <v>1587.5313993007885</v>
      </c>
      <c r="R119" s="4">
        <v>1696.9428077141495</v>
      </c>
      <c r="S119" s="4">
        <v>1929.0828406113592</v>
      </c>
      <c r="T119" s="4">
        <v>5213.5570476262965</v>
      </c>
      <c r="AE119">
        <v>2046</v>
      </c>
      <c r="AF119" s="39">
        <f t="shared" si="25"/>
        <v>0.30450062880266798</v>
      </c>
      <c r="AG119" s="39">
        <f t="shared" si="26"/>
        <v>0.32548657130101954</v>
      </c>
      <c r="AH119" s="39">
        <f t="shared" si="27"/>
        <v>0.37001279989631258</v>
      </c>
    </row>
    <row r="120" spans="2:34">
      <c r="B120">
        <v>2047</v>
      </c>
      <c r="C120" s="4">
        <v>3253.7929391247089</v>
      </c>
      <c r="D120">
        <f t="shared" si="29"/>
        <v>3253792939124.709</v>
      </c>
      <c r="E120" s="4">
        <v>5270.1733946024406</v>
      </c>
      <c r="F120" s="5">
        <f t="shared" si="30"/>
        <v>5270173394602.4404</v>
      </c>
      <c r="G120" s="4">
        <f t="shared" si="23"/>
        <v>3973.7107395302401</v>
      </c>
      <c r="H120" s="5">
        <f t="shared" si="31"/>
        <v>3973710739530.2402</v>
      </c>
      <c r="I120" s="5">
        <f t="shared" si="28"/>
        <v>2139690398208.5911</v>
      </c>
      <c r="P120">
        <v>2047</v>
      </c>
      <c r="Q120" s="4">
        <v>1597.4341840036341</v>
      </c>
      <c r="R120" s="4">
        <v>1710.6282851419476</v>
      </c>
      <c r="S120" s="4">
        <v>1962.1109254568591</v>
      </c>
      <c r="T120" s="4">
        <v>5270.1733946024406</v>
      </c>
      <c r="AE120">
        <v>2047</v>
      </c>
      <c r="AF120" s="39">
        <f t="shared" si="25"/>
        <v>0.30310846805148384</v>
      </c>
      <c r="AG120" s="39">
        <f t="shared" si="26"/>
        <v>0.32458671794251093</v>
      </c>
      <c r="AH120" s="39">
        <f t="shared" si="27"/>
        <v>0.37230481400600529</v>
      </c>
    </row>
    <row r="121" spans="2:34">
      <c r="B121">
        <v>2048</v>
      </c>
      <c r="C121" s="4">
        <v>3324.3731320539205</v>
      </c>
      <c r="D121">
        <f t="shared" si="29"/>
        <v>3324373132053.9204</v>
      </c>
      <c r="E121" s="4">
        <v>5305.7877651737908</v>
      </c>
      <c r="F121" s="5">
        <f t="shared" si="30"/>
        <v>5305787765173.791</v>
      </c>
      <c r="G121" s="4">
        <f t="shared" si="23"/>
        <v>4000.5639749410384</v>
      </c>
      <c r="H121" s="5">
        <f t="shared" si="31"/>
        <v>4000563974941.0386</v>
      </c>
      <c r="I121" s="5">
        <f t="shared" si="28"/>
        <v>2154149832660.5593</v>
      </c>
      <c r="P121">
        <v>2048</v>
      </c>
      <c r="Q121" s="4">
        <v>1600.8456536791634</v>
      </c>
      <c r="R121" s="4">
        <v>1719.1716634837474</v>
      </c>
      <c r="S121" s="4">
        <v>1985.7704480108798</v>
      </c>
      <c r="T121" s="4">
        <v>5305.7877651737908</v>
      </c>
      <c r="AE121">
        <v>2048</v>
      </c>
      <c r="AF121" s="39">
        <f t="shared" ref="AF121:AF152" si="32">Q121/T121</f>
        <v>0.30171686553066035</v>
      </c>
      <c r="AG121" s="39">
        <f t="shared" ref="AG121:AG152" si="33">R121/T121</f>
        <v>0.32401817403403732</v>
      </c>
      <c r="AH121" s="39">
        <f t="shared" ref="AH121:AH152" si="34">S121/T121</f>
        <v>0.37426496043530227</v>
      </c>
    </row>
    <row r="122" spans="2:34">
      <c r="B122">
        <v>2049</v>
      </c>
      <c r="C122" s="4">
        <v>3395.6852820732374</v>
      </c>
      <c r="D122">
        <f t="shared" si="29"/>
        <v>3395685282073.2373</v>
      </c>
      <c r="E122" s="4">
        <v>5321.1978060169367</v>
      </c>
      <c r="F122" s="5">
        <f t="shared" si="30"/>
        <v>5321197806016.9365</v>
      </c>
      <c r="G122" s="4">
        <f t="shared" si="23"/>
        <v>4012.1831457367703</v>
      </c>
      <c r="H122" s="5">
        <f t="shared" si="31"/>
        <v>4012183145736.77</v>
      </c>
      <c r="I122" s="5">
        <f t="shared" si="28"/>
        <v>2160406309242.8765</v>
      </c>
      <c r="P122">
        <v>2049</v>
      </c>
      <c r="Q122" s="4">
        <v>1598.5226441012724</v>
      </c>
      <c r="R122" s="4">
        <v>1723.0868418063633</v>
      </c>
      <c r="S122" s="4">
        <v>1999.5883201093006</v>
      </c>
      <c r="T122" s="4">
        <v>5321.1978060169367</v>
      </c>
      <c r="AE122">
        <v>2049</v>
      </c>
      <c r="AF122" s="39">
        <f t="shared" si="32"/>
        <v>0.3004065442359134</v>
      </c>
      <c r="AG122" s="39">
        <f t="shared" si="33"/>
        <v>0.32381559652941022</v>
      </c>
      <c r="AH122" s="39">
        <f t="shared" si="34"/>
        <v>0.37577785923467627</v>
      </c>
    </row>
    <row r="123" spans="2:34">
      <c r="B123">
        <v>2050</v>
      </c>
      <c r="C123" s="4">
        <v>3467.7336245294746</v>
      </c>
      <c r="D123">
        <f t="shared" si="29"/>
        <v>3467733624529.4746</v>
      </c>
      <c r="E123" s="4">
        <v>5318.1812104406417</v>
      </c>
      <c r="F123" s="5">
        <f t="shared" si="30"/>
        <v>5318181210440.6416</v>
      </c>
      <c r="G123" s="4">
        <f t="shared" si="23"/>
        <v>4009.908632672244</v>
      </c>
      <c r="H123" s="5">
        <f t="shared" si="31"/>
        <v>4009908632672.2441</v>
      </c>
      <c r="I123" s="5">
        <f t="shared" si="28"/>
        <v>2159181571438.9009</v>
      </c>
      <c r="P123">
        <v>2050</v>
      </c>
      <c r="Q123" s="4">
        <v>1591.4865005688373</v>
      </c>
      <c r="R123" s="4">
        <v>1723.0585207823938</v>
      </c>
      <c r="S123" s="4">
        <v>2003.6361890894104</v>
      </c>
      <c r="T123" s="4">
        <v>5318.1812104406417</v>
      </c>
      <c r="AE123">
        <v>2050</v>
      </c>
      <c r="AF123" s="39">
        <f t="shared" si="32"/>
        <v>0.29925390609940755</v>
      </c>
      <c r="AG123" s="39">
        <f t="shared" si="33"/>
        <v>0.32399394691547723</v>
      </c>
      <c r="AH123" s="39">
        <f t="shared" si="34"/>
        <v>0.37675214698511517</v>
      </c>
    </row>
    <row r="124" spans="2:34">
      <c r="B124">
        <v>2051</v>
      </c>
      <c r="C124" s="4">
        <v>3540.4118590463786</v>
      </c>
      <c r="D124">
        <f t="shared" si="29"/>
        <v>3540411859046.3784</v>
      </c>
      <c r="E124" s="4">
        <v>5299.4602839954923</v>
      </c>
      <c r="F124" s="5">
        <f t="shared" si="30"/>
        <v>5299460283995.4922</v>
      </c>
      <c r="G124" s="4">
        <f t="shared" si="23"/>
        <v>3995.7930541326014</v>
      </c>
      <c r="H124" s="5">
        <f t="shared" si="31"/>
        <v>3995793054132.6016</v>
      </c>
      <c r="I124" s="5">
        <f t="shared" si="28"/>
        <v>2151580875302.1702</v>
      </c>
      <c r="P124">
        <v>2051</v>
      </c>
      <c r="Q124" s="4">
        <v>1580.9690969384314</v>
      </c>
      <c r="R124" s="4">
        <v>1719.9190853309676</v>
      </c>
      <c r="S124" s="4">
        <v>1998.572101726093</v>
      </c>
      <c r="T124" s="4">
        <v>5299.4602839954923</v>
      </c>
      <c r="AE124">
        <v>2051</v>
      </c>
      <c r="AF124" s="39">
        <f t="shared" si="32"/>
        <v>0.29832643556420246</v>
      </c>
      <c r="AG124" s="39">
        <f t="shared" si="33"/>
        <v>0.32454608453716843</v>
      </c>
      <c r="AH124" s="39">
        <f t="shared" si="34"/>
        <v>0.37712747989862905</v>
      </c>
    </row>
    <row r="125" spans="2:34">
      <c r="B125">
        <v>2052</v>
      </c>
      <c r="C125" s="4">
        <v>3613.5265087928697</v>
      </c>
      <c r="D125">
        <f t="shared" si="29"/>
        <v>3613526508792.8696</v>
      </c>
      <c r="E125" s="4">
        <v>5268.4327194263442</v>
      </c>
      <c r="F125" s="5">
        <f t="shared" si="30"/>
        <v>5268432719426.3438</v>
      </c>
      <c r="G125" s="4">
        <f t="shared" si="23"/>
        <v>3972.3982704474633</v>
      </c>
      <c r="H125" s="5">
        <f t="shared" si="31"/>
        <v>3972398270447.4634</v>
      </c>
      <c r="I125" s="5">
        <f t="shared" si="28"/>
        <v>2138983684087.0957</v>
      </c>
      <c r="P125">
        <v>2052</v>
      </c>
      <c r="Q125" s="4">
        <v>1568.3121305144675</v>
      </c>
      <c r="R125" s="4">
        <v>1714.556311137771</v>
      </c>
      <c r="S125" s="4">
        <v>1985.5642777741054</v>
      </c>
      <c r="T125" s="4">
        <v>5268.4327194263442</v>
      </c>
      <c r="AE125">
        <v>2052</v>
      </c>
      <c r="AF125" s="39">
        <f t="shared" si="32"/>
        <v>0.29768096396706645</v>
      </c>
      <c r="AG125" s="39">
        <f t="shared" si="33"/>
        <v>0.32543953817910032</v>
      </c>
      <c r="AH125" s="39">
        <f t="shared" si="34"/>
        <v>0.37687949785383318</v>
      </c>
    </row>
    <row r="126" spans="2:34">
      <c r="B126">
        <v>2053</v>
      </c>
      <c r="C126" s="4">
        <v>3686.8906211191161</v>
      </c>
      <c r="D126">
        <f t="shared" si="29"/>
        <v>3686890621119.1162</v>
      </c>
      <c r="E126" s="4">
        <v>5228.9693308536589</v>
      </c>
      <c r="F126" s="5">
        <f t="shared" si="30"/>
        <v>5228969330853.6592</v>
      </c>
      <c r="G126" s="4">
        <f t="shared" si="23"/>
        <v>3942.642875463659</v>
      </c>
      <c r="H126" s="5">
        <f t="shared" si="31"/>
        <v>3942642875463.6592</v>
      </c>
      <c r="I126" s="5">
        <f t="shared" si="28"/>
        <v>2122961548326.5857</v>
      </c>
      <c r="P126">
        <v>2053</v>
      </c>
      <c r="Q126" s="4">
        <v>1554.8834594263756</v>
      </c>
      <c r="R126" s="4">
        <v>1707.8712970631786</v>
      </c>
      <c r="S126" s="4">
        <v>1966.2145743641047</v>
      </c>
      <c r="T126" s="4">
        <v>5228.9693308536589</v>
      </c>
      <c r="AE126">
        <v>2053</v>
      </c>
      <c r="AF126" s="39">
        <f t="shared" si="32"/>
        <v>0.29735945289480825</v>
      </c>
      <c r="AG126" s="39">
        <f t="shared" si="33"/>
        <v>0.32661719528279559</v>
      </c>
      <c r="AH126" s="39">
        <f t="shared" si="34"/>
        <v>0.37602335182239616</v>
      </c>
    </row>
    <row r="127" spans="2:34">
      <c r="B127">
        <v>2054</v>
      </c>
      <c r="C127" s="4">
        <v>3760.3953464240221</v>
      </c>
      <c r="D127">
        <f t="shared" si="29"/>
        <v>3760395346424.022</v>
      </c>
      <c r="E127" s="4">
        <v>5185.2504692983066</v>
      </c>
      <c r="F127" s="5">
        <f t="shared" si="30"/>
        <v>5185250469298.3066</v>
      </c>
      <c r="G127" s="4">
        <f t="shared" si="23"/>
        <v>3909.6788538509231</v>
      </c>
      <c r="H127" s="5">
        <f t="shared" si="31"/>
        <v>3909678853850.9233</v>
      </c>
      <c r="I127" s="5">
        <f t="shared" si="28"/>
        <v>2105211690535.1125</v>
      </c>
      <c r="P127">
        <v>2054</v>
      </c>
      <c r="Q127" s="4">
        <v>1542.0158235569388</v>
      </c>
      <c r="R127" s="4">
        <v>1700.7703361121808</v>
      </c>
      <c r="S127" s="4">
        <v>1942.4643096291873</v>
      </c>
      <c r="T127" s="4">
        <v>5185.2504692983066</v>
      </c>
      <c r="AE127">
        <v>2054</v>
      </c>
      <c r="AF127" s="39">
        <f t="shared" si="32"/>
        <v>0.29738502174333958</v>
      </c>
      <c r="AG127" s="39">
        <f t="shared" si="33"/>
        <v>0.32800157797244023</v>
      </c>
      <c r="AH127" s="39">
        <f t="shared" si="34"/>
        <v>0.37461340028422019</v>
      </c>
    </row>
    <row r="128" spans="2:34">
      <c r="B128">
        <v>2055</v>
      </c>
      <c r="C128" s="4">
        <v>3833.8877055319517</v>
      </c>
      <c r="D128">
        <f t="shared" si="29"/>
        <v>3833887705531.9517</v>
      </c>
      <c r="E128" s="4">
        <v>5141.5406841646563</v>
      </c>
      <c r="F128" s="5">
        <f t="shared" si="30"/>
        <v>5141540684164.6563</v>
      </c>
      <c r="G128" s="4">
        <f t="shared" si="23"/>
        <v>3876.7216758601508</v>
      </c>
      <c r="H128" s="5">
        <f t="shared" si="31"/>
        <v>3876721675860.1509</v>
      </c>
      <c r="I128" s="5">
        <f t="shared" si="28"/>
        <v>2087465517770.8506</v>
      </c>
      <c r="P128">
        <v>2055</v>
      </c>
      <c r="Q128" s="4">
        <v>1530.9446135896756</v>
      </c>
      <c r="R128" s="4">
        <v>1694.1376663371286</v>
      </c>
      <c r="S128" s="4">
        <v>1916.4584042378522</v>
      </c>
      <c r="T128" s="4">
        <v>5141.5406841646563</v>
      </c>
      <c r="AE128">
        <v>2055</v>
      </c>
      <c r="AF128" s="39">
        <f t="shared" si="32"/>
        <v>0.29775989487057952</v>
      </c>
      <c r="AG128" s="39">
        <f t="shared" si="33"/>
        <v>0.32950000212093516</v>
      </c>
      <c r="AH128" s="39">
        <f t="shared" si="34"/>
        <v>0.37274010300848531</v>
      </c>
    </row>
    <row r="129" spans="2:34">
      <c r="B129">
        <v>2056</v>
      </c>
      <c r="C129" s="4">
        <v>3907.2099403808243</v>
      </c>
      <c r="D129">
        <f t="shared" si="29"/>
        <v>3907209940380.8242</v>
      </c>
      <c r="E129" s="4">
        <v>5101.6997530879344</v>
      </c>
      <c r="F129" s="5">
        <f t="shared" si="30"/>
        <v>5101699753087.9346</v>
      </c>
      <c r="G129" s="4">
        <f t="shared" si="23"/>
        <v>3846.6816138283025</v>
      </c>
      <c r="H129" s="5">
        <f t="shared" si="31"/>
        <v>3846681613828.3022</v>
      </c>
      <c r="I129" s="5">
        <f t="shared" si="28"/>
        <v>2071290099753.7012</v>
      </c>
      <c r="P129">
        <v>2056</v>
      </c>
      <c r="Q129" s="4">
        <v>1522.6799471462657</v>
      </c>
      <c r="R129" s="4">
        <v>1688.7217913314212</v>
      </c>
      <c r="S129" s="4">
        <v>1890.2980146102477</v>
      </c>
      <c r="T129" s="4">
        <v>5101.6997530879344</v>
      </c>
      <c r="AE129">
        <v>2056</v>
      </c>
      <c r="AF129" s="39">
        <f t="shared" si="32"/>
        <v>0.29846522156162258</v>
      </c>
      <c r="AG129" s="39">
        <f t="shared" si="33"/>
        <v>0.33101159869497987</v>
      </c>
      <c r="AH129" s="39">
        <f t="shared" si="34"/>
        <v>0.37052317974339755</v>
      </c>
    </row>
    <row r="130" spans="2:34">
      <c r="B130">
        <v>2057</v>
      </c>
      <c r="C130" s="4">
        <v>3980.0843925704025</v>
      </c>
      <c r="D130">
        <f t="shared" si="29"/>
        <v>3980084392570.4023</v>
      </c>
      <c r="E130" s="4">
        <v>5069.4458681644282</v>
      </c>
      <c r="F130" s="5">
        <f t="shared" si="30"/>
        <v>5069445868164.4287</v>
      </c>
      <c r="G130" s="4">
        <f t="shared" si="23"/>
        <v>3822.3621845959788</v>
      </c>
      <c r="H130" s="5">
        <f t="shared" si="31"/>
        <v>3822362184595.979</v>
      </c>
      <c r="I130" s="5">
        <f t="shared" si="28"/>
        <v>2058195022474.7578</v>
      </c>
      <c r="P130">
        <v>2057</v>
      </c>
      <c r="Q130" s="4">
        <v>1518.1376915327835</v>
      </c>
      <c r="R130" s="4">
        <v>1685.2607118647718</v>
      </c>
      <c r="S130" s="4">
        <v>1866.0474647668725</v>
      </c>
      <c r="T130" s="4">
        <v>5069.4458681644282</v>
      </c>
      <c r="AE130">
        <v>2057</v>
      </c>
      <c r="AF130" s="39">
        <f t="shared" si="32"/>
        <v>0.29946817285623345</v>
      </c>
      <c r="AG130" s="39">
        <f t="shared" si="33"/>
        <v>0.33243489637556378</v>
      </c>
      <c r="AH130" s="39">
        <f t="shared" si="34"/>
        <v>0.36809693076820266</v>
      </c>
    </row>
    <row r="131" spans="2:34">
      <c r="B131">
        <v>2058</v>
      </c>
      <c r="C131" s="4">
        <v>4052.2222271943674</v>
      </c>
      <c r="D131">
        <f t="shared" si="29"/>
        <v>4052222227194.3672</v>
      </c>
      <c r="E131" s="4">
        <v>5047.9915860104084</v>
      </c>
      <c r="F131" s="5">
        <f t="shared" si="30"/>
        <v>5047991586010.4082</v>
      </c>
      <c r="G131" s="4">
        <f t="shared" si="23"/>
        <v>3806.185655851848</v>
      </c>
      <c r="H131" s="5">
        <f t="shared" si="31"/>
        <v>3806185655851.8481</v>
      </c>
      <c r="I131" s="5">
        <f t="shared" si="28"/>
        <v>2049484583920.2258</v>
      </c>
      <c r="P131">
        <v>2058</v>
      </c>
      <c r="Q131" s="4">
        <v>1518.0580808508778</v>
      </c>
      <c r="R131" s="4">
        <v>1684.396089918944</v>
      </c>
      <c r="S131" s="4">
        <v>1845.5374152405871</v>
      </c>
      <c r="T131" s="4">
        <v>5047.9915860104084</v>
      </c>
      <c r="AE131">
        <v>2058</v>
      </c>
      <c r="AF131" s="39">
        <f t="shared" si="32"/>
        <v>0.3007251606872523</v>
      </c>
      <c r="AG131" s="39">
        <f t="shared" si="33"/>
        <v>0.3336764852356216</v>
      </c>
      <c r="AH131" s="39">
        <f t="shared" si="34"/>
        <v>0.36559835407712621</v>
      </c>
    </row>
    <row r="132" spans="2:34">
      <c r="B132">
        <v>2059</v>
      </c>
      <c r="C132" s="4">
        <v>4123.2030788337788</v>
      </c>
      <c r="D132">
        <f t="shared" ref="D132:D163" si="35">C132*$J$4</f>
        <v>4123203078833.7788</v>
      </c>
      <c r="E132" s="4">
        <v>5039.6538521983584</v>
      </c>
      <c r="F132" s="5">
        <f t="shared" ref="F132:F163" si="36">E132*$J$4</f>
        <v>5039653852198.3584</v>
      </c>
      <c r="G132" s="4">
        <f t="shared" si="23"/>
        <v>3799.8990045575624</v>
      </c>
      <c r="H132" s="5">
        <f t="shared" ref="H132:H163" si="37">G132*$J$4</f>
        <v>3799899004557.5625</v>
      </c>
      <c r="I132" s="5">
        <f t="shared" si="28"/>
        <v>2046099463992.5337</v>
      </c>
      <c r="P132">
        <v>2059</v>
      </c>
      <c r="Q132" s="4">
        <v>1522.8901505055089</v>
      </c>
      <c r="R132" s="4">
        <v>1686.5767318448643</v>
      </c>
      <c r="S132" s="4">
        <v>1830.1869698479852</v>
      </c>
      <c r="T132" s="4">
        <v>5039.6538521983584</v>
      </c>
      <c r="AE132">
        <v>2059</v>
      </c>
      <c r="AF132" s="39">
        <f t="shared" si="32"/>
        <v>0.30218149800927413</v>
      </c>
      <c r="AG132" s="39">
        <f t="shared" si="33"/>
        <v>0.33466122501829348</v>
      </c>
      <c r="AH132" s="39">
        <f t="shared" si="34"/>
        <v>0.36315727697243239</v>
      </c>
    </row>
    <row r="133" spans="2:34">
      <c r="B133">
        <v>2060</v>
      </c>
      <c r="C133" s="4">
        <v>4192.5780286381323</v>
      </c>
      <c r="D133">
        <f t="shared" si="35"/>
        <v>4192578028638.1323</v>
      </c>
      <c r="E133" s="4">
        <v>5045.6092416283473</v>
      </c>
      <c r="F133" s="5">
        <f t="shared" si="36"/>
        <v>5045609241628.3477</v>
      </c>
      <c r="G133" s="4">
        <f t="shared" ref="G133:G173" si="38">E133*$J$13</f>
        <v>3804.3893681877739</v>
      </c>
      <c r="H133" s="5">
        <f t="shared" si="37"/>
        <v>3804389368187.7739</v>
      </c>
      <c r="I133" s="5">
        <f t="shared" si="28"/>
        <v>2048517352101.1094</v>
      </c>
      <c r="P133">
        <v>2060</v>
      </c>
      <c r="Q133" s="4">
        <v>1532.7399266192015</v>
      </c>
      <c r="R133" s="4">
        <v>1691.984465584296</v>
      </c>
      <c r="S133" s="4">
        <v>1820.8848494248496</v>
      </c>
      <c r="T133" s="4">
        <v>5045.6092416283473</v>
      </c>
      <c r="AE133">
        <v>2060</v>
      </c>
      <c r="AF133" s="39">
        <f t="shared" si="32"/>
        <v>0.3037769778074505</v>
      </c>
      <c r="AG133" s="39">
        <f t="shared" si="33"/>
        <v>0.33533799082670329</v>
      </c>
      <c r="AH133" s="39">
        <f t="shared" si="34"/>
        <v>0.36088503136584621</v>
      </c>
    </row>
    <row r="134" spans="2:34">
      <c r="B134">
        <v>2061</v>
      </c>
      <c r="C134" s="4">
        <v>4259.8054249761808</v>
      </c>
      <c r="D134">
        <f t="shared" si="35"/>
        <v>4259805424976.1807</v>
      </c>
      <c r="E134" s="4">
        <v>5066.0268087681652</v>
      </c>
      <c r="F134" s="5">
        <f t="shared" si="36"/>
        <v>5066026808768.165</v>
      </c>
      <c r="G134" s="4">
        <f t="shared" si="38"/>
        <v>3819.7842138111964</v>
      </c>
      <c r="H134" s="5">
        <f t="shared" si="37"/>
        <v>3819784213811.1963</v>
      </c>
      <c r="I134" s="5">
        <f t="shared" si="28"/>
        <v>2056806884359.8752</v>
      </c>
      <c r="P134">
        <v>2061</v>
      </c>
      <c r="Q134" s="4">
        <v>1547.4224182913947</v>
      </c>
      <c r="R134" s="4">
        <v>1700.5773456505212</v>
      </c>
      <c r="S134" s="4">
        <v>1818.0270448262486</v>
      </c>
      <c r="T134" s="4">
        <v>5066.0268087681652</v>
      </c>
      <c r="AE134">
        <v>2061</v>
      </c>
      <c r="AF134" s="39">
        <f t="shared" si="32"/>
        <v>0.30545089410366932</v>
      </c>
      <c r="AG134" s="39">
        <f t="shared" si="33"/>
        <v>0.33568265819422832</v>
      </c>
      <c r="AH134" s="39">
        <f t="shared" si="34"/>
        <v>0.35886644770210224</v>
      </c>
    </row>
    <row r="135" spans="2:34">
      <c r="B135">
        <v>2062</v>
      </c>
      <c r="C135" s="4">
        <v>4324.3268659243095</v>
      </c>
      <c r="D135">
        <f t="shared" si="35"/>
        <v>4324326865924.3096</v>
      </c>
      <c r="E135" s="4">
        <v>5100.5887912503904</v>
      </c>
      <c r="F135" s="5">
        <f t="shared" si="36"/>
        <v>5100588791250.3906</v>
      </c>
      <c r="G135" s="4">
        <f t="shared" si="38"/>
        <v>3845.8439486027942</v>
      </c>
      <c r="H135" s="5">
        <f t="shared" si="37"/>
        <v>3845843948602.7939</v>
      </c>
      <c r="I135" s="5">
        <f t="shared" si="28"/>
        <v>2070839049247.6587</v>
      </c>
      <c r="P135">
        <v>2062</v>
      </c>
      <c r="Q135" s="4">
        <v>1566.658785625413</v>
      </c>
      <c r="R135" s="4">
        <v>1712.2453275380053</v>
      </c>
      <c r="S135" s="4">
        <v>1821.6846780869719</v>
      </c>
      <c r="T135" s="4">
        <v>5100.5887912503904</v>
      </c>
      <c r="AE135">
        <v>2062</v>
      </c>
      <c r="AF135" s="39">
        <f t="shared" si="32"/>
        <v>0.3071525366469216</v>
      </c>
      <c r="AG135" s="39">
        <f t="shared" si="33"/>
        <v>0.33569562213586224</v>
      </c>
      <c r="AH135" s="39">
        <f t="shared" si="34"/>
        <v>0.35715184121721616</v>
      </c>
    </row>
    <row r="136" spans="2:34">
      <c r="B136">
        <v>2063</v>
      </c>
      <c r="C136" s="4">
        <v>4385.5795268571565</v>
      </c>
      <c r="D136">
        <f t="shared" si="35"/>
        <v>4385579526857.1563</v>
      </c>
      <c r="E136" s="4">
        <v>5148.6865960389687</v>
      </c>
      <c r="F136" s="5">
        <f t="shared" si="36"/>
        <v>5148686596038.9688</v>
      </c>
      <c r="G136" s="4">
        <f t="shared" si="38"/>
        <v>3882.1096934133825</v>
      </c>
      <c r="H136" s="5">
        <f t="shared" si="37"/>
        <v>3882109693413.3823</v>
      </c>
      <c r="I136" s="5">
        <f t="shared" si="28"/>
        <v>2090366757991.8215</v>
      </c>
      <c r="P136">
        <v>2063</v>
      </c>
      <c r="Q136" s="4">
        <v>1590.1357406142477</v>
      </c>
      <c r="R136" s="4">
        <v>1726.8575439012448</v>
      </c>
      <c r="S136" s="4">
        <v>1831.6933115234763</v>
      </c>
      <c r="T136" s="4">
        <v>5148.6865960389687</v>
      </c>
      <c r="AE136">
        <v>2063</v>
      </c>
      <c r="AF136" s="39">
        <f t="shared" si="32"/>
        <v>0.30884298567280916</v>
      </c>
      <c r="AG136" s="39">
        <f t="shared" si="33"/>
        <v>0.33539768088229832</v>
      </c>
      <c r="AH136" s="39">
        <f t="shared" si="34"/>
        <v>0.35575933344489258</v>
      </c>
    </row>
    <row r="137" spans="2:34">
      <c r="B137">
        <v>2064</v>
      </c>
      <c r="C137" s="4">
        <v>4443.1141910149199</v>
      </c>
      <c r="D137">
        <f t="shared" si="35"/>
        <v>4443114191014.9199</v>
      </c>
      <c r="E137" s="4">
        <v>5208.9791075440708</v>
      </c>
      <c r="F137" s="5">
        <f t="shared" si="36"/>
        <v>5208979107544.0703</v>
      </c>
      <c r="G137" s="4">
        <f t="shared" si="38"/>
        <v>3927.5702470882293</v>
      </c>
      <c r="H137" s="5">
        <f t="shared" si="37"/>
        <v>3927570247088.2295</v>
      </c>
      <c r="I137" s="5">
        <f t="shared" si="28"/>
        <v>2114845517662.8926</v>
      </c>
      <c r="P137">
        <v>2064</v>
      </c>
      <c r="Q137" s="4">
        <v>1617.336665442305</v>
      </c>
      <c r="R137" s="4">
        <v>1744.0986478637496</v>
      </c>
      <c r="S137" s="4">
        <v>1847.5437942380158</v>
      </c>
      <c r="T137" s="4">
        <v>5208.9791075440708</v>
      </c>
      <c r="AE137">
        <v>2064</v>
      </c>
      <c r="AF137" s="39">
        <f t="shared" si="32"/>
        <v>0.31049014251179191</v>
      </c>
      <c r="AG137" s="39">
        <f t="shared" si="33"/>
        <v>0.33482542583781971</v>
      </c>
      <c r="AH137" s="39">
        <f t="shared" si="34"/>
        <v>0.35468443165038832</v>
      </c>
    </row>
    <row r="138" spans="2:34">
      <c r="B138">
        <v>2065</v>
      </c>
      <c r="C138" s="4">
        <v>4496.6383613800472</v>
      </c>
      <c r="D138">
        <f t="shared" si="35"/>
        <v>4496638361380.0469</v>
      </c>
      <c r="E138" s="4">
        <v>5279.682810082636</v>
      </c>
      <c r="F138" s="5">
        <f t="shared" si="36"/>
        <v>5279682810082.6357</v>
      </c>
      <c r="G138" s="4">
        <f t="shared" si="38"/>
        <v>3980.8808388023076</v>
      </c>
      <c r="H138" s="5">
        <f t="shared" si="37"/>
        <v>3980880838802.3076</v>
      </c>
      <c r="I138" s="5">
        <f t="shared" si="28"/>
        <v>2143551220893.5503</v>
      </c>
      <c r="P138">
        <v>2065</v>
      </c>
      <c r="Q138" s="4">
        <v>1647.6236253492773</v>
      </c>
      <c r="R138" s="4">
        <v>1763.5457382323948</v>
      </c>
      <c r="S138" s="4">
        <v>1868.5134465009642</v>
      </c>
      <c r="T138" s="4">
        <v>5279.682810082636</v>
      </c>
      <c r="AE138">
        <v>2065</v>
      </c>
      <c r="AF138" s="39">
        <f t="shared" si="32"/>
        <v>0.31206867620963941</v>
      </c>
      <c r="AG138" s="39">
        <f t="shared" si="33"/>
        <v>0.33402494082874501</v>
      </c>
      <c r="AH138" s="39">
        <f t="shared" si="34"/>
        <v>0.35390638296161558</v>
      </c>
    </row>
    <row r="139" spans="2:34">
      <c r="B139">
        <v>2066</v>
      </c>
      <c r="C139" s="4">
        <v>4545.6088835926257</v>
      </c>
      <c r="D139">
        <f t="shared" si="35"/>
        <v>4545608883592.626</v>
      </c>
      <c r="E139" s="4">
        <v>5358.7925513352675</v>
      </c>
      <c r="F139" s="5">
        <f t="shared" si="36"/>
        <v>5358792551335.2676</v>
      </c>
      <c r="G139" s="4">
        <f t="shared" si="38"/>
        <v>4040.5295837067915</v>
      </c>
      <c r="H139" s="5">
        <f t="shared" si="37"/>
        <v>4040529583706.7915</v>
      </c>
      <c r="I139" s="5">
        <f t="shared" si="28"/>
        <v>2175669775842.1187</v>
      </c>
      <c r="P139">
        <v>2066</v>
      </c>
      <c r="Q139" s="4">
        <v>1680.3112008497626</v>
      </c>
      <c r="R139" s="4">
        <v>1784.7220809666383</v>
      </c>
      <c r="S139" s="4">
        <v>1893.7592695188669</v>
      </c>
      <c r="T139" s="4">
        <v>5358.7925513352675</v>
      </c>
      <c r="AE139">
        <v>2066</v>
      </c>
      <c r="AF139" s="39">
        <f t="shared" si="32"/>
        <v>0.3135615317728756</v>
      </c>
      <c r="AG139" s="39">
        <f t="shared" si="33"/>
        <v>0.33304556275871017</v>
      </c>
      <c r="AH139" s="39">
        <f t="shared" si="34"/>
        <v>0.35339290546841429</v>
      </c>
    </row>
    <row r="140" spans="2:34">
      <c r="B140">
        <v>2067</v>
      </c>
      <c r="C140" s="4">
        <v>4589.6131176656936</v>
      </c>
      <c r="D140">
        <f t="shared" si="35"/>
        <v>4589613117665.6934</v>
      </c>
      <c r="E140" s="4">
        <v>5444.00170390526</v>
      </c>
      <c r="F140" s="5">
        <f t="shared" si="36"/>
        <v>5444001703905.2598</v>
      </c>
      <c r="G140" s="4">
        <f t="shared" si="38"/>
        <v>4104.7772847445658</v>
      </c>
      <c r="H140" s="5">
        <f t="shared" si="37"/>
        <v>4104777284744.5659</v>
      </c>
      <c r="I140" s="5">
        <f t="shared" si="28"/>
        <v>2210264691785.5356</v>
      </c>
      <c r="P140">
        <v>2067</v>
      </c>
      <c r="Q140" s="4">
        <v>1714.6219574866864</v>
      </c>
      <c r="R140" s="4">
        <v>1807.0632054256512</v>
      </c>
      <c r="S140" s="4">
        <v>1922.3165409929229</v>
      </c>
      <c r="T140" s="4">
        <v>5444.00170390526</v>
      </c>
      <c r="AE140">
        <v>2067</v>
      </c>
      <c r="AF140" s="39">
        <f t="shared" si="32"/>
        <v>0.3149561757588541</v>
      </c>
      <c r="AG140" s="39">
        <f t="shared" si="33"/>
        <v>0.3319365613220423</v>
      </c>
      <c r="AH140" s="39">
        <f t="shared" si="34"/>
        <v>0.35310726291910366</v>
      </c>
    </row>
    <row r="141" spans="2:34">
      <c r="B141">
        <v>2068</v>
      </c>
      <c r="C141" s="4">
        <v>4628.2975166692941</v>
      </c>
      <c r="D141">
        <f t="shared" si="35"/>
        <v>4628297516669.2939</v>
      </c>
      <c r="E141" s="4">
        <v>5532.8881665659565</v>
      </c>
      <c r="F141" s="5">
        <f t="shared" si="36"/>
        <v>5532888166565.9561</v>
      </c>
      <c r="G141" s="4">
        <f t="shared" si="38"/>
        <v>4171.7976775907309</v>
      </c>
      <c r="H141" s="5">
        <f t="shared" si="37"/>
        <v>4171797677590.731</v>
      </c>
      <c r="I141" s="5">
        <f t="shared" si="28"/>
        <v>2246352595625.7788</v>
      </c>
      <c r="P141">
        <v>2068</v>
      </c>
      <c r="Q141" s="4">
        <v>1749.7508871881632</v>
      </c>
      <c r="R141" s="4">
        <v>1829.967958112587</v>
      </c>
      <c r="S141" s="4">
        <v>1953.169321265206</v>
      </c>
      <c r="T141" s="4">
        <v>5532.8881665659565</v>
      </c>
      <c r="AE141">
        <v>2068</v>
      </c>
      <c r="AF141" s="39">
        <f t="shared" si="32"/>
        <v>0.3162454823796238</v>
      </c>
      <c r="AG141" s="39">
        <f t="shared" si="33"/>
        <v>0.3307437097989232</v>
      </c>
      <c r="AH141" s="39">
        <f t="shared" si="34"/>
        <v>0.35301080782145294</v>
      </c>
    </row>
    <row r="142" spans="2:34">
      <c r="B142">
        <v>2069</v>
      </c>
      <c r="C142" s="4">
        <v>4661.2913373856072</v>
      </c>
      <c r="D142">
        <f t="shared" si="35"/>
        <v>4661291337385.6074</v>
      </c>
      <c r="E142" s="4">
        <v>5623.0758321527437</v>
      </c>
      <c r="F142" s="5">
        <f t="shared" si="36"/>
        <v>5623075832152.7441</v>
      </c>
      <c r="G142" s="4">
        <f t="shared" si="38"/>
        <v>4239.7991774431684</v>
      </c>
      <c r="H142" s="5">
        <f t="shared" si="37"/>
        <v>4239799177443.1685</v>
      </c>
      <c r="I142" s="5">
        <f t="shared" si="28"/>
        <v>2282968787854.0142</v>
      </c>
      <c r="P142">
        <v>2069</v>
      </c>
      <c r="Q142" s="4">
        <v>1784.9138176596036</v>
      </c>
      <c r="R142" s="4">
        <v>1852.8438161765978</v>
      </c>
      <c r="S142" s="4">
        <v>1985.3181983165425</v>
      </c>
      <c r="T142" s="4">
        <v>5623.0758321527437</v>
      </c>
      <c r="AE142">
        <v>2069</v>
      </c>
      <c r="AF142" s="39">
        <f t="shared" si="32"/>
        <v>0.31742659550373975</v>
      </c>
      <c r="AG142" s="39">
        <f t="shared" si="33"/>
        <v>0.32950717213914105</v>
      </c>
      <c r="AH142" s="39">
        <f t="shared" si="34"/>
        <v>0.35306623235711931</v>
      </c>
    </row>
    <row r="143" spans="2:34">
      <c r="B143">
        <v>2070</v>
      </c>
      <c r="C143" s="4">
        <v>4688.1888553120143</v>
      </c>
      <c r="D143">
        <f t="shared" si="35"/>
        <v>4688188855312.0146</v>
      </c>
      <c r="E143" s="4">
        <v>5712.384449579984</v>
      </c>
      <c r="F143" s="5">
        <f t="shared" si="36"/>
        <v>5712384449579.9844</v>
      </c>
      <c r="G143" s="4">
        <f t="shared" si="38"/>
        <v>4307.1378749833084</v>
      </c>
      <c r="H143" s="5">
        <f t="shared" si="37"/>
        <v>4307137874983.3086</v>
      </c>
      <c r="I143" s="5">
        <f t="shared" si="28"/>
        <v>2319228086529.4736</v>
      </c>
      <c r="P143">
        <v>2070</v>
      </c>
      <c r="Q143" s="4">
        <v>1819.404641931977</v>
      </c>
      <c r="R143" s="4">
        <v>1875.1534232546062</v>
      </c>
      <c r="S143" s="4">
        <v>2017.8263843934008</v>
      </c>
      <c r="T143" s="4">
        <v>5712.384449579984</v>
      </c>
      <c r="AE143">
        <v>2070</v>
      </c>
      <c r="AF143" s="39">
        <f t="shared" si="32"/>
        <v>0.31850178467343054</v>
      </c>
      <c r="AG143" s="39">
        <f t="shared" si="33"/>
        <v>0.32826106852673076</v>
      </c>
      <c r="AH143" s="39">
        <f t="shared" si="34"/>
        <v>0.35323714679983875</v>
      </c>
    </row>
    <row r="144" spans="2:34">
      <c r="B144">
        <v>2071</v>
      </c>
      <c r="C144" s="4">
        <v>4708.7912547967062</v>
      </c>
      <c r="D144">
        <f t="shared" si="35"/>
        <v>4708791254796.7061</v>
      </c>
      <c r="E144" s="4">
        <v>5798.8320666442532</v>
      </c>
      <c r="F144" s="5">
        <f t="shared" si="36"/>
        <v>5798832066644.2529</v>
      </c>
      <c r="G144" s="4">
        <f t="shared" si="38"/>
        <v>4372.3193782497674</v>
      </c>
      <c r="H144" s="5">
        <f t="shared" si="37"/>
        <v>4372319378249.7676</v>
      </c>
      <c r="I144" s="5">
        <f t="shared" si="28"/>
        <v>2354325819057.5669</v>
      </c>
      <c r="P144">
        <v>2071</v>
      </c>
      <c r="Q144" s="4">
        <v>1852.5949772734821</v>
      </c>
      <c r="R144" s="4">
        <v>1896.4139926618559</v>
      </c>
      <c r="S144" s="4">
        <v>2049.8230967089153</v>
      </c>
      <c r="T144" s="4">
        <v>5798.8320666442532</v>
      </c>
      <c r="AE144">
        <v>2071</v>
      </c>
      <c r="AF144" s="39">
        <f t="shared" si="32"/>
        <v>0.31947725955539991</v>
      </c>
      <c r="AG144" s="39">
        <f t="shared" si="33"/>
        <v>0.3270337838493913</v>
      </c>
      <c r="AH144" s="39">
        <f t="shared" si="34"/>
        <v>0.35348895659520879</v>
      </c>
    </row>
    <row r="145" spans="2:34">
      <c r="B145">
        <v>2072</v>
      </c>
      <c r="C145" s="4">
        <v>4723.130963281641</v>
      </c>
      <c r="D145">
        <f t="shared" si="35"/>
        <v>4723130963281.6406</v>
      </c>
      <c r="E145" s="4">
        <v>5880.4893394893879</v>
      </c>
      <c r="F145" s="5">
        <f t="shared" si="36"/>
        <v>5880489339489.3877</v>
      </c>
      <c r="G145" s="4">
        <f t="shared" si="38"/>
        <v>4433.8889619749989</v>
      </c>
      <c r="H145" s="5">
        <f t="shared" si="37"/>
        <v>4433888961974.999</v>
      </c>
      <c r="I145" s="5">
        <f t="shared" si="28"/>
        <v>2387478671832.6919</v>
      </c>
      <c r="P145">
        <v>2072</v>
      </c>
      <c r="Q145" s="4">
        <v>1883.8595179533932</v>
      </c>
      <c r="R145" s="4">
        <v>1916.1592011458977</v>
      </c>
      <c r="S145" s="4">
        <v>2080.4706203900969</v>
      </c>
      <c r="T145" s="4">
        <v>5880.4893394893879</v>
      </c>
      <c r="AE145">
        <v>2072</v>
      </c>
      <c r="AF145" s="39">
        <f t="shared" si="32"/>
        <v>0.32035761127950135</v>
      </c>
      <c r="AG145" s="39">
        <f t="shared" si="33"/>
        <v>0.32585029757273243</v>
      </c>
      <c r="AH145" s="39">
        <f t="shared" si="34"/>
        <v>0.35379209114776616</v>
      </c>
    </row>
    <row r="146" spans="2:34">
      <c r="B146">
        <v>2073</v>
      </c>
      <c r="C146" s="4">
        <v>4731.2183534474334</v>
      </c>
      <c r="D146">
        <f t="shared" si="35"/>
        <v>4731218353447.4336</v>
      </c>
      <c r="E146" s="4">
        <v>5955.4716475852065</v>
      </c>
      <c r="F146" s="5">
        <f t="shared" si="36"/>
        <v>5955471647585.2061</v>
      </c>
      <c r="G146" s="4">
        <f t="shared" si="38"/>
        <v>4490.4256222792455</v>
      </c>
      <c r="H146" s="5">
        <f t="shared" si="37"/>
        <v>4490425622279.2451</v>
      </c>
      <c r="I146" s="5">
        <f>E146*($J$11+K66)*$J$4</f>
        <v>2417921488919.5942</v>
      </c>
      <c r="P146">
        <v>2073</v>
      </c>
      <c r="Q146" s="4">
        <v>1912.5732346468503</v>
      </c>
      <c r="R146" s="4">
        <v>1933.9339877887935</v>
      </c>
      <c r="S146" s="4">
        <v>2108.9644251495629</v>
      </c>
      <c r="T146" s="4">
        <v>5955.4716475852065</v>
      </c>
      <c r="AE146">
        <v>2073</v>
      </c>
      <c r="AF146" s="39">
        <f t="shared" si="32"/>
        <v>0.32114555283330926</v>
      </c>
      <c r="AG146" s="39">
        <f t="shared" si="33"/>
        <v>0.32473229699161693</v>
      </c>
      <c r="AH146" s="39">
        <f t="shared" si="34"/>
        <v>0.35412215017507381</v>
      </c>
    </row>
    <row r="147" spans="2:34">
      <c r="B147">
        <v>2074</v>
      </c>
      <c r="C147" s="4">
        <v>4733.0456917976353</v>
      </c>
      <c r="D147">
        <f t="shared" si="35"/>
        <v>4733045691797.6357</v>
      </c>
      <c r="E147" s="4">
        <v>6022.2433211593789</v>
      </c>
      <c r="F147" s="5">
        <f t="shared" si="36"/>
        <v>6022243321159.3789</v>
      </c>
      <c r="G147" s="4">
        <f t="shared" si="38"/>
        <v>4540.7714641541716</v>
      </c>
      <c r="H147" s="5">
        <f t="shared" si="37"/>
        <v>4540771464154.1719</v>
      </c>
      <c r="I147" s="5">
        <f t="shared" si="28"/>
        <v>2445030788390.708</v>
      </c>
      <c r="P147">
        <v>2074</v>
      </c>
      <c r="Q147" s="4">
        <v>1938.2442934344979</v>
      </c>
      <c r="R147" s="4">
        <v>1949.3825274288777</v>
      </c>
      <c r="S147" s="4">
        <v>2134.6165002960033</v>
      </c>
      <c r="T147" s="4">
        <v>6022.2433211593789</v>
      </c>
      <c r="AE147">
        <v>2074</v>
      </c>
      <c r="AF147" s="39">
        <f t="shared" si="32"/>
        <v>0.32184755581435964</v>
      </c>
      <c r="AG147" s="39">
        <f t="shared" si="33"/>
        <v>0.32369707158454536</v>
      </c>
      <c r="AH147" s="39">
        <f t="shared" si="34"/>
        <v>0.354455372601095</v>
      </c>
    </row>
    <row r="148" spans="2:34">
      <c r="B148">
        <v>2075</v>
      </c>
      <c r="C148" s="4">
        <v>4728.6692589324448</v>
      </c>
      <c r="D148">
        <f t="shared" si="35"/>
        <v>4728669258932.4443</v>
      </c>
      <c r="E148" s="4">
        <v>6079.5730587357557</v>
      </c>
      <c r="F148" s="5">
        <f t="shared" si="36"/>
        <v>6079573058735.7559</v>
      </c>
      <c r="G148" s="4">
        <f t="shared" si="38"/>
        <v>4583.9980862867596</v>
      </c>
      <c r="H148" s="5">
        <f t="shared" si="37"/>
        <v>4583998086286.7598</v>
      </c>
      <c r="I148" s="5">
        <f t="shared" si="28"/>
        <v>2468306661846.7168</v>
      </c>
      <c r="P148">
        <v>2075</v>
      </c>
      <c r="Q148" s="4">
        <v>1960.4944317751715</v>
      </c>
      <c r="R148" s="4">
        <v>1962.2299302005288</v>
      </c>
      <c r="S148" s="4">
        <v>2156.8486967600556</v>
      </c>
      <c r="T148" s="4">
        <v>6079.5730587357557</v>
      </c>
      <c r="AE148">
        <v>2075</v>
      </c>
      <c r="AF148" s="39">
        <f t="shared" si="32"/>
        <v>0.32247238627359393</v>
      </c>
      <c r="AG148" s="39">
        <f t="shared" si="33"/>
        <v>0.32275785013899866</v>
      </c>
      <c r="AH148" s="39">
        <f t="shared" si="34"/>
        <v>0.35476976358740747</v>
      </c>
    </row>
    <row r="149" spans="2:34">
      <c r="B149">
        <v>2076</v>
      </c>
      <c r="C149" s="4">
        <v>4718.5739201022934</v>
      </c>
      <c r="D149">
        <f t="shared" si="35"/>
        <v>4718573920102.293</v>
      </c>
      <c r="E149" s="4">
        <v>6126.5929265184523</v>
      </c>
      <c r="F149" s="5">
        <f t="shared" si="36"/>
        <v>6126592926518.4521</v>
      </c>
      <c r="G149" s="4">
        <f t="shared" si="38"/>
        <v>4619.4510665949128</v>
      </c>
      <c r="H149" s="5">
        <f t="shared" si="37"/>
        <v>4619451066594.9131</v>
      </c>
      <c r="I149" s="5">
        <f t="shared" si="28"/>
        <v>2487396728166.4917</v>
      </c>
      <c r="P149">
        <v>2076</v>
      </c>
      <c r="Q149" s="4">
        <v>1979.0708713208774</v>
      </c>
      <c r="R149" s="4">
        <v>1972.299883001022</v>
      </c>
      <c r="S149" s="4">
        <v>2175.2221721965529</v>
      </c>
      <c r="T149" s="4">
        <v>6126.5929265184523</v>
      </c>
      <c r="AE149">
        <v>2076</v>
      </c>
      <c r="AF149" s="39">
        <f t="shared" si="32"/>
        <v>0.32302960145346565</v>
      </c>
      <c r="AG149" s="39">
        <f t="shared" si="33"/>
        <v>0.32192442139644772</v>
      </c>
      <c r="AH149" s="39">
        <f t="shared" si="34"/>
        <v>0.35504597715008668</v>
      </c>
    </row>
    <row r="150" spans="2:34">
      <c r="B150">
        <v>2077</v>
      </c>
      <c r="C150" s="4">
        <v>4702.9393688995287</v>
      </c>
      <c r="D150">
        <f t="shared" si="35"/>
        <v>4702939368899.5283</v>
      </c>
      <c r="E150" s="4">
        <v>6162.6857086631862</v>
      </c>
      <c r="F150" s="5">
        <f t="shared" si="36"/>
        <v>6162685708663.1865</v>
      </c>
      <c r="G150" s="4">
        <f t="shared" si="38"/>
        <v>4646.6650243320428</v>
      </c>
      <c r="H150" s="5">
        <f t="shared" si="37"/>
        <v>4646665024332.043</v>
      </c>
      <c r="I150" s="5">
        <f t="shared" si="28"/>
        <v>2502050397717.2539</v>
      </c>
      <c r="P150">
        <v>2077</v>
      </c>
      <c r="Q150" s="4">
        <v>1993.8073090278122</v>
      </c>
      <c r="R150" s="4">
        <v>1979.4717715463128</v>
      </c>
      <c r="S150" s="4">
        <v>2189.4066280890611</v>
      </c>
      <c r="T150" s="4">
        <v>6162.6857086631862</v>
      </c>
      <c r="AE150">
        <v>2077</v>
      </c>
      <c r="AF150" s="39">
        <f t="shared" si="32"/>
        <v>0.32352896176824669</v>
      </c>
      <c r="AG150" s="39">
        <f t="shared" si="33"/>
        <v>0.3212027783217426</v>
      </c>
      <c r="AH150" s="39">
        <f t="shared" si="34"/>
        <v>0.35526825991001065</v>
      </c>
    </row>
    <row r="151" spans="2:34">
      <c r="B151">
        <v>2078</v>
      </c>
      <c r="C151" s="4">
        <v>4681.7930434130476</v>
      </c>
      <c r="D151">
        <f t="shared" si="35"/>
        <v>4681793043413.0479</v>
      </c>
      <c r="E151" s="4">
        <v>6187.5184080405024</v>
      </c>
      <c r="F151" s="5">
        <f t="shared" si="36"/>
        <v>6187518408040.502</v>
      </c>
      <c r="G151" s="4">
        <f t="shared" si="38"/>
        <v>4665.3888796625388</v>
      </c>
      <c r="H151" s="5">
        <f t="shared" si="37"/>
        <v>4665388879662.5391</v>
      </c>
      <c r="I151" s="5">
        <f t="shared" si="28"/>
        <v>2512132473664.4443</v>
      </c>
      <c r="P151">
        <v>2078</v>
      </c>
      <c r="Q151" s="4">
        <v>2004.6267117667242</v>
      </c>
      <c r="R151" s="4">
        <v>1983.6899619861929</v>
      </c>
      <c r="S151" s="4">
        <v>2199.2017342875852</v>
      </c>
      <c r="T151" s="4">
        <v>6187.5184080405024</v>
      </c>
      <c r="AE151">
        <v>2078</v>
      </c>
      <c r="AF151" s="39">
        <f t="shared" si="32"/>
        <v>0.32397911077917269</v>
      </c>
      <c r="AG151" s="39">
        <f t="shared" si="33"/>
        <v>0.3205954037095784</v>
      </c>
      <c r="AH151" s="39">
        <f t="shared" si="34"/>
        <v>0.35542548551124886</v>
      </c>
    </row>
    <row r="152" spans="2:34">
      <c r="B152">
        <v>2079</v>
      </c>
      <c r="C152" s="4">
        <v>4655.6043262479052</v>
      </c>
      <c r="D152">
        <f t="shared" si="35"/>
        <v>4655604326247.9053</v>
      </c>
      <c r="E152" s="4">
        <v>6201.1512949643402</v>
      </c>
      <c r="F152" s="5">
        <f t="shared" si="36"/>
        <v>6201151294964.3398</v>
      </c>
      <c r="G152" s="4">
        <f t="shared" si="38"/>
        <v>4675.6680764031125</v>
      </c>
      <c r="H152" s="5">
        <f t="shared" si="37"/>
        <v>4675668076403.1123</v>
      </c>
      <c r="I152" s="5">
        <f t="shared" si="28"/>
        <v>2517667425755.5225</v>
      </c>
      <c r="P152">
        <v>2079</v>
      </c>
      <c r="Q152" s="4">
        <v>2011.5762418777524</v>
      </c>
      <c r="R152" s="4">
        <v>1984.9945363829415</v>
      </c>
      <c r="S152" s="4">
        <v>2204.5805167036465</v>
      </c>
      <c r="T152" s="4">
        <v>6201.1512949643402</v>
      </c>
      <c r="AE152">
        <v>2079</v>
      </c>
      <c r="AF152" s="39">
        <f t="shared" si="32"/>
        <v>0.32438754453729546</v>
      </c>
      <c r="AG152" s="39">
        <f t="shared" si="33"/>
        <v>0.32010096866929549</v>
      </c>
      <c r="AH152" s="39">
        <f t="shared" si="34"/>
        <v>0.35551148679340905</v>
      </c>
    </row>
    <row r="153" spans="2:34">
      <c r="B153">
        <v>2080</v>
      </c>
      <c r="C153" s="4">
        <v>4624.9004918290602</v>
      </c>
      <c r="D153">
        <f t="shared" si="35"/>
        <v>4624900491829.0605</v>
      </c>
      <c r="E153" s="4">
        <v>6204.0302905979624</v>
      </c>
      <c r="F153" s="5">
        <f t="shared" si="36"/>
        <v>6204030290597.9629</v>
      </c>
      <c r="G153" s="4">
        <f t="shared" si="38"/>
        <v>4677.8388391108638</v>
      </c>
      <c r="H153" s="5">
        <f t="shared" si="37"/>
        <v>4677838839110.8643</v>
      </c>
      <c r="I153" s="5">
        <f t="shared" si="28"/>
        <v>2518836297982.7729</v>
      </c>
      <c r="P153">
        <v>2080</v>
      </c>
      <c r="Q153" s="4">
        <v>2014.8157182699861</v>
      </c>
      <c r="R153" s="4">
        <v>1983.5202486190617</v>
      </c>
      <c r="S153" s="4">
        <v>2205.6943237089145</v>
      </c>
      <c r="T153" s="4">
        <v>6204.0302905979624</v>
      </c>
      <c r="AE153">
        <v>2080</v>
      </c>
      <c r="AF153" s="39">
        <f t="shared" ref="AF153:AF173" si="39">Q153/T153</f>
        <v>0.32475916845915209</v>
      </c>
      <c r="AG153" s="39">
        <f t="shared" ref="AG153:AG173" si="40">R153/T153</f>
        <v>0.31971479114552875</v>
      </c>
      <c r="AH153" s="39">
        <f t="shared" ref="AH153:AH173" si="41">S153/T153</f>
        <v>0.3555260403953191</v>
      </c>
    </row>
    <row r="154" spans="2:34">
      <c r="B154">
        <v>2081</v>
      </c>
      <c r="C154" s="4">
        <v>4590.3386560452655</v>
      </c>
      <c r="D154">
        <f t="shared" si="35"/>
        <v>4590338656045.2656</v>
      </c>
      <c r="E154" s="4">
        <v>6196.7678964101315</v>
      </c>
      <c r="F154" s="5">
        <f t="shared" si="36"/>
        <v>6196767896410.1318</v>
      </c>
      <c r="G154" s="4">
        <f t="shared" si="38"/>
        <v>4672.362993893239</v>
      </c>
      <c r="H154" s="5">
        <f t="shared" si="37"/>
        <v>4672362993893.2393</v>
      </c>
      <c r="I154" s="5">
        <f t="shared" si="28"/>
        <v>2515887765942.5132</v>
      </c>
      <c r="P154">
        <v>2081</v>
      </c>
      <c r="Q154" s="4">
        <v>2014.5417241544365</v>
      </c>
      <c r="R154" s="4">
        <v>1979.4248613104633</v>
      </c>
      <c r="S154" s="4">
        <v>2202.8013109452318</v>
      </c>
      <c r="T154" s="4">
        <v>6196.7678964101315</v>
      </c>
      <c r="AE154">
        <v>2081</v>
      </c>
      <c r="AF154" s="39">
        <f t="shared" si="39"/>
        <v>0.32509555914164329</v>
      </c>
      <c r="AG154" s="39">
        <f t="shared" si="40"/>
        <v>0.31942859477715307</v>
      </c>
      <c r="AH154" s="39">
        <f t="shared" si="41"/>
        <v>0.35547584608120358</v>
      </c>
    </row>
    <row r="155" spans="2:34">
      <c r="B155">
        <v>2082</v>
      </c>
      <c r="C155" s="4">
        <v>4553.5161681852514</v>
      </c>
      <c r="D155">
        <f t="shared" si="35"/>
        <v>4553516168185.251</v>
      </c>
      <c r="E155" s="4">
        <v>6180.564236769018</v>
      </c>
      <c r="F155" s="5">
        <f t="shared" si="36"/>
        <v>6180564236769.0176</v>
      </c>
      <c r="G155" s="4">
        <f t="shared" si="38"/>
        <v>4660.1454345238399</v>
      </c>
      <c r="H155" s="5">
        <f t="shared" si="37"/>
        <v>4660145434523.8398</v>
      </c>
      <c r="I155" s="5">
        <f t="shared" si="28"/>
        <v>2509309080128.2217</v>
      </c>
      <c r="P155">
        <v>2082</v>
      </c>
      <c r="Q155" s="4">
        <v>2011.1433667222591</v>
      </c>
      <c r="R155" s="4">
        <v>1973.0254797604734</v>
      </c>
      <c r="S155" s="4">
        <v>2196.3953902862854</v>
      </c>
      <c r="T155" s="4">
        <v>6180.564236769018</v>
      </c>
      <c r="AE155">
        <v>2082</v>
      </c>
      <c r="AF155" s="39">
        <f t="shared" si="39"/>
        <v>0.32539802025803621</v>
      </c>
      <c r="AG155" s="39">
        <f t="shared" si="40"/>
        <v>0.31923064046849903</v>
      </c>
      <c r="AH155" s="39">
        <f t="shared" si="41"/>
        <v>0.35537133927346476</v>
      </c>
    </row>
    <row r="156" spans="2:34">
      <c r="B156">
        <v>2083</v>
      </c>
      <c r="C156" s="4">
        <v>4514.2957403051696</v>
      </c>
      <c r="D156">
        <f t="shared" si="35"/>
        <v>4514295740305.1699</v>
      </c>
      <c r="E156" s="4">
        <v>6156.9824118743527</v>
      </c>
      <c r="F156" s="5">
        <f t="shared" si="36"/>
        <v>6156982411874.3525</v>
      </c>
      <c r="G156" s="4">
        <f t="shared" si="38"/>
        <v>4642.3647385532622</v>
      </c>
      <c r="H156" s="5">
        <f t="shared" si="37"/>
        <v>4642364738553.2627</v>
      </c>
      <c r="I156" s="5">
        <f t="shared" si="28"/>
        <v>2499734859220.9873</v>
      </c>
      <c r="P156">
        <v>2083</v>
      </c>
      <c r="Q156" s="4">
        <v>2005.1272124022933</v>
      </c>
      <c r="R156" s="4">
        <v>1964.7292180291474</v>
      </c>
      <c r="S156" s="4">
        <v>2187.1259814429118</v>
      </c>
      <c r="T156" s="4">
        <v>6156.9824118743527</v>
      </c>
      <c r="AE156">
        <v>2083</v>
      </c>
      <c r="AF156" s="39">
        <f t="shared" si="39"/>
        <v>0.32566719835600083</v>
      </c>
      <c r="AG156" s="39">
        <f t="shared" si="40"/>
        <v>0.31910586819932629</v>
      </c>
      <c r="AH156" s="39">
        <f t="shared" si="41"/>
        <v>0.35522693344467282</v>
      </c>
    </row>
    <row r="157" spans="2:34">
      <c r="B157">
        <v>2084</v>
      </c>
      <c r="C157" s="4">
        <v>4473.1188842713545</v>
      </c>
      <c r="D157">
        <f t="shared" si="35"/>
        <v>4473118884271.3545</v>
      </c>
      <c r="E157" s="4">
        <v>6127.5751118127118</v>
      </c>
      <c r="F157" s="5">
        <f t="shared" si="36"/>
        <v>6127575111812.7119</v>
      </c>
      <c r="G157" s="4">
        <f t="shared" si="38"/>
        <v>4620.1916343067851</v>
      </c>
      <c r="H157" s="5">
        <f t="shared" si="37"/>
        <v>4620191634306.7852</v>
      </c>
      <c r="I157" s="5">
        <f t="shared" si="28"/>
        <v>2487795495395.9609</v>
      </c>
      <c r="P157">
        <v>2084</v>
      </c>
      <c r="Q157" s="4">
        <v>1996.9762646163963</v>
      </c>
      <c r="R157" s="4">
        <v>1954.9231750866106</v>
      </c>
      <c r="S157" s="4">
        <v>2175.6756721097045</v>
      </c>
      <c r="T157" s="4">
        <v>6127.5751118127118</v>
      </c>
      <c r="AE157">
        <v>2084</v>
      </c>
      <c r="AF157" s="39">
        <f t="shared" si="39"/>
        <v>0.32589992422396169</v>
      </c>
      <c r="AG157" s="39">
        <f t="shared" si="40"/>
        <v>0.31903699904353983</v>
      </c>
      <c r="AH157" s="39">
        <f t="shared" si="41"/>
        <v>0.35506307673249843</v>
      </c>
    </row>
    <row r="158" spans="2:34">
      <c r="B158">
        <v>2085</v>
      </c>
      <c r="C158" s="4">
        <v>4430.5594984789423</v>
      </c>
      <c r="D158">
        <f t="shared" si="35"/>
        <v>4430559498478.9424</v>
      </c>
      <c r="E158" s="4">
        <v>6093.6887377516987</v>
      </c>
      <c r="F158" s="5">
        <f t="shared" si="36"/>
        <v>6093688737751.6982</v>
      </c>
      <c r="G158" s="4">
        <f t="shared" si="38"/>
        <v>4594.6413082647805</v>
      </c>
      <c r="H158" s="5">
        <f t="shared" si="37"/>
        <v>4594641308264.7803</v>
      </c>
      <c r="I158" s="5">
        <f t="shared" si="28"/>
        <v>2474037627527.1895</v>
      </c>
      <c r="P158">
        <v>2085</v>
      </c>
      <c r="Q158" s="4">
        <v>1987.0877063158384</v>
      </c>
      <c r="R158" s="4">
        <v>1943.9172152542139</v>
      </c>
      <c r="S158" s="4">
        <v>2162.6838161816463</v>
      </c>
      <c r="T158" s="4">
        <v>6093.6887377516987</v>
      </c>
      <c r="AE158">
        <v>2085</v>
      </c>
      <c r="AF158" s="39">
        <f t="shared" si="39"/>
        <v>0.32608946597574096</v>
      </c>
      <c r="AG158" s="39">
        <f t="shared" si="40"/>
        <v>0.31900500647682134</v>
      </c>
      <c r="AH158" s="39">
        <f t="shared" si="41"/>
        <v>0.3549055275474377</v>
      </c>
    </row>
    <row r="159" spans="2:34">
      <c r="B159">
        <v>2086</v>
      </c>
      <c r="C159" s="4">
        <v>4387.8873328227492</v>
      </c>
      <c r="D159">
        <f t="shared" si="35"/>
        <v>4387887332822.749</v>
      </c>
      <c r="E159" s="4">
        <v>6056.4765620742055</v>
      </c>
      <c r="F159" s="5">
        <f t="shared" si="36"/>
        <v>6056476562074.2051</v>
      </c>
      <c r="G159" s="4">
        <f t="shared" si="38"/>
        <v>4566.5833278039509</v>
      </c>
      <c r="H159" s="5">
        <f t="shared" si="37"/>
        <v>4566583327803.9512</v>
      </c>
      <c r="I159" s="5">
        <f t="shared" si="28"/>
        <v>2458929484202.1279</v>
      </c>
      <c r="P159">
        <v>2086</v>
      </c>
      <c r="Q159" s="4">
        <v>1975.7780438503889</v>
      </c>
      <c r="R159" s="4">
        <v>1931.9581387232352</v>
      </c>
      <c r="S159" s="4">
        <v>2148.7403795005812</v>
      </c>
      <c r="T159" s="4">
        <v>6056.4765620742055</v>
      </c>
      <c r="AE159">
        <v>2086</v>
      </c>
      <c r="AF159" s="39">
        <f t="shared" si="39"/>
        <v>0.32622565671644072</v>
      </c>
      <c r="AG159" s="39">
        <f t="shared" si="40"/>
        <v>0.31899044253241249</v>
      </c>
      <c r="AH159" s="39">
        <f t="shared" si="41"/>
        <v>0.35478390075114674</v>
      </c>
    </row>
    <row r="160" spans="2:34">
      <c r="B160">
        <v>2087</v>
      </c>
      <c r="C160" s="4">
        <v>4345.2808507504969</v>
      </c>
      <c r="D160">
        <f t="shared" si="35"/>
        <v>4345280850750.4971</v>
      </c>
      <c r="E160" s="4">
        <v>6017.2732393136994</v>
      </c>
      <c r="F160" s="5">
        <f t="shared" si="36"/>
        <v>6017273239313.6992</v>
      </c>
      <c r="G160" s="4">
        <f t="shared" si="38"/>
        <v>4537.0240224425297</v>
      </c>
      <c r="H160" s="5">
        <f t="shared" si="37"/>
        <v>4537024022442.5293</v>
      </c>
      <c r="I160" s="5">
        <f t="shared" si="28"/>
        <v>2443012935161.3623</v>
      </c>
      <c r="P160">
        <v>2087</v>
      </c>
      <c r="Q160" s="4">
        <v>1963.4294301581858</v>
      </c>
      <c r="R160" s="4">
        <v>1919.3541599829014</v>
      </c>
      <c r="S160" s="4">
        <v>2134.4896491726117</v>
      </c>
      <c r="T160" s="4">
        <v>6017.2732393136994</v>
      </c>
      <c r="AE160">
        <v>2087</v>
      </c>
      <c r="AF160" s="39">
        <f t="shared" si="39"/>
        <v>0.32629886529502605</v>
      </c>
      <c r="AG160" s="39">
        <f t="shared" si="40"/>
        <v>0.31897407407774847</v>
      </c>
      <c r="AH160" s="39">
        <f t="shared" si="41"/>
        <v>0.35472706062722542</v>
      </c>
    </row>
    <row r="161" spans="2:34">
      <c r="B161">
        <v>2088</v>
      </c>
      <c r="C161" s="4">
        <v>4302.9555644428065</v>
      </c>
      <c r="D161">
        <f t="shared" si="35"/>
        <v>4302955564442.8066</v>
      </c>
      <c r="E161" s="4">
        <v>5977.6405159780425</v>
      </c>
      <c r="F161" s="5">
        <f t="shared" si="36"/>
        <v>5977640515978.042</v>
      </c>
      <c r="G161" s="4">
        <f t="shared" si="38"/>
        <v>4507.1409490474443</v>
      </c>
      <c r="H161" s="5">
        <f t="shared" si="37"/>
        <v>4507140949047.4443</v>
      </c>
      <c r="I161" s="5">
        <f t="shared" si="28"/>
        <v>2426922049487.0854</v>
      </c>
      <c r="P161">
        <v>2088</v>
      </c>
      <c r="Q161" s="4">
        <v>1950.5074721663764</v>
      </c>
      <c r="R161" s="4">
        <v>1906.4983493808534</v>
      </c>
      <c r="S161" s="4">
        <v>2120.6346944308129</v>
      </c>
      <c r="T161" s="4">
        <v>5977.6405159780425</v>
      </c>
      <c r="AE161">
        <v>2088</v>
      </c>
      <c r="AF161" s="39">
        <f t="shared" si="39"/>
        <v>0.32630056406917279</v>
      </c>
      <c r="AG161" s="39">
        <f t="shared" si="40"/>
        <v>0.31893827410411252</v>
      </c>
      <c r="AH161" s="39">
        <f t="shared" si="41"/>
        <v>0.35476116182671474</v>
      </c>
    </row>
    <row r="162" spans="2:34">
      <c r="B162">
        <v>2089</v>
      </c>
      <c r="C162" s="4">
        <v>4261.4987922898508</v>
      </c>
      <c r="D162">
        <f t="shared" si="35"/>
        <v>4261498792289.8506</v>
      </c>
      <c r="E162" s="4">
        <v>5938.8240106993926</v>
      </c>
      <c r="F162" s="5">
        <f t="shared" si="36"/>
        <v>5938824010699.3926</v>
      </c>
      <c r="G162" s="4">
        <f t="shared" si="38"/>
        <v>4477.8733040673424</v>
      </c>
      <c r="H162" s="5">
        <f t="shared" si="37"/>
        <v>4477873304067.3428</v>
      </c>
      <c r="I162" s="5">
        <f t="shared" ref="I162:I173" si="42">E162*($J$11+K82)*$J$4</f>
        <v>2411162548343.9536</v>
      </c>
      <c r="P162">
        <v>2089</v>
      </c>
      <c r="Q162" s="4">
        <v>1937.3683880890944</v>
      </c>
      <c r="R162" s="4">
        <v>1893.7037090359736</v>
      </c>
      <c r="S162" s="4">
        <v>2107.7519135743241</v>
      </c>
      <c r="T162" s="4">
        <v>5938.8240106993926</v>
      </c>
      <c r="AE162">
        <v>2089</v>
      </c>
      <c r="AF162" s="39">
        <f t="shared" si="39"/>
        <v>0.32622087884718071</v>
      </c>
      <c r="AG162" s="39">
        <f t="shared" si="40"/>
        <v>0.31886846716189515</v>
      </c>
      <c r="AH162" s="39">
        <f t="shared" si="41"/>
        <v>0.35491065399092409</v>
      </c>
    </row>
    <row r="163" spans="2:34">
      <c r="B163">
        <v>2090</v>
      </c>
      <c r="C163" s="4">
        <v>4221.456912702778</v>
      </c>
      <c r="D163">
        <f t="shared" si="35"/>
        <v>4221456912702.7778</v>
      </c>
      <c r="E163" s="4">
        <v>5901.8621344407384</v>
      </c>
      <c r="F163" s="5">
        <f t="shared" si="36"/>
        <v>5901862134440.7383</v>
      </c>
      <c r="G163" s="4">
        <f t="shared" si="38"/>
        <v>4450.0040493683164</v>
      </c>
      <c r="H163" s="5">
        <f t="shared" si="37"/>
        <v>4450004049368.3164</v>
      </c>
      <c r="I163" s="5">
        <f t="shared" si="42"/>
        <v>2396156026582.9399</v>
      </c>
      <c r="P163">
        <v>2090</v>
      </c>
      <c r="Q163" s="4">
        <v>1924.2990594086259</v>
      </c>
      <c r="R163" s="4">
        <v>1881.2433235444685</v>
      </c>
      <c r="S163" s="4">
        <v>2096.3197514876438</v>
      </c>
      <c r="T163" s="4">
        <v>5901.8621344407384</v>
      </c>
      <c r="AE163">
        <v>2090</v>
      </c>
      <c r="AF163" s="39">
        <f t="shared" si="39"/>
        <v>0.32604947651678295</v>
      </c>
      <c r="AG163" s="39">
        <f t="shared" si="40"/>
        <v>0.31875419667401894</v>
      </c>
      <c r="AH163" s="39">
        <f t="shared" si="41"/>
        <v>0.35519632680919805</v>
      </c>
    </row>
    <row r="164" spans="2:34">
      <c r="B164">
        <v>2091</v>
      </c>
      <c r="C164" s="4">
        <v>4183.3622198616704</v>
      </c>
      <c r="D164">
        <f t="shared" ref="D164:D173" si="43">C164*$J$4</f>
        <v>4183362219861.6704</v>
      </c>
      <c r="E164" s="4">
        <v>5867.5832854341788</v>
      </c>
      <c r="F164" s="5">
        <f t="shared" ref="F164:F173" si="44">E164*$J$4</f>
        <v>5867583285434.1787</v>
      </c>
      <c r="G164" s="4">
        <f t="shared" si="38"/>
        <v>4424.1577972173709</v>
      </c>
      <c r="H164" s="5">
        <f t="shared" ref="H164:H173" si="45">G164*$J$4</f>
        <v>4424157797217.3711</v>
      </c>
      <c r="I164" s="5">
        <f t="shared" si="42"/>
        <v>2382238813886.2764</v>
      </c>
      <c r="P164">
        <v>2091</v>
      </c>
      <c r="Q164" s="4">
        <v>1911.5261386818333</v>
      </c>
      <c r="R164" s="4">
        <v>1869.3507157664553</v>
      </c>
      <c r="S164" s="4">
        <v>2086.7064309858906</v>
      </c>
      <c r="T164" s="4">
        <v>5867.5832854341788</v>
      </c>
      <c r="AE164">
        <v>2091</v>
      </c>
      <c r="AF164" s="39">
        <f t="shared" si="39"/>
        <v>0.32577741903162227</v>
      </c>
      <c r="AG164" s="39">
        <f t="shared" si="40"/>
        <v>0.31858954953515084</v>
      </c>
      <c r="AH164" s="39">
        <f t="shared" si="41"/>
        <v>0.355633031433227</v>
      </c>
    </row>
    <row r="165" spans="2:34">
      <c r="B165">
        <v>2092</v>
      </c>
      <c r="C165" s="4">
        <v>4147.6502966987682</v>
      </c>
      <c r="D165">
        <f t="shared" si="43"/>
        <v>4147650296698.7681</v>
      </c>
      <c r="E165" s="4">
        <v>5836.5757187891213</v>
      </c>
      <c r="F165" s="5">
        <f t="shared" si="44"/>
        <v>5836575718789.1211</v>
      </c>
      <c r="G165" s="4">
        <f t="shared" si="38"/>
        <v>4400.7780919669976</v>
      </c>
      <c r="H165" s="5">
        <f t="shared" si="45"/>
        <v>4400778091966.998</v>
      </c>
      <c r="I165" s="5">
        <f t="shared" si="42"/>
        <v>2369649741828.3833</v>
      </c>
      <c r="P165">
        <v>2092</v>
      </c>
      <c r="Q165" s="4">
        <v>1899.2114299529462</v>
      </c>
      <c r="R165" s="4">
        <v>1858.2084503009455</v>
      </c>
      <c r="S165" s="4">
        <v>2079.1558385352291</v>
      </c>
      <c r="T165" s="4">
        <v>5836.5757187891213</v>
      </c>
      <c r="AE165">
        <v>2092</v>
      </c>
      <c r="AF165" s="39">
        <f t="shared" si="39"/>
        <v>0.3253982337347221</v>
      </c>
      <c r="AG165" s="39">
        <f t="shared" si="40"/>
        <v>0.31837305636573782</v>
      </c>
      <c r="AH165" s="39">
        <f t="shared" si="41"/>
        <v>0.35622870989954003</v>
      </c>
    </row>
    <row r="166" spans="2:34">
      <c r="B166">
        <v>2093</v>
      </c>
      <c r="C166" s="4">
        <v>4116.3949559774828</v>
      </c>
      <c r="D166">
        <f t="shared" si="43"/>
        <v>4116394955977.4829</v>
      </c>
      <c r="E166" s="4">
        <v>5809.1670632809464</v>
      </c>
      <c r="F166" s="5">
        <f t="shared" si="44"/>
        <v>5809167063280.9463</v>
      </c>
      <c r="G166" s="4">
        <f t="shared" si="38"/>
        <v>4380.1119657138333</v>
      </c>
      <c r="H166" s="5">
        <f t="shared" si="45"/>
        <v>4380111965713.8335</v>
      </c>
      <c r="I166" s="5">
        <f t="shared" si="42"/>
        <v>2358521827692.0645</v>
      </c>
      <c r="P166">
        <v>2093</v>
      </c>
      <c r="Q166" s="4">
        <v>1887.4491237912575</v>
      </c>
      <c r="R166" s="4">
        <v>1847.9401118434905</v>
      </c>
      <c r="S166" s="4">
        <v>2073.7778276461986</v>
      </c>
      <c r="T166" s="4">
        <v>5809.1670632809464</v>
      </c>
      <c r="AE166">
        <v>2093</v>
      </c>
      <c r="AF166" s="39">
        <f t="shared" si="39"/>
        <v>0.3249087353196638</v>
      </c>
      <c r="AG166" s="39">
        <f t="shared" si="40"/>
        <v>0.31810758611576179</v>
      </c>
      <c r="AH166" s="39">
        <f t="shared" si="41"/>
        <v>0.35698367856457452</v>
      </c>
    </row>
    <row r="167" spans="2:34">
      <c r="B167">
        <v>2094</v>
      </c>
      <c r="C167" s="4">
        <v>4090.1086058613914</v>
      </c>
      <c r="D167">
        <f t="shared" si="43"/>
        <v>4090108605861.3916</v>
      </c>
      <c r="E167" s="4">
        <v>5785.4490824239319</v>
      </c>
      <c r="F167" s="5">
        <f t="shared" si="44"/>
        <v>5785449082423.9316</v>
      </c>
      <c r="G167" s="4">
        <f t="shared" si="38"/>
        <v>4362.228608147645</v>
      </c>
      <c r="H167" s="5">
        <f t="shared" si="45"/>
        <v>4362228608147.645</v>
      </c>
      <c r="I167" s="5">
        <f t="shared" si="42"/>
        <v>2348892327464.1167</v>
      </c>
      <c r="P167">
        <v>2094</v>
      </c>
      <c r="Q167" s="4">
        <v>1876.2747992271304</v>
      </c>
      <c r="R167" s="4">
        <v>1838.6155419095569</v>
      </c>
      <c r="S167" s="4">
        <v>2070.5587412872446</v>
      </c>
      <c r="T167" s="4">
        <v>5785.4490824239319</v>
      </c>
      <c r="AE167">
        <v>2094</v>
      </c>
      <c r="AF167" s="39">
        <f t="shared" si="39"/>
        <v>0.32430927530366005</v>
      </c>
      <c r="AG167" s="39">
        <f t="shared" si="40"/>
        <v>0.31779996949506145</v>
      </c>
      <c r="AH167" s="39">
        <f t="shared" si="41"/>
        <v>0.3578907552012785</v>
      </c>
    </row>
    <row r="168" spans="2:34">
      <c r="B168">
        <v>2095</v>
      </c>
      <c r="C168" s="4">
        <v>4067.41676531145</v>
      </c>
      <c r="D168">
        <f t="shared" si="43"/>
        <v>4067416765311.4502</v>
      </c>
      <c r="E168" s="4">
        <v>5765.2682190104042</v>
      </c>
      <c r="F168" s="5">
        <f t="shared" si="44"/>
        <v>5765268219010.4043</v>
      </c>
      <c r="G168" s="4">
        <f t="shared" si="38"/>
        <v>4347.0122371338448</v>
      </c>
      <c r="H168" s="5">
        <f t="shared" si="45"/>
        <v>4347012237133.8447</v>
      </c>
      <c r="I168" s="5">
        <f t="shared" si="42"/>
        <v>2340698896918.2241</v>
      </c>
      <c r="P168">
        <v>2095</v>
      </c>
      <c r="Q168" s="4">
        <v>1865.6640212826696</v>
      </c>
      <c r="R168" s="4">
        <v>1830.2433538872554</v>
      </c>
      <c r="S168" s="4">
        <v>2069.3608438404785</v>
      </c>
      <c r="T168" s="4">
        <v>5765.2682190104042</v>
      </c>
      <c r="AE168">
        <v>2095</v>
      </c>
      <c r="AF168" s="39">
        <f t="shared" si="39"/>
        <v>0.3236040285395268</v>
      </c>
      <c r="AG168" s="39">
        <f t="shared" si="40"/>
        <v>0.31746022636938348</v>
      </c>
      <c r="AH168" s="39">
        <f t="shared" si="41"/>
        <v>0.35893574509108961</v>
      </c>
    </row>
    <row r="169" spans="2:34">
      <c r="B169">
        <v>2096</v>
      </c>
      <c r="C169" s="4">
        <v>4049.7487060881608</v>
      </c>
      <c r="D169">
        <f t="shared" si="43"/>
        <v>4049748706088.1606</v>
      </c>
      <c r="E169" s="4">
        <v>5748.2750959401747</v>
      </c>
      <c r="F169" s="5">
        <f t="shared" si="44"/>
        <v>5748275095940.1748</v>
      </c>
      <c r="G169" s="4">
        <f t="shared" si="38"/>
        <v>4334.199422338892</v>
      </c>
      <c r="H169" s="5">
        <f t="shared" si="45"/>
        <v>4334199422338.8921</v>
      </c>
      <c r="I169" s="5">
        <f t="shared" si="42"/>
        <v>2333799688951.7114</v>
      </c>
      <c r="P169">
        <v>2096</v>
      </c>
      <c r="Q169" s="4">
        <v>1855.5463691839959</v>
      </c>
      <c r="R169" s="4">
        <v>1822.7825775037963</v>
      </c>
      <c r="S169" s="4">
        <v>2069.9461492523828</v>
      </c>
      <c r="T169" s="4">
        <v>5748.2750959401747</v>
      </c>
      <c r="AE169">
        <v>2096</v>
      </c>
      <c r="AF169" s="39">
        <f t="shared" si="39"/>
        <v>0.32280055115916595</v>
      </c>
      <c r="AG169" s="39">
        <f t="shared" si="40"/>
        <v>0.31710079059910862</v>
      </c>
      <c r="AH169" s="39">
        <f t="shared" si="41"/>
        <v>0.36009865824172549</v>
      </c>
    </row>
    <row r="170" spans="2:34">
      <c r="B170">
        <v>2097</v>
      </c>
      <c r="C170" s="4">
        <v>4036.8170097724424</v>
      </c>
      <c r="D170">
        <f t="shared" si="43"/>
        <v>4036817009772.4424</v>
      </c>
      <c r="E170" s="4">
        <v>5733.9551493689823</v>
      </c>
      <c r="F170" s="5">
        <f t="shared" si="44"/>
        <v>5733955149368.9824</v>
      </c>
      <c r="G170" s="4">
        <f t="shared" si="38"/>
        <v>4323.4021826242124</v>
      </c>
      <c r="H170" s="5">
        <f t="shared" si="45"/>
        <v>4323402182624.2124</v>
      </c>
      <c r="I170" s="5">
        <f t="shared" si="42"/>
        <v>2327985790643.8071</v>
      </c>
      <c r="P170">
        <v>2097</v>
      </c>
      <c r="Q170" s="4">
        <v>1845.8162475216466</v>
      </c>
      <c r="R170" s="4">
        <v>1816.1466725810224</v>
      </c>
      <c r="S170" s="4">
        <v>2071.9922292663132</v>
      </c>
      <c r="T170" s="4">
        <v>5733.9551493689823</v>
      </c>
      <c r="AE170">
        <v>2097</v>
      </c>
      <c r="AF170" s="39">
        <f t="shared" si="39"/>
        <v>0.32190978119610464</v>
      </c>
      <c r="AG170" s="39">
        <f t="shared" si="40"/>
        <v>0.31673541652673859</v>
      </c>
      <c r="AH170" s="39">
        <f t="shared" si="41"/>
        <v>0.36135480227715672</v>
      </c>
    </row>
    <row r="171" spans="2:34">
      <c r="B171">
        <v>2098</v>
      </c>
      <c r="C171" s="4">
        <v>4028.4043416742334</v>
      </c>
      <c r="D171">
        <f t="shared" si="43"/>
        <v>4028404341674.2334</v>
      </c>
      <c r="E171" s="4">
        <v>5721.6763714921872</v>
      </c>
      <c r="F171" s="5">
        <f t="shared" si="44"/>
        <v>5721676371492.1875</v>
      </c>
      <c r="G171" s="4">
        <f t="shared" si="38"/>
        <v>4314.1439841051088</v>
      </c>
      <c r="H171" s="5">
        <f t="shared" si="45"/>
        <v>4314143984105.1089</v>
      </c>
      <c r="I171" s="5">
        <f t="shared" si="42"/>
        <v>2323000606825.8281</v>
      </c>
      <c r="P171">
        <v>2098</v>
      </c>
      <c r="Q171" s="4">
        <v>1836.3477253834969</v>
      </c>
      <c r="R171" s="4">
        <v>1810.2129104270675</v>
      </c>
      <c r="S171" s="4">
        <v>2075.1157356816229</v>
      </c>
      <c r="T171" s="4">
        <v>5721.6763714921872</v>
      </c>
      <c r="AE171">
        <v>2098</v>
      </c>
      <c r="AF171" s="39">
        <f t="shared" si="39"/>
        <v>0.32094575193608615</v>
      </c>
      <c r="AG171" s="39">
        <f t="shared" si="40"/>
        <v>0.31637806700258586</v>
      </c>
      <c r="AH171" s="39">
        <f t="shared" si="41"/>
        <v>0.36267618106132804</v>
      </c>
    </row>
    <row r="172" spans="2:34">
      <c r="B172">
        <v>2099</v>
      </c>
      <c r="C172" s="4">
        <v>4024.2471445711544</v>
      </c>
      <c r="D172">
        <f t="shared" si="43"/>
        <v>4024247144571.1543</v>
      </c>
      <c r="E172" s="4">
        <v>5710.7326092780204</v>
      </c>
      <c r="F172" s="5">
        <f t="shared" si="44"/>
        <v>5710732609278.0205</v>
      </c>
      <c r="G172" s="4">
        <f t="shared" si="38"/>
        <v>4305.8923873956273</v>
      </c>
      <c r="H172" s="5">
        <f t="shared" si="45"/>
        <v>4305892387395.6274</v>
      </c>
      <c r="I172" s="5">
        <f t="shared" si="42"/>
        <v>2318557439366.8765</v>
      </c>
      <c r="P172">
        <v>2099</v>
      </c>
      <c r="Q172" s="4">
        <v>1827.0082123175282</v>
      </c>
      <c r="R172" s="4">
        <v>1804.8305596257383</v>
      </c>
      <c r="S172" s="4">
        <v>2078.8938373347542</v>
      </c>
      <c r="T172" s="4">
        <v>5710.7326092780204</v>
      </c>
      <c r="AE172">
        <v>2099</v>
      </c>
      <c r="AF172" s="39">
        <f t="shared" si="39"/>
        <v>0.31992536462821847</v>
      </c>
      <c r="AG172" s="39">
        <f t="shared" si="40"/>
        <v>0.31604186067011708</v>
      </c>
      <c r="AH172" s="39">
        <f t="shared" si="41"/>
        <v>0.36403277470166451</v>
      </c>
    </row>
    <row r="173" spans="2:34">
      <c r="B173">
        <v>2100</v>
      </c>
      <c r="C173" s="4">
        <v>2297.3388967292512</v>
      </c>
      <c r="D173">
        <f t="shared" si="43"/>
        <v>2297338896729.2515</v>
      </c>
      <c r="E173" s="4">
        <v>5700.3875656194978</v>
      </c>
      <c r="F173" s="5">
        <f t="shared" si="44"/>
        <v>5700387565619.498</v>
      </c>
      <c r="G173" s="4">
        <f t="shared" si="38"/>
        <v>4298.0922244771009</v>
      </c>
      <c r="H173" s="5">
        <f t="shared" si="45"/>
        <v>4298092224477.1011</v>
      </c>
      <c r="I173" s="5">
        <f t="shared" si="42"/>
        <v>2314357351641.5161</v>
      </c>
      <c r="P173">
        <v>2100</v>
      </c>
      <c r="Q173" s="4">
        <v>1817.6719650014904</v>
      </c>
      <c r="R173" s="4">
        <v>1799.8294561543964</v>
      </c>
      <c r="S173" s="4">
        <v>2082.8861444636109</v>
      </c>
      <c r="T173" s="4">
        <v>5700.3875656194978</v>
      </c>
      <c r="AE173">
        <v>2100</v>
      </c>
      <c r="AF173" s="39">
        <f t="shared" si="39"/>
        <v>0.31886813731128338</v>
      </c>
      <c r="AG173" s="39">
        <f t="shared" si="40"/>
        <v>0.31573808542591569</v>
      </c>
      <c r="AH173" s="39">
        <f t="shared" si="41"/>
        <v>0.36539377726280092</v>
      </c>
    </row>
  </sheetData>
  <pageMargins left="0.7" right="0.7" top="0.75" bottom="0.75" header="0.3" footer="0.3"/>
  <pageSetup orientation="portrait" horizontalDpi="0" verticalDpi="0" copies="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4A38C-6199-40D7-A17F-E5D4992EC1E8}">
  <sheetPr codeName="Sheet12"/>
  <dimension ref="B1:AL27"/>
  <sheetViews>
    <sheetView zoomScale="52" workbookViewId="0">
      <selection activeCell="B28" sqref="B28"/>
    </sheetView>
  </sheetViews>
  <sheetFormatPr defaultColWidth="9.1796875" defaultRowHeight="14.5"/>
  <cols>
    <col min="1" max="1" width="1.6328125" customWidth="1"/>
    <col min="2" max="2" width="20.36328125" customWidth="1"/>
    <col min="3" max="38" width="12.6328125" customWidth="1"/>
  </cols>
  <sheetData>
    <row r="1" spans="2:38" ht="17.5">
      <c r="B1" s="105" t="s">
        <v>10</v>
      </c>
    </row>
    <row r="2" spans="2:38" ht="10" customHeight="1"/>
    <row r="3" spans="2:38">
      <c r="B3" s="166" t="s">
        <v>66</v>
      </c>
      <c r="C3" s="164">
        <v>2001</v>
      </c>
      <c r="D3" s="165"/>
      <c r="E3" s="164">
        <v>2002</v>
      </c>
      <c r="F3" s="165"/>
      <c r="G3" s="164">
        <v>2003</v>
      </c>
      <c r="H3" s="165"/>
      <c r="I3" s="164">
        <v>2004</v>
      </c>
      <c r="J3" s="165"/>
      <c r="K3" s="164">
        <v>2005</v>
      </c>
      <c r="L3" s="165"/>
      <c r="M3" s="164">
        <v>2006</v>
      </c>
      <c r="N3" s="165"/>
      <c r="O3" s="164">
        <v>2007</v>
      </c>
      <c r="P3" s="165"/>
      <c r="Q3" s="164">
        <v>2008</v>
      </c>
      <c r="R3" s="165"/>
      <c r="S3" s="164">
        <v>2009</v>
      </c>
      <c r="T3" s="165"/>
      <c r="U3" s="164">
        <v>2010</v>
      </c>
      <c r="V3" s="165"/>
      <c r="W3" s="164">
        <v>2011</v>
      </c>
      <c r="X3" s="165"/>
      <c r="Y3" s="164">
        <v>2012</v>
      </c>
      <c r="Z3" s="165"/>
      <c r="AA3" s="164">
        <v>2013</v>
      </c>
      <c r="AB3" s="165"/>
      <c r="AC3" s="164">
        <v>2014</v>
      </c>
      <c r="AD3" s="165"/>
      <c r="AE3" s="164">
        <v>2015</v>
      </c>
      <c r="AF3" s="165"/>
      <c r="AG3" s="164">
        <v>2016</v>
      </c>
      <c r="AH3" s="165"/>
      <c r="AI3" s="164">
        <v>2017</v>
      </c>
      <c r="AJ3" s="165"/>
      <c r="AK3" s="166">
        <v>2018</v>
      </c>
      <c r="AL3" s="166"/>
    </row>
    <row r="4" spans="2:38" ht="29">
      <c r="B4" s="166"/>
      <c r="C4" s="27" t="s">
        <v>67</v>
      </c>
      <c r="D4" s="27" t="s">
        <v>68</v>
      </c>
      <c r="E4" s="27" t="s">
        <v>67</v>
      </c>
      <c r="F4" s="27" t="s">
        <v>68</v>
      </c>
      <c r="G4" s="27" t="s">
        <v>67</v>
      </c>
      <c r="H4" s="27" t="s">
        <v>68</v>
      </c>
      <c r="I4" s="27" t="s">
        <v>67</v>
      </c>
      <c r="J4" s="27" t="s">
        <v>68</v>
      </c>
      <c r="K4" s="27" t="s">
        <v>67</v>
      </c>
      <c r="L4" s="27" t="s">
        <v>68</v>
      </c>
      <c r="M4" s="27" t="s">
        <v>67</v>
      </c>
      <c r="N4" s="27" t="s">
        <v>68</v>
      </c>
      <c r="O4" s="27" t="s">
        <v>67</v>
      </c>
      <c r="P4" s="27" t="s">
        <v>68</v>
      </c>
      <c r="Q4" s="27" t="s">
        <v>67</v>
      </c>
      <c r="R4" s="27" t="s">
        <v>68</v>
      </c>
      <c r="S4" s="27" t="s">
        <v>67</v>
      </c>
      <c r="T4" s="27" t="s">
        <v>68</v>
      </c>
      <c r="U4" s="27" t="s">
        <v>67</v>
      </c>
      <c r="V4" s="27" t="s">
        <v>68</v>
      </c>
      <c r="W4" s="27" t="s">
        <v>67</v>
      </c>
      <c r="X4" s="27" t="s">
        <v>68</v>
      </c>
      <c r="Y4" s="27" t="s">
        <v>67</v>
      </c>
      <c r="Z4" s="27" t="s">
        <v>68</v>
      </c>
      <c r="AA4" s="27" t="s">
        <v>67</v>
      </c>
      <c r="AB4" s="27" t="s">
        <v>68</v>
      </c>
      <c r="AC4" s="27" t="s">
        <v>67</v>
      </c>
      <c r="AD4" s="27" t="s">
        <v>68</v>
      </c>
      <c r="AE4" s="27" t="s">
        <v>67</v>
      </c>
      <c r="AF4" s="27" t="s">
        <v>68</v>
      </c>
      <c r="AG4" s="27" t="s">
        <v>67</v>
      </c>
      <c r="AH4" s="27" t="s">
        <v>68</v>
      </c>
      <c r="AI4" s="27" t="s">
        <v>67</v>
      </c>
      <c r="AJ4" s="27" t="s">
        <v>68</v>
      </c>
      <c r="AK4" s="27" t="s">
        <v>67</v>
      </c>
      <c r="AL4" s="27" t="s">
        <v>68</v>
      </c>
    </row>
    <row r="5" spans="2:38">
      <c r="B5" s="18" t="s">
        <v>69</v>
      </c>
      <c r="C5" s="26">
        <v>3802</v>
      </c>
      <c r="D5" s="28">
        <f t="shared" ref="D5:D26" si="0">C5/SUM($C$5:$C$26)</f>
        <v>8.7050494782007423E-3</v>
      </c>
      <c r="E5" s="26">
        <v>3918</v>
      </c>
      <c r="F5" s="28">
        <f>E5/SUM($E$5:$E$26)</f>
        <v>8.9760478355994915E-3</v>
      </c>
      <c r="G5" s="25">
        <v>3886</v>
      </c>
      <c r="H5" s="28">
        <f>G5/SUM($G$5:$G$26)</f>
        <v>8.6732518982681733E-3</v>
      </c>
      <c r="I5" s="25">
        <v>3976</v>
      </c>
      <c r="J5" s="28">
        <f>I5/SUM($I$5:$I$26)</f>
        <v>8.5373069200594901E-3</v>
      </c>
      <c r="K5" s="25">
        <v>4736</v>
      </c>
      <c r="L5" s="28">
        <f>K5/SUM($K$5:$K$26)</f>
        <v>9.8949838428243654E-3</v>
      </c>
      <c r="M5" s="25">
        <v>4700</v>
      </c>
      <c r="N5" s="28">
        <f>M5/SUM($M$5:$M$26)</f>
        <v>9.2495004167706812E-3</v>
      </c>
      <c r="O5" s="24">
        <v>5202.5</v>
      </c>
      <c r="P5" s="28">
        <f>O5/SUM($O$5:$O$26)</f>
        <v>1.0010348343112927E-2</v>
      </c>
      <c r="Q5" s="24">
        <v>5309.2</v>
      </c>
      <c r="R5" s="28">
        <f>Q5/SUM($Q$5:$Q$26)</f>
        <v>1.1204035684705932E-2</v>
      </c>
      <c r="S5" s="24">
        <v>4646</v>
      </c>
      <c r="T5" s="28">
        <f>S5/SUM($S$5:$S$26)</f>
        <v>1.1573733304151713E-2</v>
      </c>
      <c r="U5" s="24">
        <v>4254</v>
      </c>
      <c r="V5" s="28">
        <f>U5/SUM($U$5:$U$26)</f>
        <v>1.0385979903714836E-2</v>
      </c>
      <c r="W5" s="23">
        <v>4427</v>
      </c>
      <c r="X5" s="28">
        <f>W5/SUM($W$5:$W$26)</f>
        <v>1.0623975579495031E-2</v>
      </c>
      <c r="Y5" s="23">
        <v>4455</v>
      </c>
      <c r="Z5" s="28">
        <f>Y5/SUM($Y$5:$Y$26)</f>
        <v>1.084923580466992E-2</v>
      </c>
      <c r="AA5" s="23">
        <v>4385</v>
      </c>
      <c r="AB5" s="28">
        <f>AA5/SUM($AA$5:$AA$26)</f>
        <v>1.0346275812601457E-2</v>
      </c>
      <c r="AC5" s="23">
        <v>4400</v>
      </c>
      <c r="AD5" s="28">
        <f>AC5/SUM($AC$5:$AC$26)</f>
        <v>1.0147367450012684E-2</v>
      </c>
      <c r="AE5" s="18">
        <v>4700</v>
      </c>
      <c r="AF5" s="28">
        <f>AE5/SUM($AE$5:$AE$26)</f>
        <v>1.1016210236168797E-2</v>
      </c>
      <c r="AG5" s="18">
        <v>4800</v>
      </c>
      <c r="AH5" s="28">
        <f>AG5/SUM($AG$5:$AG$26)</f>
        <v>1.1328797094163545E-2</v>
      </c>
      <c r="AI5" s="18">
        <v>4900</v>
      </c>
      <c r="AJ5" s="28">
        <f>AI5/SUM($AI$5:$AI$26)</f>
        <v>1.1277226446707049E-2</v>
      </c>
      <c r="AK5" s="18">
        <v>5200</v>
      </c>
      <c r="AL5" s="28">
        <f>AK5/SUM($AK$5:$AK$26)</f>
        <v>1.2140852568023795E-2</v>
      </c>
    </row>
    <row r="6" spans="2:38">
      <c r="B6" s="18" t="s">
        <v>70</v>
      </c>
      <c r="C6" s="26">
        <v>7157</v>
      </c>
      <c r="D6" s="28">
        <f t="shared" si="0"/>
        <v>1.638664889939051E-2</v>
      </c>
      <c r="E6" s="26">
        <v>6980</v>
      </c>
      <c r="F6" s="28">
        <f t="shared" ref="F6:F26" si="1">E6/SUM($E$5:$E$26)</f>
        <v>1.5991019370210427E-2</v>
      </c>
      <c r="G6" s="25">
        <v>6550</v>
      </c>
      <c r="H6" s="28">
        <f t="shared" ref="H6:H26" si="2">G6/SUM($G$5:$G$26)</f>
        <v>1.4619094167178728E-2</v>
      </c>
      <c r="I6" s="25">
        <v>6715</v>
      </c>
      <c r="J6" s="28">
        <f t="shared" ref="J6:J26" si="3">I6/SUM($I$5:$I$26)</f>
        <v>1.4418515082545139E-2</v>
      </c>
      <c r="K6" s="25">
        <v>7594</v>
      </c>
      <c r="L6" s="28">
        <f t="shared" ref="L6:L26" si="4">K6/SUM($K$5:$K$26)</f>
        <v>1.5866238872974711E-2</v>
      </c>
      <c r="M6" s="25">
        <v>8192</v>
      </c>
      <c r="N6" s="28">
        <f t="shared" ref="N6:N26" si="5">M6/SUM($M$5:$M$26)</f>
        <v>1.612168242855009E-2</v>
      </c>
      <c r="O6" s="24">
        <v>9570.99</v>
      </c>
      <c r="P6" s="28">
        <f t="shared" ref="P6:P26" si="6">O6/SUM($O$5:$O$26)</f>
        <v>1.841594308283525E-2</v>
      </c>
      <c r="Q6" s="24">
        <v>6225.1440000000002</v>
      </c>
      <c r="R6" s="28">
        <f t="shared" ref="R6:R26" si="7">Q6/SUM($Q$5:$Q$26)</f>
        <v>1.3136957643040953E-2</v>
      </c>
      <c r="S6" s="24">
        <v>9403.4230000000007</v>
      </c>
      <c r="T6" s="28">
        <f t="shared" ref="T6:T26" si="8">S6/SUM($S$5:$S$26)</f>
        <v>2.3425034427061179E-2</v>
      </c>
      <c r="U6" s="24">
        <v>8722.4770000000008</v>
      </c>
      <c r="V6" s="28">
        <f t="shared" ref="V6:V26" si="9">U6/SUM($U$5:$U$26)</f>
        <v>2.1295597280821549E-2</v>
      </c>
      <c r="W6" s="23">
        <v>6954</v>
      </c>
      <c r="X6" s="28">
        <f t="shared" ref="X6:X26" si="10">W6/SUM($W$5:$W$26)</f>
        <v>1.6688304987532966E-2</v>
      </c>
      <c r="Y6" s="23">
        <v>6280</v>
      </c>
      <c r="Z6" s="28">
        <f t="shared" ref="Z6:Z26" si="11">Y6/SUM($Y$5:$Y$26)</f>
        <v>1.5293647778524601E-2</v>
      </c>
      <c r="AA6" s="23">
        <v>6119</v>
      </c>
      <c r="AB6" s="28">
        <f t="shared" ref="AB6:AB26" si="12">AA6/SUM($AA$5:$AA$26)</f>
        <v>1.4437596738268716E-2</v>
      </c>
      <c r="AC6" s="23">
        <v>6364</v>
      </c>
      <c r="AD6" s="28">
        <f t="shared" ref="AD6:AD26" si="13">AC6/SUM($AC$5:$AC$26)</f>
        <v>1.4676783284518345E-2</v>
      </c>
      <c r="AE6" s="18">
        <v>6275</v>
      </c>
      <c r="AF6" s="28">
        <f t="shared" ref="AF6:AF26" si="14">AE6/SUM($AE$5:$AE$26)</f>
        <v>1.470781260254451E-2</v>
      </c>
      <c r="AG6" s="18">
        <v>6255</v>
      </c>
      <c r="AH6" s="28">
        <f t="shared" ref="AH6:AH26" si="15">AG6/SUM($AG$5:$AG$26)</f>
        <v>1.476283871333187E-2</v>
      </c>
      <c r="AI6" s="18">
        <v>6513</v>
      </c>
      <c r="AJ6" s="28">
        <f t="shared" ref="AJ6:AJ26" si="16">AI6/SUM($AI$5:$AI$26)</f>
        <v>1.4989505274980207E-2</v>
      </c>
      <c r="AK6" s="18">
        <v>6737</v>
      </c>
      <c r="AL6" s="28">
        <f t="shared" ref="AL6:AL26" si="17">AK6/SUM($AK$5:$AK$26)</f>
        <v>1.572940841361083E-2</v>
      </c>
    </row>
    <row r="7" spans="2:38">
      <c r="B7" s="18" t="s">
        <v>71</v>
      </c>
      <c r="C7" s="26">
        <v>3550</v>
      </c>
      <c r="D7" s="28">
        <f t="shared" si="0"/>
        <v>8.1280709225703945E-3</v>
      </c>
      <c r="E7" s="26">
        <v>3217</v>
      </c>
      <c r="F7" s="28">
        <f t="shared" si="1"/>
        <v>7.3700729676170404E-3</v>
      </c>
      <c r="G7" s="25">
        <v>3502</v>
      </c>
      <c r="H7" s="28">
        <f t="shared" si="2"/>
        <v>7.8161935531999849E-3</v>
      </c>
      <c r="I7" s="25">
        <v>3828.6770000000001</v>
      </c>
      <c r="J7" s="28">
        <f t="shared" si="3"/>
        <v>8.2209735027094083E-3</v>
      </c>
      <c r="K7" s="25">
        <v>3978.056</v>
      </c>
      <c r="L7" s="28">
        <f t="shared" si="4"/>
        <v>8.3114019944785737E-3</v>
      </c>
      <c r="M7" s="25">
        <v>4239</v>
      </c>
      <c r="N7" s="28">
        <f t="shared" si="5"/>
        <v>8.3422621844023229E-3</v>
      </c>
      <c r="O7" s="24">
        <v>4898.53</v>
      </c>
      <c r="P7" s="28">
        <f t="shared" si="6"/>
        <v>9.4254669234385326E-3</v>
      </c>
      <c r="Q7" s="24">
        <v>4710</v>
      </c>
      <c r="R7" s="28">
        <f t="shared" si="7"/>
        <v>9.9395404345221389E-3</v>
      </c>
      <c r="S7" s="24">
        <v>3637</v>
      </c>
      <c r="T7" s="28">
        <f t="shared" si="8"/>
        <v>9.0601954427894493E-3</v>
      </c>
      <c r="U7" s="24">
        <v>3345</v>
      </c>
      <c r="V7" s="28">
        <f t="shared" si="9"/>
        <v>8.1666908269689992E-3</v>
      </c>
      <c r="W7" s="23">
        <v>3831</v>
      </c>
      <c r="X7" s="28">
        <f t="shared" si="10"/>
        <v>9.1936865699221732E-3</v>
      </c>
      <c r="Y7" s="23">
        <v>3434</v>
      </c>
      <c r="Z7" s="28">
        <f t="shared" si="11"/>
        <v>8.3628003935435485E-3</v>
      </c>
      <c r="AA7" s="23">
        <v>3211</v>
      </c>
      <c r="AB7" s="28">
        <f t="shared" si="12"/>
        <v>7.5762580693872926E-3</v>
      </c>
      <c r="AC7" s="23">
        <v>3511</v>
      </c>
      <c r="AD7" s="28">
        <f t="shared" si="13"/>
        <v>8.0971379811351218E-3</v>
      </c>
      <c r="AE7" s="18">
        <v>3781</v>
      </c>
      <c r="AF7" s="28">
        <f t="shared" si="14"/>
        <v>8.8621895538200466E-3</v>
      </c>
      <c r="AG7" s="18">
        <v>3937</v>
      </c>
      <c r="AH7" s="28">
        <f t="shared" si="15"/>
        <v>9.291973783275391E-3</v>
      </c>
      <c r="AI7" s="18">
        <v>4043</v>
      </c>
      <c r="AJ7" s="28">
        <f t="shared" si="16"/>
        <v>9.3048625559258372E-3</v>
      </c>
      <c r="AK7" s="18">
        <v>4428</v>
      </c>
      <c r="AL7" s="28">
        <f t="shared" si="17"/>
        <v>1.0338402917540263E-2</v>
      </c>
    </row>
    <row r="8" spans="2:38">
      <c r="B8" s="18" t="s">
        <v>72</v>
      </c>
      <c r="C8" s="26">
        <v>2047</v>
      </c>
      <c r="D8" s="28">
        <f t="shared" si="0"/>
        <v>4.6868059657750975E-3</v>
      </c>
      <c r="E8" s="26">
        <v>2028</v>
      </c>
      <c r="F8" s="28">
        <f t="shared" si="1"/>
        <v>4.6461013299121407E-3</v>
      </c>
      <c r="G8" s="25">
        <v>1953</v>
      </c>
      <c r="H8" s="28">
        <f t="shared" si="2"/>
        <v>4.3589451768702376E-3</v>
      </c>
      <c r="I8" s="25">
        <v>2150</v>
      </c>
      <c r="J8" s="28">
        <f t="shared" si="3"/>
        <v>4.61650147840239E-3</v>
      </c>
      <c r="K8" s="25">
        <v>2120</v>
      </c>
      <c r="L8" s="28">
        <f t="shared" si="4"/>
        <v>4.4293424296426636E-3</v>
      </c>
      <c r="M8" s="25">
        <v>2115</v>
      </c>
      <c r="N8" s="28">
        <f t="shared" si="5"/>
        <v>4.1622751875468062E-3</v>
      </c>
      <c r="O8" s="24">
        <v>2871</v>
      </c>
      <c r="P8" s="28">
        <f t="shared" si="6"/>
        <v>5.5242114547000886E-3</v>
      </c>
      <c r="Q8" s="24">
        <v>2539</v>
      </c>
      <c r="R8" s="28">
        <f t="shared" si="7"/>
        <v>5.3580664890131025E-3</v>
      </c>
      <c r="S8" s="24">
        <v>1578</v>
      </c>
      <c r="T8" s="28">
        <f t="shared" si="8"/>
        <v>3.9309838902176937E-3</v>
      </c>
      <c r="U8" s="24">
        <v>2000</v>
      </c>
      <c r="V8" s="28">
        <f t="shared" si="9"/>
        <v>4.8829242612669658E-3</v>
      </c>
      <c r="W8" s="23">
        <v>1811</v>
      </c>
      <c r="X8" s="28">
        <f t="shared" si="10"/>
        <v>4.3460627455309464E-3</v>
      </c>
      <c r="Y8" s="23">
        <v>1798</v>
      </c>
      <c r="Z8" s="28">
        <f t="shared" si="11"/>
        <v>4.3786590295839542E-3</v>
      </c>
      <c r="AA8" s="23">
        <v>1830</v>
      </c>
      <c r="AB8" s="28">
        <f t="shared" si="12"/>
        <v>4.3178300426592172E-3</v>
      </c>
      <c r="AC8" s="23">
        <v>1876</v>
      </c>
      <c r="AD8" s="28">
        <f t="shared" si="13"/>
        <v>4.3264684855054084E-3</v>
      </c>
      <c r="AE8" s="18">
        <v>3047</v>
      </c>
      <c r="AF8" s="28">
        <f t="shared" si="14"/>
        <v>7.1417856573630471E-3</v>
      </c>
      <c r="AG8" s="18">
        <v>3404</v>
      </c>
      <c r="AH8" s="28">
        <f t="shared" si="15"/>
        <v>8.034005272610981E-3</v>
      </c>
      <c r="AI8" s="18">
        <v>3554</v>
      </c>
      <c r="AJ8" s="28">
        <f t="shared" si="16"/>
        <v>8.1794413860401746E-3</v>
      </c>
      <c r="AK8" s="18">
        <v>3343</v>
      </c>
      <c r="AL8" s="28">
        <f t="shared" si="17"/>
        <v>7.8051673336352982E-3</v>
      </c>
    </row>
    <row r="9" spans="2:38">
      <c r="B9" s="18" t="s">
        <v>73</v>
      </c>
      <c r="C9" s="26">
        <v>1325</v>
      </c>
      <c r="D9" s="28">
        <f t="shared" si="0"/>
        <v>3.0337166119452879E-3</v>
      </c>
      <c r="E9" s="26">
        <v>1198</v>
      </c>
      <c r="F9" s="28">
        <f t="shared" si="1"/>
        <v>2.7445904305891246E-3</v>
      </c>
      <c r="G9" s="25">
        <v>1492.896</v>
      </c>
      <c r="H9" s="28">
        <f t="shared" si="2"/>
        <v>3.332028581038848E-3</v>
      </c>
      <c r="I9" s="25">
        <v>1295</v>
      </c>
      <c r="J9" s="28">
        <f t="shared" si="3"/>
        <v>2.7806369369912072E-3</v>
      </c>
      <c r="K9" s="25">
        <v>1357</v>
      </c>
      <c r="L9" s="28">
        <f t="shared" si="4"/>
        <v>2.8351970174646671E-3</v>
      </c>
      <c r="M9" s="25">
        <v>1684.5070000000001</v>
      </c>
      <c r="N9" s="28">
        <f t="shared" si="5"/>
        <v>3.3150740847985383E-3</v>
      </c>
      <c r="O9" s="24">
        <v>1742.5340000000001</v>
      </c>
      <c r="P9" s="28">
        <f t="shared" si="6"/>
        <v>3.3528827178698592E-3</v>
      </c>
      <c r="Q9" s="24">
        <v>1745</v>
      </c>
      <c r="R9" s="28">
        <f t="shared" si="7"/>
        <v>3.682483664170092E-3</v>
      </c>
      <c r="S9" s="24">
        <v>1052.2260000000001</v>
      </c>
      <c r="T9" s="28">
        <f t="shared" si="8"/>
        <v>2.6212189194348562E-3</v>
      </c>
      <c r="U9" s="24">
        <v>1050</v>
      </c>
      <c r="V9" s="28">
        <f t="shared" si="9"/>
        <v>2.5635352371651569E-3</v>
      </c>
      <c r="W9" s="23">
        <v>1387</v>
      </c>
      <c r="X9" s="28">
        <f t="shared" si="10"/>
        <v>3.3285417051636791E-3</v>
      </c>
      <c r="Y9" s="23">
        <v>1293</v>
      </c>
      <c r="Z9" s="28">
        <f t="shared" si="11"/>
        <v>3.1488354422981387E-3</v>
      </c>
      <c r="AA9" s="23">
        <v>1300</v>
      </c>
      <c r="AB9" s="28">
        <f t="shared" si="12"/>
        <v>3.0673109592661103E-3</v>
      </c>
      <c r="AC9" s="23">
        <v>1250</v>
      </c>
      <c r="AD9" s="28">
        <f t="shared" si="13"/>
        <v>2.8827748437536033E-3</v>
      </c>
      <c r="AE9" s="18">
        <v>1300</v>
      </c>
      <c r="AF9" s="28">
        <f t="shared" si="14"/>
        <v>3.0470368738339223E-3</v>
      </c>
      <c r="AG9" s="18">
        <v>1300</v>
      </c>
      <c r="AH9" s="28">
        <f t="shared" si="15"/>
        <v>3.0682158796692936E-3</v>
      </c>
      <c r="AI9" s="18">
        <v>1300</v>
      </c>
      <c r="AJ9" s="28">
        <f t="shared" si="16"/>
        <v>2.9919172205549317E-3</v>
      </c>
      <c r="AK9" s="18">
        <v>1300</v>
      </c>
      <c r="AL9" s="28">
        <f t="shared" si="17"/>
        <v>3.0352131420059488E-3</v>
      </c>
    </row>
    <row r="10" spans="2:38">
      <c r="B10" s="18" t="s">
        <v>74</v>
      </c>
      <c r="C10" s="26">
        <v>19839</v>
      </c>
      <c r="D10" s="28">
        <f t="shared" si="0"/>
        <v>4.5423323671232127E-2</v>
      </c>
      <c r="E10" s="26">
        <v>19437</v>
      </c>
      <c r="F10" s="28">
        <f t="shared" si="1"/>
        <v>4.4529719698965624E-2</v>
      </c>
      <c r="G10" s="25">
        <v>19655</v>
      </c>
      <c r="H10" s="28">
        <f t="shared" si="2"/>
        <v>4.3868442115404263E-2</v>
      </c>
      <c r="I10" s="25">
        <v>20962</v>
      </c>
      <c r="J10" s="28">
        <f t="shared" si="3"/>
        <v>4.5009815809428325E-2</v>
      </c>
      <c r="K10" s="25">
        <v>21277</v>
      </c>
      <c r="L10" s="28">
        <f t="shared" si="4"/>
        <v>4.4454301356371205E-2</v>
      </c>
      <c r="M10" s="25">
        <v>22540</v>
      </c>
      <c r="N10" s="28">
        <f t="shared" si="5"/>
        <v>4.4358242424257691E-2</v>
      </c>
      <c r="O10" s="24">
        <v>22300</v>
      </c>
      <c r="P10" s="28">
        <f t="shared" si="6"/>
        <v>4.2908364834486935E-2</v>
      </c>
      <c r="Q10" s="24">
        <v>21443</v>
      </c>
      <c r="R10" s="28">
        <f t="shared" si="7"/>
        <v>4.5251287799884979E-2</v>
      </c>
      <c r="S10" s="24">
        <v>18300</v>
      </c>
      <c r="T10" s="28">
        <f t="shared" si="8"/>
        <v>4.5587455761079719E-2</v>
      </c>
      <c r="U10" s="24">
        <v>17998</v>
      </c>
      <c r="V10" s="28">
        <f t="shared" si="9"/>
        <v>4.394143542714142E-2</v>
      </c>
      <c r="W10" s="23">
        <v>19270</v>
      </c>
      <c r="X10" s="28">
        <f t="shared" si="10"/>
        <v>4.624441143367275E-2</v>
      </c>
      <c r="Y10" s="23">
        <v>17810</v>
      </c>
      <c r="Z10" s="28">
        <f t="shared" si="11"/>
        <v>4.337259027635719E-2</v>
      </c>
      <c r="AA10" s="23">
        <v>18018</v>
      </c>
      <c r="AB10" s="28">
        <f t="shared" si="12"/>
        <v>4.2512929895428292E-2</v>
      </c>
      <c r="AC10" s="23">
        <v>16400</v>
      </c>
      <c r="AD10" s="28">
        <f t="shared" si="13"/>
        <v>3.7822005950047276E-2</v>
      </c>
      <c r="AE10" s="18">
        <v>15600</v>
      </c>
      <c r="AF10" s="28">
        <f t="shared" si="14"/>
        <v>3.656444248600707E-2</v>
      </c>
      <c r="AG10" s="18">
        <v>15900</v>
      </c>
      <c r="AH10" s="28">
        <f t="shared" si="15"/>
        <v>3.7526640374416741E-2</v>
      </c>
      <c r="AI10" s="18">
        <v>16900</v>
      </c>
      <c r="AJ10" s="28">
        <f t="shared" si="16"/>
        <v>3.8894923867214111E-2</v>
      </c>
      <c r="AK10" s="18">
        <v>16500</v>
      </c>
      <c r="AL10" s="28">
        <f t="shared" si="17"/>
        <v>3.8523859110075505E-2</v>
      </c>
    </row>
    <row r="11" spans="2:38">
      <c r="B11" s="18" t="s">
        <v>75</v>
      </c>
      <c r="C11" s="26">
        <v>32118</v>
      </c>
      <c r="D11" s="28">
        <f t="shared" si="0"/>
        <v>7.3537290673553773E-2</v>
      </c>
      <c r="E11" s="26">
        <v>31009</v>
      </c>
      <c r="F11" s="28">
        <f t="shared" si="1"/>
        <v>7.1040905394105319E-2</v>
      </c>
      <c r="G11" s="25">
        <v>32749</v>
      </c>
      <c r="H11" s="28">
        <f t="shared" si="2"/>
        <v>7.3093238913120029E-2</v>
      </c>
      <c r="I11" s="25">
        <v>31854</v>
      </c>
      <c r="J11" s="28">
        <f t="shared" si="3"/>
        <v>6.8397227020013829E-2</v>
      </c>
      <c r="K11" s="25">
        <v>31009</v>
      </c>
      <c r="L11" s="28">
        <f t="shared" si="4"/>
        <v>6.4787490283391203E-2</v>
      </c>
      <c r="M11" s="25">
        <v>33630</v>
      </c>
      <c r="N11" s="28">
        <f t="shared" si="5"/>
        <v>6.6183127450212334E-2</v>
      </c>
      <c r="O11" s="24">
        <v>33382</v>
      </c>
      <c r="P11" s="28">
        <f t="shared" si="6"/>
        <v>6.423170560111402E-2</v>
      </c>
      <c r="Q11" s="24">
        <v>33581</v>
      </c>
      <c r="R11" s="28">
        <f t="shared" si="7"/>
        <v>7.0866179900570689E-2</v>
      </c>
      <c r="S11" s="24">
        <v>30441</v>
      </c>
      <c r="T11" s="28">
        <f t="shared" si="8"/>
        <v>7.5832116984864903E-2</v>
      </c>
      <c r="U11" s="24">
        <v>29915</v>
      </c>
      <c r="V11" s="28">
        <f t="shared" si="9"/>
        <v>7.3036339637900641E-2</v>
      </c>
      <c r="W11" s="23">
        <v>32779</v>
      </c>
      <c r="X11" s="28">
        <f t="shared" si="10"/>
        <v>7.8663495712732692E-2</v>
      </c>
      <c r="Y11" s="23">
        <v>32432</v>
      </c>
      <c r="Z11" s="28">
        <f t="shared" si="11"/>
        <v>7.8981462540304123E-2</v>
      </c>
      <c r="AA11" s="23">
        <v>31308</v>
      </c>
      <c r="AB11" s="28">
        <f t="shared" si="12"/>
        <v>7.3870285779002606E-2</v>
      </c>
      <c r="AC11" s="23">
        <v>32099</v>
      </c>
      <c r="AD11" s="28">
        <f t="shared" si="13"/>
        <v>7.4027351767717534E-2</v>
      </c>
      <c r="AE11" s="18">
        <v>31150</v>
      </c>
      <c r="AF11" s="28">
        <f t="shared" si="14"/>
        <v>7.3011691246097452E-2</v>
      </c>
      <c r="AG11" s="18">
        <v>32737</v>
      </c>
      <c r="AH11" s="28">
        <f t="shared" si="15"/>
        <v>7.7264756348256663E-2</v>
      </c>
      <c r="AI11" s="18">
        <v>33991</v>
      </c>
      <c r="AJ11" s="28">
        <f t="shared" si="16"/>
        <v>7.8229429418371299E-2</v>
      </c>
      <c r="AK11" s="18">
        <v>33633</v>
      </c>
      <c r="AL11" s="28">
        <f t="shared" si="17"/>
        <v>7.8525633542373907E-2</v>
      </c>
    </row>
    <row r="12" spans="2:38">
      <c r="B12" s="18" t="s">
        <v>76</v>
      </c>
      <c r="C12" s="26">
        <v>3450</v>
      </c>
      <c r="D12" s="28">
        <f t="shared" si="0"/>
        <v>7.8991111782726366E-3</v>
      </c>
      <c r="E12" s="26">
        <v>3320</v>
      </c>
      <c r="F12" s="28">
        <f t="shared" si="1"/>
        <v>7.6060435972920655E-3</v>
      </c>
      <c r="G12" s="25">
        <v>3830</v>
      </c>
      <c r="H12" s="28">
        <f t="shared" si="2"/>
        <v>8.5482642229457294E-3</v>
      </c>
      <c r="I12" s="25">
        <v>5000</v>
      </c>
      <c r="J12" s="28">
        <f t="shared" si="3"/>
        <v>1.0736049949773001E-2</v>
      </c>
      <c r="K12" s="25">
        <v>5083</v>
      </c>
      <c r="L12" s="28">
        <f t="shared" si="4"/>
        <v>1.061997526880833E-2</v>
      </c>
      <c r="M12" s="25">
        <v>4981</v>
      </c>
      <c r="N12" s="28">
        <f t="shared" si="5"/>
        <v>9.8025024629648429E-3</v>
      </c>
      <c r="O12" s="24">
        <v>4700</v>
      </c>
      <c r="P12" s="28">
        <f t="shared" si="6"/>
        <v>9.0434670278963496E-3</v>
      </c>
      <c r="Q12" s="24">
        <v>3900</v>
      </c>
      <c r="R12" s="28">
        <f t="shared" si="7"/>
        <v>8.2301927164833005E-3</v>
      </c>
      <c r="S12" s="24">
        <v>2600</v>
      </c>
      <c r="T12" s="28">
        <f t="shared" si="8"/>
        <v>6.4769062829949323E-3</v>
      </c>
      <c r="U12" s="24">
        <v>2600</v>
      </c>
      <c r="V12" s="28">
        <f t="shared" si="9"/>
        <v>6.3478015396470555E-3</v>
      </c>
      <c r="W12" s="23">
        <v>2103</v>
      </c>
      <c r="X12" s="28">
        <f t="shared" si="10"/>
        <v>5.0468083676706689E-3</v>
      </c>
      <c r="Y12" s="23">
        <v>1198</v>
      </c>
      <c r="Z12" s="28">
        <f t="shared" si="11"/>
        <v>2.9174824902344701E-3</v>
      </c>
      <c r="AA12" s="23">
        <v>2000</v>
      </c>
      <c r="AB12" s="28">
        <f t="shared" si="12"/>
        <v>4.7189399373324774E-3</v>
      </c>
      <c r="AC12" s="23">
        <v>2000</v>
      </c>
      <c r="AD12" s="28">
        <f t="shared" si="13"/>
        <v>4.6124397500057653E-3</v>
      </c>
      <c r="AE12" s="18">
        <v>2980</v>
      </c>
      <c r="AF12" s="28">
        <f t="shared" si="14"/>
        <v>6.9847460646346839E-3</v>
      </c>
      <c r="AG12" s="18">
        <v>3100</v>
      </c>
      <c r="AH12" s="28">
        <f t="shared" si="15"/>
        <v>7.3165147899806231E-3</v>
      </c>
      <c r="AI12" s="18">
        <v>3200</v>
      </c>
      <c r="AJ12" s="28">
        <f t="shared" si="16"/>
        <v>7.3647193121352166E-3</v>
      </c>
      <c r="AK12" s="18">
        <v>3290</v>
      </c>
      <c r="AL12" s="28">
        <f t="shared" si="17"/>
        <v>7.6814240286150557E-3</v>
      </c>
    </row>
    <row r="13" spans="2:38">
      <c r="B13" s="18" t="s">
        <v>77</v>
      </c>
      <c r="C13" s="26">
        <v>4700</v>
      </c>
      <c r="D13" s="28">
        <f t="shared" si="0"/>
        <v>1.0761107981994606E-2</v>
      </c>
      <c r="E13" s="26">
        <v>4584</v>
      </c>
      <c r="F13" s="28">
        <f t="shared" si="1"/>
        <v>1.0501838509032177E-2</v>
      </c>
      <c r="G13" s="25">
        <v>4632</v>
      </c>
      <c r="H13" s="28">
        <f t="shared" si="2"/>
        <v>1.0338266287385017E-2</v>
      </c>
      <c r="I13" s="25">
        <v>4494</v>
      </c>
      <c r="J13" s="28">
        <f t="shared" si="3"/>
        <v>9.6495616948559723E-3</v>
      </c>
      <c r="K13" s="25">
        <v>5092.8389999999999</v>
      </c>
      <c r="L13" s="28">
        <f t="shared" si="4"/>
        <v>1.0640532014169299E-2</v>
      </c>
      <c r="M13" s="25">
        <v>5088.88</v>
      </c>
      <c r="N13" s="28">
        <f t="shared" si="5"/>
        <v>1.0014808017211911E-2</v>
      </c>
      <c r="O13" s="24">
        <v>5000</v>
      </c>
      <c r="P13" s="28">
        <f t="shared" si="6"/>
        <v>9.6207096041450516E-3</v>
      </c>
      <c r="Q13" s="24">
        <v>4818.5</v>
      </c>
      <c r="R13" s="28">
        <f t="shared" si="7"/>
        <v>1.0168508616506354E-2</v>
      </c>
      <c r="S13" s="24">
        <v>4759</v>
      </c>
      <c r="T13" s="28">
        <f t="shared" si="8"/>
        <v>1.1855229615681879E-2</v>
      </c>
      <c r="U13" s="24">
        <v>5139</v>
      </c>
      <c r="V13" s="28">
        <f t="shared" si="9"/>
        <v>1.2546673889325469E-2</v>
      </c>
      <c r="W13" s="23">
        <v>5480</v>
      </c>
      <c r="X13" s="28">
        <f t="shared" si="10"/>
        <v>1.3150979483992043E-2</v>
      </c>
      <c r="Y13" s="23">
        <v>5892</v>
      </c>
      <c r="Z13" s="28">
        <f t="shared" si="11"/>
        <v>1.4348753616411934E-2</v>
      </c>
      <c r="AA13" s="23">
        <v>6398</v>
      </c>
      <c r="AB13" s="28">
        <f t="shared" si="12"/>
        <v>1.5095888859526596E-2</v>
      </c>
      <c r="AC13" s="23">
        <v>6603</v>
      </c>
      <c r="AD13" s="28">
        <f t="shared" si="13"/>
        <v>1.5227969834644035E-2</v>
      </c>
      <c r="AE13" s="18">
        <v>6904</v>
      </c>
      <c r="AF13" s="28">
        <f t="shared" si="14"/>
        <v>1.6182109674576461E-2</v>
      </c>
      <c r="AG13" s="18">
        <v>7150</v>
      </c>
      <c r="AH13" s="28">
        <f t="shared" si="15"/>
        <v>1.6875187338181115E-2</v>
      </c>
      <c r="AI13" s="18">
        <v>6361</v>
      </c>
      <c r="AJ13" s="28">
        <f t="shared" si="16"/>
        <v>1.4639681107653785E-2</v>
      </c>
      <c r="AK13" s="18">
        <v>5858</v>
      </c>
      <c r="AL13" s="28">
        <f t="shared" si="17"/>
        <v>1.3677137373746807E-2</v>
      </c>
    </row>
    <row r="14" spans="2:38">
      <c r="B14" s="18" t="s">
        <v>78</v>
      </c>
      <c r="C14" s="26">
        <v>39804</v>
      </c>
      <c r="D14" s="28">
        <f t="shared" si="0"/>
        <v>9.1135136620279417E-2</v>
      </c>
      <c r="E14" s="26">
        <v>41416</v>
      </c>
      <c r="F14" s="28">
        <f t="shared" si="1"/>
        <v>9.4883102899231381E-2</v>
      </c>
      <c r="G14" s="25">
        <v>43580</v>
      </c>
      <c r="H14" s="28">
        <f t="shared" si="2"/>
        <v>9.7267194474144877E-2</v>
      </c>
      <c r="I14" s="25">
        <v>45343</v>
      </c>
      <c r="J14" s="28">
        <f t="shared" si="3"/>
        <v>9.736094257451143E-2</v>
      </c>
      <c r="K14" s="25">
        <v>40284</v>
      </c>
      <c r="L14" s="28">
        <f t="shared" si="4"/>
        <v>8.4165863413077857E-2</v>
      </c>
      <c r="M14" s="25">
        <v>47814</v>
      </c>
      <c r="N14" s="28">
        <f t="shared" si="5"/>
        <v>9.4096938920739004E-2</v>
      </c>
      <c r="O14" s="24">
        <v>47541.637000000002</v>
      </c>
      <c r="P14" s="28">
        <f t="shared" si="6"/>
        <v>9.1476856736535564E-2</v>
      </c>
      <c r="Q14" s="24">
        <v>43029.921000000002</v>
      </c>
      <c r="R14" s="28">
        <f t="shared" si="7"/>
        <v>9.080629292437227E-2</v>
      </c>
      <c r="S14" s="24">
        <v>36317</v>
      </c>
      <c r="T14" s="28">
        <f t="shared" si="8"/>
        <v>9.0469925184433447E-2</v>
      </c>
      <c r="U14" s="24">
        <v>34408</v>
      </c>
      <c r="V14" s="28">
        <f t="shared" si="9"/>
        <v>8.4005828990836875E-2</v>
      </c>
      <c r="W14" s="23">
        <v>33120</v>
      </c>
      <c r="X14" s="28">
        <f t="shared" si="10"/>
        <v>7.9481832209820524E-2</v>
      </c>
      <c r="Y14" s="23">
        <v>26240</v>
      </c>
      <c r="Z14" s="28">
        <f t="shared" si="11"/>
        <v>6.3902120654217437E-2</v>
      </c>
      <c r="AA14" s="23">
        <v>23100</v>
      </c>
      <c r="AB14" s="28">
        <f t="shared" si="12"/>
        <v>5.450375627619012E-2</v>
      </c>
      <c r="AC14" s="23">
        <v>21400</v>
      </c>
      <c r="AD14" s="28">
        <f t="shared" si="13"/>
        <v>4.9353105325061694E-2</v>
      </c>
      <c r="AE14" s="18">
        <v>20800</v>
      </c>
      <c r="AF14" s="28">
        <f t="shared" si="14"/>
        <v>4.8752589981342756E-2</v>
      </c>
      <c r="AG14" s="18">
        <v>19300</v>
      </c>
      <c r="AH14" s="28">
        <f t="shared" si="15"/>
        <v>4.5551204982782589E-2</v>
      </c>
      <c r="AI14" s="18">
        <v>19300</v>
      </c>
      <c r="AJ14" s="28">
        <f t="shared" si="16"/>
        <v>4.4418463351315524E-2</v>
      </c>
      <c r="AK14" s="18">
        <v>19300</v>
      </c>
      <c r="AL14" s="28">
        <f t="shared" si="17"/>
        <v>4.5061241262088318E-2</v>
      </c>
    </row>
    <row r="15" spans="2:38">
      <c r="B15" s="18" t="s">
        <v>79</v>
      </c>
      <c r="C15" s="26">
        <v>76550</v>
      </c>
      <c r="D15" s="28">
        <f t="shared" si="0"/>
        <v>0.17526868425993342</v>
      </c>
      <c r="E15" s="26">
        <v>71828</v>
      </c>
      <c r="F15" s="28">
        <f t="shared" si="1"/>
        <v>0.16455629503201641</v>
      </c>
      <c r="G15" s="25">
        <v>68766</v>
      </c>
      <c r="H15" s="28">
        <f t="shared" si="2"/>
        <v>0.15348040145041411</v>
      </c>
      <c r="I15" s="25">
        <v>67376</v>
      </c>
      <c r="J15" s="28">
        <f t="shared" si="3"/>
        <v>0.14467042028318114</v>
      </c>
      <c r="K15" s="25">
        <v>69629</v>
      </c>
      <c r="L15" s="28">
        <f t="shared" si="4"/>
        <v>0.14547673775169292</v>
      </c>
      <c r="M15" s="25">
        <v>69942</v>
      </c>
      <c r="N15" s="28">
        <f t="shared" si="5"/>
        <v>0.13764437407442021</v>
      </c>
      <c r="O15" s="24">
        <v>67685</v>
      </c>
      <c r="P15" s="28">
        <f t="shared" si="6"/>
        <v>0.13023554591131156</v>
      </c>
      <c r="Q15" s="24">
        <v>62810</v>
      </c>
      <c r="R15" s="28">
        <f t="shared" si="7"/>
        <v>0.13254830885187593</v>
      </c>
      <c r="S15" s="24">
        <v>54800</v>
      </c>
      <c r="T15" s="28">
        <f t="shared" si="8"/>
        <v>0.13651325550312396</v>
      </c>
      <c r="U15" s="24">
        <v>51526</v>
      </c>
      <c r="V15" s="28">
        <f t="shared" si="9"/>
        <v>0.12579877774302084</v>
      </c>
      <c r="W15" s="23">
        <v>51291</v>
      </c>
      <c r="X15" s="28">
        <f t="shared" si="10"/>
        <v>0.12308884830537151</v>
      </c>
      <c r="Y15" s="23">
        <v>54737</v>
      </c>
      <c r="Z15" s="28">
        <f t="shared" si="11"/>
        <v>0.1333007003906212</v>
      </c>
      <c r="AA15" s="23">
        <v>57962</v>
      </c>
      <c r="AB15" s="28">
        <f t="shared" si="12"/>
        <v>0.13675959832383253</v>
      </c>
      <c r="AC15" s="23">
        <v>57913</v>
      </c>
      <c r="AD15" s="28">
        <f t="shared" si="13"/>
        <v>0.13356011162104195</v>
      </c>
      <c r="AE15" s="18">
        <v>54827</v>
      </c>
      <c r="AF15" s="28">
        <f t="shared" si="14"/>
        <v>0.12850760821668653</v>
      </c>
      <c r="AG15" s="18">
        <v>53255</v>
      </c>
      <c r="AH15" s="28">
        <f t="shared" si="15"/>
        <v>0.12569064359368326</v>
      </c>
      <c r="AI15" s="18">
        <v>55195</v>
      </c>
      <c r="AJ15" s="28">
        <f t="shared" si="16"/>
        <v>0.12702990076040727</v>
      </c>
      <c r="AK15" s="18">
        <v>55307</v>
      </c>
      <c r="AL15" s="28">
        <f t="shared" si="17"/>
        <v>0.1291296409576331</v>
      </c>
    </row>
    <row r="16" spans="2:38">
      <c r="B16" s="18" t="s">
        <v>80</v>
      </c>
      <c r="C16" s="26">
        <v>3380</v>
      </c>
      <c r="D16" s="28">
        <f t="shared" si="0"/>
        <v>7.738839357264206E-3</v>
      </c>
      <c r="E16" s="26">
        <v>3085</v>
      </c>
      <c r="F16" s="28">
        <f t="shared" si="1"/>
        <v>7.0676640053150665E-3</v>
      </c>
      <c r="G16" s="25">
        <v>2450</v>
      </c>
      <c r="H16" s="28">
        <f t="shared" si="2"/>
        <v>5.468210795356929E-3</v>
      </c>
      <c r="I16" s="25">
        <v>2380</v>
      </c>
      <c r="J16" s="28">
        <f t="shared" si="3"/>
        <v>5.1103597760919486E-3</v>
      </c>
      <c r="K16" s="25">
        <v>2496</v>
      </c>
      <c r="L16" s="28">
        <f t="shared" si="4"/>
        <v>5.2149239171641925E-3</v>
      </c>
      <c r="M16" s="25">
        <v>2790</v>
      </c>
      <c r="N16" s="28">
        <f t="shared" si="5"/>
        <v>5.4906608857000425E-3</v>
      </c>
      <c r="O16" s="24">
        <v>2700</v>
      </c>
      <c r="P16" s="28">
        <f t="shared" si="6"/>
        <v>5.1951831862383285E-3</v>
      </c>
      <c r="Q16" s="24">
        <v>2700</v>
      </c>
      <c r="R16" s="28">
        <f t="shared" si="7"/>
        <v>5.6978257267961312E-3</v>
      </c>
      <c r="S16" s="24">
        <v>2700</v>
      </c>
      <c r="T16" s="28">
        <f t="shared" si="8"/>
        <v>6.7260180631101224E-3</v>
      </c>
      <c r="U16" s="24">
        <v>2700</v>
      </c>
      <c r="V16" s="28">
        <f t="shared" si="9"/>
        <v>6.5919477527104035E-3</v>
      </c>
      <c r="W16" s="23">
        <v>2318</v>
      </c>
      <c r="X16" s="28">
        <f t="shared" si="10"/>
        <v>5.5627683291776557E-3</v>
      </c>
      <c r="Y16" s="23">
        <v>2056</v>
      </c>
      <c r="Z16" s="28">
        <f t="shared" si="11"/>
        <v>5.0069649415042322E-3</v>
      </c>
      <c r="AA16" s="23">
        <v>2000</v>
      </c>
      <c r="AB16" s="28">
        <f t="shared" si="12"/>
        <v>4.7189399373324774E-3</v>
      </c>
      <c r="AC16" s="23">
        <v>2000</v>
      </c>
      <c r="AD16" s="28">
        <f t="shared" si="13"/>
        <v>4.6124397500057653E-3</v>
      </c>
      <c r="AE16" s="18">
        <v>2260</v>
      </c>
      <c r="AF16" s="28">
        <f t="shared" si="14"/>
        <v>5.2971564114343579E-3</v>
      </c>
      <c r="AG16" s="18">
        <v>2930</v>
      </c>
      <c r="AH16" s="28">
        <f t="shared" si="15"/>
        <v>6.915286559562331E-3</v>
      </c>
      <c r="AI16" s="18">
        <v>2030</v>
      </c>
      <c r="AJ16" s="28">
        <f t="shared" si="16"/>
        <v>4.6719938136357778E-3</v>
      </c>
      <c r="AK16" s="18">
        <v>2390</v>
      </c>
      <c r="AL16" s="28">
        <f t="shared" si="17"/>
        <v>5.5801226226109366E-3</v>
      </c>
    </row>
    <row r="17" spans="2:38">
      <c r="B17" s="18" t="s">
        <v>81</v>
      </c>
      <c r="C17" s="26">
        <v>1642</v>
      </c>
      <c r="D17" s="28">
        <f t="shared" si="0"/>
        <v>3.7595190013691793E-3</v>
      </c>
      <c r="E17" s="26">
        <v>1631</v>
      </c>
      <c r="F17" s="28">
        <f t="shared" si="1"/>
        <v>3.7365834660190839E-3</v>
      </c>
      <c r="G17" s="25">
        <v>1650</v>
      </c>
      <c r="H17" s="28">
        <f t="shared" si="2"/>
        <v>3.6826725764648703E-3</v>
      </c>
      <c r="I17" s="25">
        <v>1420</v>
      </c>
      <c r="J17" s="28">
        <f t="shared" si="3"/>
        <v>3.049038185735532E-3</v>
      </c>
      <c r="K17" s="25">
        <v>1613</v>
      </c>
      <c r="L17" s="28">
        <f t="shared" si="4"/>
        <v>3.3700610089686871E-3</v>
      </c>
      <c r="M17" s="25">
        <v>1695</v>
      </c>
      <c r="N17" s="28">
        <f t="shared" si="5"/>
        <v>3.3357240864736815E-3</v>
      </c>
      <c r="O17" s="24">
        <v>1700</v>
      </c>
      <c r="P17" s="28">
        <f t="shared" si="6"/>
        <v>3.2710412654093179E-3</v>
      </c>
      <c r="Q17" s="24">
        <v>1700</v>
      </c>
      <c r="R17" s="28">
        <f t="shared" si="7"/>
        <v>3.5875199020568233E-3</v>
      </c>
      <c r="S17" s="24">
        <v>1650</v>
      </c>
      <c r="T17" s="28">
        <f t="shared" si="8"/>
        <v>4.1103443719006302E-3</v>
      </c>
      <c r="U17" s="24">
        <v>1650</v>
      </c>
      <c r="V17" s="28">
        <f t="shared" si="9"/>
        <v>4.0284125155452466E-3</v>
      </c>
      <c r="W17" s="23">
        <v>1387</v>
      </c>
      <c r="X17" s="28">
        <f t="shared" si="10"/>
        <v>3.3285417051636791E-3</v>
      </c>
      <c r="Y17" s="23">
        <v>1659</v>
      </c>
      <c r="Z17" s="28">
        <f t="shared" si="11"/>
        <v>4.0401531313013234E-3</v>
      </c>
      <c r="AA17" s="23">
        <v>1700</v>
      </c>
      <c r="AB17" s="28">
        <f t="shared" si="12"/>
        <v>4.0110989467326058E-3</v>
      </c>
      <c r="AC17" s="23">
        <v>1700</v>
      </c>
      <c r="AD17" s="28">
        <f t="shared" si="13"/>
        <v>3.9205737875049008E-3</v>
      </c>
      <c r="AE17" s="18">
        <v>1640</v>
      </c>
      <c r="AF17" s="28">
        <f t="shared" si="14"/>
        <v>3.8439542100674098E-3</v>
      </c>
      <c r="AG17" s="18">
        <v>1660</v>
      </c>
      <c r="AH17" s="28">
        <f t="shared" si="15"/>
        <v>3.9178756617315597E-3</v>
      </c>
      <c r="AI17" s="18">
        <v>1880</v>
      </c>
      <c r="AJ17" s="28">
        <f t="shared" si="16"/>
        <v>4.32677259587944E-3</v>
      </c>
      <c r="AK17" s="18">
        <v>1770</v>
      </c>
      <c r="AL17" s="28">
        <f t="shared" si="17"/>
        <v>4.1325594318080998E-3</v>
      </c>
    </row>
    <row r="18" spans="2:38">
      <c r="B18" s="18" t="s">
        <v>82</v>
      </c>
      <c r="C18" s="26">
        <v>11918</v>
      </c>
      <c r="D18" s="28">
        <f t="shared" si="0"/>
        <v>2.7287422325406745E-2</v>
      </c>
      <c r="E18" s="26">
        <v>10948</v>
      </c>
      <c r="F18" s="28">
        <f t="shared" si="1"/>
        <v>2.5081616055166726E-2</v>
      </c>
      <c r="G18" s="25">
        <v>11653.448</v>
      </c>
      <c r="H18" s="28">
        <f t="shared" si="2"/>
        <v>2.6009595982339026E-2</v>
      </c>
      <c r="I18" s="25">
        <v>12566.264999999999</v>
      </c>
      <c r="J18" s="28">
        <f t="shared" si="3"/>
        <v>2.6982409744416843E-2</v>
      </c>
      <c r="K18" s="25">
        <v>12646.223</v>
      </c>
      <c r="L18" s="28">
        <f t="shared" si="4"/>
        <v>2.642191137199195E-2</v>
      </c>
      <c r="M18" s="25">
        <v>14688.352999999999</v>
      </c>
      <c r="N18" s="28">
        <f t="shared" si="5"/>
        <v>2.8906367488335079E-2</v>
      </c>
      <c r="O18" s="24">
        <v>17119.936000000002</v>
      </c>
      <c r="P18" s="28">
        <f t="shared" si="6"/>
        <v>3.2941186539509726E-2</v>
      </c>
      <c r="Q18" s="24">
        <v>17206.735000000001</v>
      </c>
      <c r="R18" s="28">
        <f t="shared" si="7"/>
        <v>3.6311473095245711E-2</v>
      </c>
      <c r="S18" s="24">
        <v>15421.984</v>
      </c>
      <c r="T18" s="28">
        <f t="shared" si="8"/>
        <v>3.8417978871479741E-2</v>
      </c>
      <c r="U18" s="24">
        <v>15812.117</v>
      </c>
      <c r="V18" s="28">
        <f t="shared" si="9"/>
        <v>3.8604684860645916E-2</v>
      </c>
      <c r="W18" s="23">
        <v>18552</v>
      </c>
      <c r="X18" s="28">
        <f t="shared" si="10"/>
        <v>4.4521345143616858E-2</v>
      </c>
      <c r="Y18" s="23">
        <v>15468</v>
      </c>
      <c r="Z18" s="28">
        <f t="shared" si="11"/>
        <v>3.7669131184429702E-2</v>
      </c>
      <c r="AA18" s="23">
        <v>14538</v>
      </c>
      <c r="AB18" s="28">
        <f t="shared" si="12"/>
        <v>3.4301974404469783E-2</v>
      </c>
      <c r="AC18" s="23">
        <v>15358</v>
      </c>
      <c r="AD18" s="28">
        <f t="shared" si="13"/>
        <v>3.5418924840294276E-2</v>
      </c>
      <c r="AE18" s="18">
        <v>15206</v>
      </c>
      <c r="AF18" s="28">
        <f t="shared" si="14"/>
        <v>3.5640955925783556E-2</v>
      </c>
      <c r="AG18" s="18">
        <v>15782</v>
      </c>
      <c r="AH18" s="28">
        <f t="shared" si="15"/>
        <v>3.7248140779185222E-2</v>
      </c>
      <c r="AI18" s="18">
        <v>17254</v>
      </c>
      <c r="AJ18" s="28">
        <f t="shared" si="16"/>
        <v>3.9709645941119066E-2</v>
      </c>
      <c r="AK18" s="18">
        <v>18957</v>
      </c>
      <c r="AL18" s="28">
        <f t="shared" si="17"/>
        <v>4.4260411948466749E-2</v>
      </c>
    </row>
    <row r="19" spans="2:38">
      <c r="B19" s="18" t="s">
        <v>83</v>
      </c>
      <c r="C19" s="26">
        <v>10162</v>
      </c>
      <c r="D19" s="28">
        <f t="shared" si="0"/>
        <v>2.3266889215538124E-2</v>
      </c>
      <c r="E19" s="26">
        <v>9759</v>
      </c>
      <c r="F19" s="28">
        <f t="shared" si="1"/>
        <v>2.2357644417461825E-2</v>
      </c>
      <c r="G19" s="25">
        <v>8567</v>
      </c>
      <c r="H19" s="28">
        <f t="shared" si="2"/>
        <v>1.9120882401560329E-2</v>
      </c>
      <c r="I19" s="25">
        <v>8843</v>
      </c>
      <c r="J19" s="28">
        <f t="shared" si="3"/>
        <v>1.8987777941168529E-2</v>
      </c>
      <c r="K19" s="25">
        <v>8438</v>
      </c>
      <c r="L19" s="28">
        <f t="shared" si="4"/>
        <v>1.7629618594964525E-2</v>
      </c>
      <c r="M19" s="25">
        <v>8340</v>
      </c>
      <c r="N19" s="28">
        <f t="shared" si="5"/>
        <v>1.641294329273776E-2</v>
      </c>
      <c r="O19" s="24">
        <v>12631</v>
      </c>
      <c r="P19" s="28">
        <f t="shared" si="6"/>
        <v>2.430383660199123E-2</v>
      </c>
      <c r="Q19" s="24">
        <v>6650</v>
      </c>
      <c r="R19" s="28">
        <f t="shared" si="7"/>
        <v>1.4033533734516396E-2</v>
      </c>
      <c r="S19" s="24">
        <v>6900</v>
      </c>
      <c r="T19" s="28">
        <f t="shared" si="8"/>
        <v>1.718871282794809E-2</v>
      </c>
      <c r="U19" s="24">
        <v>7200</v>
      </c>
      <c r="V19" s="28">
        <f t="shared" si="9"/>
        <v>1.7578527340561076E-2</v>
      </c>
      <c r="W19" s="23">
        <v>5069</v>
      </c>
      <c r="X19" s="28">
        <f t="shared" si="10"/>
        <v>1.2164656022692639E-2</v>
      </c>
      <c r="Y19" s="23">
        <v>4090</v>
      </c>
      <c r="Z19" s="28">
        <f t="shared" si="11"/>
        <v>9.9603534098989845E-3</v>
      </c>
      <c r="AA19" s="23">
        <v>5000</v>
      </c>
      <c r="AB19" s="28">
        <f t="shared" si="12"/>
        <v>1.1797349843331193E-2</v>
      </c>
      <c r="AC19" s="23">
        <v>6000</v>
      </c>
      <c r="AD19" s="28">
        <f t="shared" si="13"/>
        <v>1.3837319250017297E-2</v>
      </c>
      <c r="AE19" s="18">
        <v>5620</v>
      </c>
      <c r="AF19" s="28">
        <f t="shared" si="14"/>
        <v>1.3172574793035879E-2</v>
      </c>
      <c r="AG19" s="18">
        <v>4100</v>
      </c>
      <c r="AH19" s="28">
        <f t="shared" si="15"/>
        <v>9.6766808512646942E-3</v>
      </c>
      <c r="AI19" s="18">
        <v>3790</v>
      </c>
      <c r="AJ19" s="28">
        <f t="shared" si="16"/>
        <v>8.7225894353101466E-3</v>
      </c>
      <c r="AK19" s="18">
        <v>3960</v>
      </c>
      <c r="AL19" s="28">
        <f t="shared" si="17"/>
        <v>9.2457261864181215E-3</v>
      </c>
    </row>
    <row r="20" spans="2:38">
      <c r="B20" s="18" t="s">
        <v>84</v>
      </c>
      <c r="C20" s="26">
        <v>35300</v>
      </c>
      <c r="D20" s="28">
        <f t="shared" si="0"/>
        <v>8.0822789737108422E-2</v>
      </c>
      <c r="E20" s="26">
        <v>37700</v>
      </c>
      <c r="F20" s="28">
        <f t="shared" si="1"/>
        <v>8.636983241503339E-2</v>
      </c>
      <c r="G20" s="25">
        <v>41000</v>
      </c>
      <c r="H20" s="28">
        <f t="shared" si="2"/>
        <v>9.1508833718217997E-2</v>
      </c>
      <c r="I20" s="25">
        <v>45700</v>
      </c>
      <c r="J20" s="28">
        <f t="shared" si="3"/>
        <v>9.812749654092523E-2</v>
      </c>
      <c r="K20" s="25">
        <v>48500</v>
      </c>
      <c r="L20" s="28">
        <f t="shared" si="4"/>
        <v>0.10133165464041</v>
      </c>
      <c r="M20" s="25">
        <v>54700</v>
      </c>
      <c r="N20" s="28">
        <f t="shared" si="5"/>
        <v>0.10764844102071409</v>
      </c>
      <c r="O20" s="24">
        <v>59939</v>
      </c>
      <c r="P20" s="28">
        <f t="shared" si="6"/>
        <v>0.11533114259257006</v>
      </c>
      <c r="Q20" s="24">
        <v>53548</v>
      </c>
      <c r="R20" s="28">
        <f t="shared" si="7"/>
        <v>0.11300265630314045</v>
      </c>
      <c r="S20" s="24">
        <v>44266</v>
      </c>
      <c r="T20" s="28">
        <f t="shared" si="8"/>
        <v>0.11027182058578988</v>
      </c>
      <c r="U20" s="24">
        <v>50400</v>
      </c>
      <c r="V20" s="28">
        <f t="shared" si="9"/>
        <v>0.12304969138392753</v>
      </c>
      <c r="W20" s="23">
        <v>56200</v>
      </c>
      <c r="X20" s="28">
        <f t="shared" si="10"/>
        <v>0.13486953412415198</v>
      </c>
      <c r="Y20" s="23">
        <v>61700</v>
      </c>
      <c r="Z20" s="28">
        <f t="shared" si="11"/>
        <v>0.15025765412977196</v>
      </c>
      <c r="AA20" s="23">
        <v>66503</v>
      </c>
      <c r="AB20" s="28">
        <f t="shared" si="12"/>
        <v>0.15691183132621089</v>
      </c>
      <c r="AC20" s="23">
        <v>69139</v>
      </c>
      <c r="AD20" s="28">
        <f t="shared" si="13"/>
        <v>0.1594497359378243</v>
      </c>
      <c r="AE20" s="18">
        <v>62104</v>
      </c>
      <c r="AF20" s="28">
        <f t="shared" si="14"/>
        <v>0.14556398308660148</v>
      </c>
      <c r="AG20" s="18">
        <v>54935</v>
      </c>
      <c r="AH20" s="28">
        <f t="shared" si="15"/>
        <v>0.12965572257664049</v>
      </c>
      <c r="AI20" s="18">
        <v>54721</v>
      </c>
      <c r="AJ20" s="28">
        <f t="shared" si="16"/>
        <v>0.12593900171229724</v>
      </c>
      <c r="AK20" s="18">
        <v>53768</v>
      </c>
      <c r="AL20" s="28">
        <f t="shared" si="17"/>
        <v>0.12553641555336606</v>
      </c>
    </row>
    <row r="21" spans="2:38">
      <c r="B21" s="18" t="s">
        <v>85</v>
      </c>
      <c r="C21" s="26">
        <v>3123</v>
      </c>
      <c r="D21" s="28">
        <f t="shared" si="0"/>
        <v>7.150412814418969E-3</v>
      </c>
      <c r="E21" s="26">
        <v>3141</v>
      </c>
      <c r="F21" s="28">
        <f t="shared" si="1"/>
        <v>7.1959587165946921E-3</v>
      </c>
      <c r="G21" s="26">
        <v>3147.4780000000001</v>
      </c>
      <c r="H21" s="28">
        <f t="shared" si="2"/>
        <v>7.0249278276524225E-3</v>
      </c>
      <c r="I21" s="26">
        <v>3158.308</v>
      </c>
      <c r="J21" s="28">
        <f t="shared" si="3"/>
        <v>6.7815504889535329E-3</v>
      </c>
      <c r="K21" s="26">
        <v>3498.6849999999999</v>
      </c>
      <c r="L21" s="28">
        <f t="shared" si="4"/>
        <v>7.3098461879501616E-3</v>
      </c>
      <c r="M21" s="26">
        <v>3592.509</v>
      </c>
      <c r="N21" s="28">
        <f t="shared" si="5"/>
        <v>7.0699815942026423E-3</v>
      </c>
      <c r="O21" s="24">
        <v>3718.41</v>
      </c>
      <c r="P21" s="28">
        <f t="shared" si="6"/>
        <v>7.1547485598298004E-3</v>
      </c>
      <c r="Q21" s="24">
        <v>4157.3559999999998</v>
      </c>
      <c r="R21" s="28">
        <f t="shared" si="7"/>
        <v>8.7732925823149083E-3</v>
      </c>
      <c r="S21" s="24">
        <v>3011.46</v>
      </c>
      <c r="T21" s="28">
        <f t="shared" si="8"/>
        <v>7.5019016134568921E-3</v>
      </c>
      <c r="U21" s="24">
        <v>2887.7489999999998</v>
      </c>
      <c r="V21" s="28">
        <f t="shared" si="9"/>
        <v>7.0503298262747085E-3</v>
      </c>
      <c r="W21" s="23">
        <v>3219</v>
      </c>
      <c r="X21" s="28">
        <f t="shared" si="10"/>
        <v>7.7250005399580992E-3</v>
      </c>
      <c r="Y21" s="23">
        <v>2915</v>
      </c>
      <c r="Z21" s="28">
        <f t="shared" si="11"/>
        <v>7.0988826870062444E-3</v>
      </c>
      <c r="AA21" s="23">
        <v>3121</v>
      </c>
      <c r="AB21" s="28">
        <f t="shared" si="12"/>
        <v>7.3639057722073315E-3</v>
      </c>
      <c r="AC21" s="23">
        <v>3319</v>
      </c>
      <c r="AD21" s="28">
        <f t="shared" si="13"/>
        <v>7.6543437651345678E-3</v>
      </c>
      <c r="AE21" s="18">
        <v>3466</v>
      </c>
      <c r="AF21" s="28">
        <f t="shared" si="14"/>
        <v>8.1238690805449047E-3</v>
      </c>
      <c r="AG21" s="18">
        <v>3518</v>
      </c>
      <c r="AH21" s="28">
        <f t="shared" si="15"/>
        <v>8.3030642035973653E-3</v>
      </c>
      <c r="AI21" s="18">
        <v>3782</v>
      </c>
      <c r="AJ21" s="28">
        <f t="shared" si="16"/>
        <v>8.7041776370298096E-3</v>
      </c>
      <c r="AK21" s="18">
        <v>3913</v>
      </c>
      <c r="AL21" s="28">
        <f t="shared" si="17"/>
        <v>9.1359915574379062E-3</v>
      </c>
    </row>
    <row r="22" spans="2:38">
      <c r="B22" s="18" t="s">
        <v>86</v>
      </c>
      <c r="C22" s="26">
        <v>40512</v>
      </c>
      <c r="D22" s="28">
        <f t="shared" si="0"/>
        <v>9.275617160990754E-2</v>
      </c>
      <c r="E22" s="26">
        <v>42417</v>
      </c>
      <c r="F22" s="28">
        <f t="shared" si="1"/>
        <v>9.7176370863354677E-2</v>
      </c>
      <c r="G22" s="26">
        <v>44746.756999999998</v>
      </c>
      <c r="H22" s="28">
        <f t="shared" si="2"/>
        <v>9.9871305993719683E-2</v>
      </c>
      <c r="I22" s="26">
        <v>45593</v>
      </c>
      <c r="J22" s="28">
        <f t="shared" si="3"/>
        <v>9.7897745072000081E-2</v>
      </c>
      <c r="K22" s="26">
        <v>50347</v>
      </c>
      <c r="L22" s="28">
        <f t="shared" si="4"/>
        <v>0.10519061476661282</v>
      </c>
      <c r="M22" s="26">
        <v>54032.77</v>
      </c>
      <c r="N22" s="28">
        <f t="shared" si="5"/>
        <v>0.1063353465179307</v>
      </c>
      <c r="O22" s="24">
        <v>54720.445</v>
      </c>
      <c r="P22" s="28">
        <f t="shared" si="6"/>
        <v>0.10528990215091821</v>
      </c>
      <c r="Q22" s="24">
        <v>42083.406999999999</v>
      </c>
      <c r="R22" s="28">
        <f t="shared" si="7"/>
        <v>8.8808858916974959E-2</v>
      </c>
      <c r="S22" s="24">
        <v>29504.574000000001</v>
      </c>
      <c r="T22" s="28">
        <f t="shared" si="8"/>
        <v>7.3499369506803441E-2</v>
      </c>
      <c r="U22" s="24">
        <v>26161.66</v>
      </c>
      <c r="V22" s="28">
        <f t="shared" si="9"/>
        <v>6.3872702164508757E-2</v>
      </c>
      <c r="W22" s="23">
        <v>22178</v>
      </c>
      <c r="X22" s="28">
        <f t="shared" si="10"/>
        <v>5.3223069889776556E-2</v>
      </c>
      <c r="Y22" s="23">
        <v>15939</v>
      </c>
      <c r="Z22" s="28">
        <f t="shared" si="11"/>
        <v>3.881615476781905E-2</v>
      </c>
      <c r="AA22" s="23">
        <v>13736</v>
      </c>
      <c r="AB22" s="28">
        <f t="shared" si="12"/>
        <v>3.2409679489599455E-2</v>
      </c>
      <c r="AC22" s="23">
        <v>14587</v>
      </c>
      <c r="AD22" s="28">
        <f t="shared" si="13"/>
        <v>3.3640829316667051E-2</v>
      </c>
      <c r="AE22" s="18">
        <v>15000</v>
      </c>
      <c r="AF22" s="28">
        <f t="shared" si="14"/>
        <v>3.5158117775006797E-2</v>
      </c>
      <c r="AG22" s="18">
        <v>15000</v>
      </c>
      <c r="AH22" s="28">
        <f t="shared" si="15"/>
        <v>3.5402490919261079E-2</v>
      </c>
      <c r="AI22" s="18">
        <v>14500</v>
      </c>
      <c r="AJ22" s="28">
        <f t="shared" si="16"/>
        <v>3.3371384383112698E-2</v>
      </c>
      <c r="AK22" s="18">
        <v>14600</v>
      </c>
      <c r="AL22" s="28">
        <f t="shared" si="17"/>
        <v>3.4087778364066811E-2</v>
      </c>
    </row>
    <row r="23" spans="2:38">
      <c r="B23" s="18" t="s">
        <v>87</v>
      </c>
      <c r="C23" s="26">
        <v>3950</v>
      </c>
      <c r="D23" s="28">
        <f t="shared" si="0"/>
        <v>9.0439098997614244E-3</v>
      </c>
      <c r="E23" s="26">
        <v>3771</v>
      </c>
      <c r="F23" s="28">
        <f t="shared" si="1"/>
        <v>8.6392742184904746E-3</v>
      </c>
      <c r="G23" s="26">
        <v>3613</v>
      </c>
      <c r="H23" s="28">
        <f t="shared" si="2"/>
        <v>8.0639369810712579E-3</v>
      </c>
      <c r="I23" s="26">
        <v>3851</v>
      </c>
      <c r="J23" s="28">
        <f t="shared" si="3"/>
        <v>8.2689056713151649E-3</v>
      </c>
      <c r="K23" s="26">
        <v>4022</v>
      </c>
      <c r="L23" s="28">
        <f t="shared" si="4"/>
        <v>8.4032147415201847E-3</v>
      </c>
      <c r="M23" s="26">
        <v>4040</v>
      </c>
      <c r="N23" s="28">
        <f t="shared" si="5"/>
        <v>7.9506344007986268E-3</v>
      </c>
      <c r="O23" s="24">
        <v>4000</v>
      </c>
      <c r="P23" s="28">
        <f t="shared" si="6"/>
        <v>7.6965676833160414E-3</v>
      </c>
      <c r="Q23" s="24">
        <v>4000</v>
      </c>
      <c r="R23" s="28">
        <f t="shared" si="7"/>
        <v>8.4412232989572317E-3</v>
      </c>
      <c r="S23" s="24">
        <v>4000</v>
      </c>
      <c r="T23" s="28">
        <f t="shared" si="8"/>
        <v>9.9644712046075886E-3</v>
      </c>
      <c r="U23" s="24">
        <v>4000</v>
      </c>
      <c r="V23" s="28">
        <f t="shared" si="9"/>
        <v>9.7658485225339316E-3</v>
      </c>
      <c r="W23" s="23">
        <v>4750</v>
      </c>
      <c r="X23" s="28">
        <f t="shared" si="10"/>
        <v>1.1399115428642737E-2</v>
      </c>
      <c r="Y23" s="23">
        <v>4467</v>
      </c>
      <c r="Z23" s="28">
        <f t="shared" si="11"/>
        <v>1.0878459335456911E-2</v>
      </c>
      <c r="AA23" s="23">
        <v>4640</v>
      </c>
      <c r="AB23" s="28">
        <f t="shared" si="12"/>
        <v>1.0947940654611348E-2</v>
      </c>
      <c r="AC23" s="23">
        <v>4280</v>
      </c>
      <c r="AD23" s="28">
        <f t="shared" si="13"/>
        <v>9.8706210650123388E-3</v>
      </c>
      <c r="AE23" s="18">
        <v>4390</v>
      </c>
      <c r="AF23" s="28">
        <f t="shared" si="14"/>
        <v>1.0289609135485323E-2</v>
      </c>
      <c r="AG23" s="18">
        <v>4710</v>
      </c>
      <c r="AH23" s="28">
        <f t="shared" si="15"/>
        <v>1.1116382148647979E-2</v>
      </c>
      <c r="AI23" s="18">
        <v>4580</v>
      </c>
      <c r="AJ23" s="28">
        <f t="shared" si="16"/>
        <v>1.0540754515493527E-2</v>
      </c>
      <c r="AK23" s="18">
        <v>4290</v>
      </c>
      <c r="AL23" s="28">
        <f t="shared" si="17"/>
        <v>1.0016203368619631E-2</v>
      </c>
    </row>
    <row r="24" spans="2:38">
      <c r="B24" s="18" t="s">
        <v>88</v>
      </c>
      <c r="C24" s="26">
        <v>30125</v>
      </c>
      <c r="D24" s="28">
        <f t="shared" si="0"/>
        <v>6.8974122969699472E-2</v>
      </c>
      <c r="E24" s="26">
        <v>32577</v>
      </c>
      <c r="F24" s="28">
        <f t="shared" si="1"/>
        <v>7.4633157309934819E-2</v>
      </c>
      <c r="G24" s="26">
        <v>35076.902000000002</v>
      </c>
      <c r="H24" s="28">
        <f t="shared" si="2"/>
        <v>7.8288936401664108E-2</v>
      </c>
      <c r="I24" s="26">
        <v>38795.796999999999</v>
      </c>
      <c r="J24" s="28">
        <f t="shared" si="3"/>
        <v>8.3302722886650707E-2</v>
      </c>
      <c r="K24" s="26">
        <v>42786.834999999999</v>
      </c>
      <c r="L24" s="28">
        <f t="shared" si="4"/>
        <v>8.9395067780952714E-2</v>
      </c>
      <c r="M24" s="26">
        <v>47499.159</v>
      </c>
      <c r="N24" s="28">
        <f t="shared" si="5"/>
        <v>9.347733850356528E-2</v>
      </c>
      <c r="O24" s="24">
        <v>49552.550999999999</v>
      </c>
      <c r="P24" s="28">
        <f t="shared" si="6"/>
        <v>9.5346140663117501E-2</v>
      </c>
      <c r="Q24" s="24">
        <v>54027.283000000003</v>
      </c>
      <c r="R24" s="28">
        <f t="shared" si="7"/>
        <v>0.11401409000973899</v>
      </c>
      <c r="S24" s="24">
        <v>53972.758000000002</v>
      </c>
      <c r="T24" s="28">
        <f t="shared" si="8"/>
        <v>0.13445249823106348</v>
      </c>
      <c r="U24" s="24">
        <v>62737.275999999998</v>
      </c>
      <c r="V24" s="28">
        <f t="shared" si="9"/>
        <v>0.15317068353310087</v>
      </c>
      <c r="W24" s="23">
        <v>63405</v>
      </c>
      <c r="X24" s="28">
        <f t="shared" si="10"/>
        <v>0.15216019236907216</v>
      </c>
      <c r="Y24" s="23">
        <v>63879</v>
      </c>
      <c r="Z24" s="28">
        <f t="shared" si="11"/>
        <v>0.15556416026184283</v>
      </c>
      <c r="AA24" s="23">
        <v>71337</v>
      </c>
      <c r="AB24" s="28">
        <f t="shared" si="12"/>
        <v>0.16831750915474347</v>
      </c>
      <c r="AC24" s="23">
        <v>71329</v>
      </c>
      <c r="AD24" s="28">
        <f t="shared" si="13"/>
        <v>0.16450035746408062</v>
      </c>
      <c r="AE24" s="18">
        <v>71419</v>
      </c>
      <c r="AF24" s="28">
        <f t="shared" si="14"/>
        <v>0.16739717422488071</v>
      </c>
      <c r="AG24" s="18">
        <v>75403</v>
      </c>
      <c r="AH24" s="28">
        <f t="shared" si="15"/>
        <v>0.17796360151900287</v>
      </c>
      <c r="AI24" s="18">
        <v>80552</v>
      </c>
      <c r="AJ24" s="28">
        <f t="shared" si="16"/>
        <v>0.18538839688472372</v>
      </c>
      <c r="AK24" s="18">
        <v>72544</v>
      </c>
      <c r="AL24" s="28">
        <f t="shared" si="17"/>
        <v>0.16937423244129196</v>
      </c>
    </row>
    <row r="25" spans="2:38">
      <c r="B25" s="18" t="s">
        <v>89</v>
      </c>
      <c r="C25" s="26">
        <v>11854</v>
      </c>
      <c r="D25" s="28">
        <f t="shared" si="0"/>
        <v>2.7140888089056181E-2</v>
      </c>
      <c r="E25" s="26">
        <v>11265</v>
      </c>
      <c r="F25" s="28">
        <f t="shared" si="1"/>
        <v>2.5807855760088889E-2</v>
      </c>
      <c r="G25" s="26">
        <v>11215</v>
      </c>
      <c r="H25" s="28">
        <f t="shared" si="2"/>
        <v>2.5031013906093042E-2</v>
      </c>
      <c r="I25" s="26">
        <v>11405</v>
      </c>
      <c r="J25" s="28">
        <f t="shared" si="3"/>
        <v>2.4488929935432214E-2</v>
      </c>
      <c r="K25" s="26">
        <v>11216</v>
      </c>
      <c r="L25" s="28">
        <f t="shared" si="4"/>
        <v>2.3433728627769865E-2</v>
      </c>
      <c r="M25" s="26">
        <v>12119</v>
      </c>
      <c r="N25" s="28">
        <f t="shared" si="5"/>
        <v>2.3849935223583803E-2</v>
      </c>
      <c r="O25" s="24">
        <v>11887</v>
      </c>
      <c r="P25" s="28">
        <f t="shared" si="6"/>
        <v>2.2872275012894447E-2</v>
      </c>
      <c r="Q25" s="24">
        <v>10071</v>
      </c>
      <c r="R25" s="28">
        <f t="shared" si="7"/>
        <v>2.125288996094957E-2</v>
      </c>
      <c r="S25" s="24">
        <v>7623</v>
      </c>
      <c r="T25" s="28">
        <f t="shared" si="8"/>
        <v>1.8989790998180912E-2</v>
      </c>
      <c r="U25" s="24">
        <v>7882</v>
      </c>
      <c r="V25" s="28">
        <f t="shared" si="9"/>
        <v>1.9243604513653111E-2</v>
      </c>
      <c r="W25" s="23">
        <v>8529</v>
      </c>
      <c r="X25" s="28">
        <f t="shared" si="10"/>
        <v>2.0468011682293456E-2</v>
      </c>
      <c r="Y25" s="23">
        <v>7952</v>
      </c>
      <c r="Z25" s="28">
        <f t="shared" si="11"/>
        <v>1.9365459734845165E-2</v>
      </c>
      <c r="AA25" s="23">
        <v>8203</v>
      </c>
      <c r="AB25" s="28">
        <f t="shared" si="12"/>
        <v>1.9354732152969158E-2</v>
      </c>
      <c r="AC25" s="23">
        <v>8958</v>
      </c>
      <c r="AD25" s="28">
        <f t="shared" si="13"/>
        <v>2.0659117640275823E-2</v>
      </c>
      <c r="AE25" s="18">
        <v>9235</v>
      </c>
      <c r="AF25" s="28">
        <f t="shared" si="14"/>
        <v>2.1645681176812519E-2</v>
      </c>
      <c r="AG25" s="18">
        <v>9370</v>
      </c>
      <c r="AH25" s="28">
        <f t="shared" si="15"/>
        <v>2.2114755994231756E-2</v>
      </c>
      <c r="AI25" s="18">
        <v>9359</v>
      </c>
      <c r="AJ25" s="28">
        <f t="shared" si="16"/>
        <v>2.1539502513210466E-2</v>
      </c>
      <c r="AK25" s="18">
        <v>9197</v>
      </c>
      <c r="AL25" s="28">
        <f t="shared" si="17"/>
        <v>2.1472965590022087E-2</v>
      </c>
    </row>
    <row r="26" spans="2:38">
      <c r="B26" s="18" t="s">
        <v>90</v>
      </c>
      <c r="C26" s="26">
        <v>90450</v>
      </c>
      <c r="D26" s="28">
        <f t="shared" si="0"/>
        <v>0.20709408871732171</v>
      </c>
      <c r="E26" s="26">
        <v>91266</v>
      </c>
      <c r="F26" s="28">
        <f t="shared" si="1"/>
        <v>0.20908830570796916</v>
      </c>
      <c r="G26" s="26">
        <v>94328.695000000007</v>
      </c>
      <c r="H26" s="28">
        <f t="shared" si="2"/>
        <v>0.21053436257589028</v>
      </c>
      <c r="I26" s="26">
        <v>99014.588000000003</v>
      </c>
      <c r="J26" s="28">
        <f t="shared" si="3"/>
        <v>0.21260511250483888</v>
      </c>
      <c r="K26" s="26">
        <v>100902.712</v>
      </c>
      <c r="L26" s="28">
        <f t="shared" si="4"/>
        <v>0.21081729411679903</v>
      </c>
      <c r="M26" s="26">
        <v>99712.373999999996</v>
      </c>
      <c r="N26" s="28">
        <f t="shared" si="5"/>
        <v>0.19623183933408381</v>
      </c>
      <c r="O26" s="24">
        <v>96849.650999999998</v>
      </c>
      <c r="P26" s="28">
        <f t="shared" si="6"/>
        <v>0.18635247350675929</v>
      </c>
      <c r="Q26" s="24">
        <v>87610.421000000002</v>
      </c>
      <c r="R26" s="28">
        <f t="shared" si="7"/>
        <v>0.18488478174416298</v>
      </c>
      <c r="S26" s="24">
        <v>64842.794000000002</v>
      </c>
      <c r="T26" s="28">
        <f t="shared" si="8"/>
        <v>0.16153103840982544</v>
      </c>
      <c r="U26" s="24">
        <v>67202.346000000005</v>
      </c>
      <c r="V26" s="28">
        <f t="shared" si="9"/>
        <v>0.16407198284872851</v>
      </c>
      <c r="W26" s="23">
        <v>68639</v>
      </c>
      <c r="X26" s="28">
        <f t="shared" si="10"/>
        <v>0.16472081766454924</v>
      </c>
      <c r="Y26" s="23">
        <v>74934</v>
      </c>
      <c r="Z26" s="28">
        <f t="shared" si="11"/>
        <v>0.1824863379993571</v>
      </c>
      <c r="AA26" s="23">
        <v>77415</v>
      </c>
      <c r="AB26" s="28">
        <f t="shared" si="12"/>
        <v>0.18265836762429688</v>
      </c>
      <c r="AC26" s="23">
        <v>83124</v>
      </c>
      <c r="AD26" s="28">
        <f t="shared" si="13"/>
        <v>0.19170222088973962</v>
      </c>
      <c r="AE26" s="18">
        <v>84940</v>
      </c>
      <c r="AF26" s="28">
        <f t="shared" si="14"/>
        <v>0.19908870158727182</v>
      </c>
      <c r="AG26" s="18">
        <v>85153</v>
      </c>
      <c r="AH26" s="28">
        <f t="shared" si="15"/>
        <v>0.20097522061652257</v>
      </c>
      <c r="AI26" s="18">
        <v>86799</v>
      </c>
      <c r="AJ26" s="28">
        <f t="shared" si="16"/>
        <v>0.19976570986688269</v>
      </c>
      <c r="AK26" s="18">
        <v>88021</v>
      </c>
      <c r="AL26" s="28">
        <f t="shared" si="17"/>
        <v>0.2055096122865428</v>
      </c>
    </row>
    <row r="27" spans="2:38">
      <c r="B27" s="113" t="s">
        <v>91</v>
      </c>
      <c r="D27" s="29"/>
    </row>
  </sheetData>
  <sortState xmlns:xlrd2="http://schemas.microsoft.com/office/spreadsheetml/2017/richdata2" ref="B5:AK26">
    <sortCondition ref="B26"/>
  </sortState>
  <mergeCells count="19">
    <mergeCell ref="B3:B4"/>
    <mergeCell ref="Q3:R3"/>
    <mergeCell ref="O3:P3"/>
    <mergeCell ref="M3:N3"/>
    <mergeCell ref="K3:L3"/>
    <mergeCell ref="I3:J3"/>
    <mergeCell ref="G3:H3"/>
    <mergeCell ref="E3:F3"/>
    <mergeCell ref="C3:D3"/>
    <mergeCell ref="AK3:AL3"/>
    <mergeCell ref="AI3:AJ3"/>
    <mergeCell ref="AG3:AH3"/>
    <mergeCell ref="AE3:AF3"/>
    <mergeCell ref="AC3:AD3"/>
    <mergeCell ref="AA3:AB3"/>
    <mergeCell ref="Y3:Z3"/>
    <mergeCell ref="W3:X3"/>
    <mergeCell ref="U3:V3"/>
    <mergeCell ref="S3:T3"/>
  </mergeCells>
  <hyperlinks>
    <hyperlink ref="B27" r:id="rId1" xr:uid="{401CF486-BF99-44DE-A990-ADD8891D379C}"/>
  </hyperlinks>
  <pageMargins left="0.7" right="0.7" top="0.75" bottom="0.75" header="0.3" footer="0.3"/>
  <pageSetup orientation="portrait" horizontalDpi="0"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89954-BC2A-4483-97E3-9FCC5B96FFC3}">
  <sheetPr codeName="Sheet13"/>
  <dimension ref="B1:U28"/>
  <sheetViews>
    <sheetView workbookViewId="0">
      <selection activeCell="M35" sqref="M35"/>
    </sheetView>
  </sheetViews>
  <sheetFormatPr defaultColWidth="8.81640625" defaultRowHeight="14.5"/>
  <cols>
    <col min="1" max="1" width="1.6328125" customWidth="1"/>
    <col min="2" max="2" width="22.81640625" customWidth="1"/>
    <col min="3" max="3" width="7.6328125" bestFit="1" customWidth="1"/>
    <col min="4" max="20" width="7.453125" bestFit="1" customWidth="1"/>
    <col min="21" max="21" width="8.36328125" bestFit="1" customWidth="1"/>
  </cols>
  <sheetData>
    <row r="1" spans="2:21" ht="17.5">
      <c r="B1" s="105" t="s">
        <v>12</v>
      </c>
    </row>
    <row r="2" spans="2:21" ht="10" customHeight="1"/>
    <row r="3" spans="2:21" ht="16.5">
      <c r="B3" s="166" t="s">
        <v>66</v>
      </c>
      <c r="C3" s="166" t="s">
        <v>92</v>
      </c>
      <c r="D3" s="166"/>
      <c r="E3" s="166"/>
      <c r="F3" s="166"/>
      <c r="G3" s="166"/>
      <c r="H3" s="166"/>
      <c r="I3" s="166"/>
      <c r="J3" s="166"/>
      <c r="K3" s="166"/>
      <c r="L3" s="166"/>
      <c r="M3" s="166"/>
      <c r="N3" s="166"/>
      <c r="O3" s="166"/>
      <c r="P3" s="166"/>
      <c r="Q3" s="166"/>
      <c r="R3" s="166"/>
      <c r="S3" s="166"/>
      <c r="T3" s="166"/>
      <c r="U3" t="s">
        <v>33</v>
      </c>
    </row>
    <row r="4" spans="2:21">
      <c r="B4" s="166"/>
      <c r="C4" s="22">
        <v>2001</v>
      </c>
      <c r="D4" s="22">
        <v>2002</v>
      </c>
      <c r="E4" s="22">
        <v>2003</v>
      </c>
      <c r="F4" s="22">
        <v>2004</v>
      </c>
      <c r="G4" s="22">
        <v>2005</v>
      </c>
      <c r="H4" s="22">
        <v>2006</v>
      </c>
      <c r="I4" s="22">
        <v>2007</v>
      </c>
      <c r="J4" s="22">
        <v>2008</v>
      </c>
      <c r="K4" s="22">
        <v>2009</v>
      </c>
      <c r="L4" s="22">
        <v>2010</v>
      </c>
      <c r="M4" s="22">
        <v>2011</v>
      </c>
      <c r="N4" s="22">
        <v>2012</v>
      </c>
      <c r="O4" s="22">
        <v>2013</v>
      </c>
      <c r="P4" s="22">
        <v>2014</v>
      </c>
      <c r="Q4" s="22">
        <v>2015</v>
      </c>
      <c r="R4" s="22">
        <v>2016</v>
      </c>
      <c r="S4" s="22">
        <v>2017</v>
      </c>
      <c r="T4" s="22">
        <v>2018</v>
      </c>
    </row>
    <row r="5" spans="2:21">
      <c r="B5" s="18" t="s">
        <v>69</v>
      </c>
      <c r="C5" s="22">
        <v>260</v>
      </c>
      <c r="D5" s="22">
        <v>260</v>
      </c>
      <c r="E5" s="22">
        <v>260</v>
      </c>
      <c r="F5" s="22">
        <v>260</v>
      </c>
      <c r="G5" s="22">
        <v>270</v>
      </c>
      <c r="H5" s="22">
        <v>250</v>
      </c>
      <c r="I5" s="22">
        <v>260</v>
      </c>
      <c r="J5" s="22">
        <v>265</v>
      </c>
      <c r="K5" s="22">
        <v>265</v>
      </c>
      <c r="L5" s="22">
        <v>260</v>
      </c>
      <c r="M5" s="22">
        <v>260</v>
      </c>
      <c r="N5" s="18">
        <v>260</v>
      </c>
      <c r="O5" s="18">
        <v>260</v>
      </c>
      <c r="P5" s="18">
        <v>260</v>
      </c>
      <c r="Q5" s="18">
        <v>260</v>
      </c>
      <c r="R5" s="18">
        <v>260</v>
      </c>
      <c r="S5" s="18">
        <v>260</v>
      </c>
      <c r="T5" s="18">
        <v>260</v>
      </c>
    </row>
    <row r="6" spans="2:21">
      <c r="B6" s="18" t="s">
        <v>70</v>
      </c>
      <c r="C6" s="22">
        <v>275</v>
      </c>
      <c r="D6" s="22">
        <v>275</v>
      </c>
      <c r="E6" s="22">
        <v>274</v>
      </c>
      <c r="F6" s="22">
        <v>274</v>
      </c>
      <c r="G6" s="22">
        <v>275</v>
      </c>
      <c r="H6" s="22">
        <v>260</v>
      </c>
      <c r="I6" s="22">
        <v>260</v>
      </c>
      <c r="J6" s="22">
        <v>260</v>
      </c>
      <c r="K6" s="22">
        <v>260</v>
      </c>
      <c r="L6" s="22">
        <v>260</v>
      </c>
      <c r="M6" s="22">
        <v>260</v>
      </c>
      <c r="N6" s="18">
        <v>270</v>
      </c>
      <c r="O6" s="18">
        <v>275</v>
      </c>
      <c r="P6" s="18">
        <v>285</v>
      </c>
      <c r="Q6" s="18">
        <v>285</v>
      </c>
      <c r="R6" s="18">
        <v>280</v>
      </c>
      <c r="S6" s="18">
        <v>280</v>
      </c>
      <c r="T6" s="18">
        <v>280</v>
      </c>
    </row>
    <row r="7" spans="2:21">
      <c r="B7" s="18" t="s">
        <v>71</v>
      </c>
      <c r="C7" s="22">
        <v>297</v>
      </c>
      <c r="D7" s="22">
        <v>297</v>
      </c>
      <c r="E7" s="22">
        <v>297</v>
      </c>
      <c r="F7" s="22">
        <v>297</v>
      </c>
      <c r="G7" s="22">
        <v>297</v>
      </c>
      <c r="H7" s="22">
        <v>297</v>
      </c>
      <c r="I7" s="22">
        <v>284</v>
      </c>
      <c r="J7" s="22">
        <v>289</v>
      </c>
      <c r="K7" s="22">
        <v>278</v>
      </c>
      <c r="L7" s="22">
        <v>276</v>
      </c>
      <c r="M7" s="22">
        <v>275</v>
      </c>
      <c r="N7" s="18">
        <v>272</v>
      </c>
      <c r="O7" s="18">
        <v>269</v>
      </c>
      <c r="P7" s="18">
        <v>271</v>
      </c>
      <c r="Q7" s="18">
        <v>259</v>
      </c>
      <c r="R7" s="18">
        <v>272</v>
      </c>
      <c r="S7" s="18">
        <v>272</v>
      </c>
      <c r="T7" s="18">
        <v>298</v>
      </c>
    </row>
    <row r="8" spans="2:21">
      <c r="B8" s="18" t="s">
        <v>72</v>
      </c>
      <c r="C8" s="22">
        <v>230</v>
      </c>
      <c r="D8" s="22">
        <v>230</v>
      </c>
      <c r="E8" s="22">
        <v>230</v>
      </c>
      <c r="F8" s="22">
        <v>230</v>
      </c>
      <c r="G8" s="22">
        <v>230</v>
      </c>
      <c r="H8" s="22">
        <v>230</v>
      </c>
      <c r="I8" s="22">
        <v>230</v>
      </c>
      <c r="J8" s="22">
        <v>250</v>
      </c>
      <c r="K8" s="22">
        <v>250</v>
      </c>
      <c r="L8" s="22">
        <v>255</v>
      </c>
      <c r="M8" s="22">
        <v>280</v>
      </c>
      <c r="N8" s="18">
        <v>282</v>
      </c>
      <c r="O8" s="18">
        <v>275</v>
      </c>
      <c r="P8" s="18">
        <v>275</v>
      </c>
      <c r="Q8" s="18">
        <v>260</v>
      </c>
      <c r="R8" s="18">
        <v>260</v>
      </c>
      <c r="S8" s="18">
        <v>260</v>
      </c>
      <c r="T8" s="18">
        <v>260</v>
      </c>
    </row>
    <row r="9" spans="2:21">
      <c r="B9" s="18" t="s">
        <v>73</v>
      </c>
      <c r="C9" s="22">
        <v>350</v>
      </c>
      <c r="D9" s="22">
        <v>350</v>
      </c>
      <c r="E9" s="22">
        <v>350</v>
      </c>
      <c r="F9" s="22">
        <v>360</v>
      </c>
      <c r="G9" s="22">
        <v>320</v>
      </c>
      <c r="H9" s="22">
        <v>340</v>
      </c>
      <c r="I9" s="22">
        <v>340</v>
      </c>
      <c r="J9" s="22">
        <v>345</v>
      </c>
      <c r="K9" s="22">
        <v>345</v>
      </c>
      <c r="L9" s="22">
        <v>345</v>
      </c>
      <c r="M9" s="22">
        <v>345</v>
      </c>
      <c r="N9" s="18">
        <v>345</v>
      </c>
      <c r="O9" s="18">
        <v>345</v>
      </c>
      <c r="P9" s="18">
        <v>345</v>
      </c>
      <c r="Q9" s="18">
        <v>345</v>
      </c>
      <c r="R9" s="18">
        <v>345</v>
      </c>
      <c r="S9" s="18">
        <v>350</v>
      </c>
      <c r="T9" s="18">
        <v>350</v>
      </c>
    </row>
    <row r="10" spans="2:21">
      <c r="B10" s="18" t="s">
        <v>74</v>
      </c>
      <c r="C10" s="22">
        <v>284</v>
      </c>
      <c r="D10" s="22">
        <v>284</v>
      </c>
      <c r="E10" s="22">
        <v>280</v>
      </c>
      <c r="F10" s="22">
        <v>280</v>
      </c>
      <c r="G10" s="22">
        <v>291</v>
      </c>
      <c r="H10" s="22">
        <v>293</v>
      </c>
      <c r="I10" s="22">
        <v>293</v>
      </c>
      <c r="J10" s="22">
        <v>298</v>
      </c>
      <c r="K10" s="22">
        <v>299</v>
      </c>
      <c r="L10" s="22">
        <v>298</v>
      </c>
      <c r="M10" s="22">
        <v>294</v>
      </c>
      <c r="N10" s="18">
        <v>298</v>
      </c>
      <c r="O10" s="18">
        <v>290</v>
      </c>
      <c r="P10" s="18">
        <v>291</v>
      </c>
      <c r="Q10" s="18">
        <v>298</v>
      </c>
      <c r="R10" s="18">
        <v>298</v>
      </c>
      <c r="S10" s="18">
        <v>297</v>
      </c>
      <c r="T10" s="18">
        <v>297</v>
      </c>
    </row>
    <row r="11" spans="2:21">
      <c r="B11" s="18" t="s">
        <v>75</v>
      </c>
      <c r="C11" s="22">
        <v>285</v>
      </c>
      <c r="D11" s="22">
        <v>285</v>
      </c>
      <c r="E11" s="22">
        <v>285</v>
      </c>
      <c r="F11" s="22">
        <v>290</v>
      </c>
      <c r="G11" s="22">
        <v>300</v>
      </c>
      <c r="H11" s="22">
        <v>300</v>
      </c>
      <c r="I11" s="22">
        <v>298</v>
      </c>
      <c r="J11" s="22">
        <v>299</v>
      </c>
      <c r="K11" s="22">
        <v>300</v>
      </c>
      <c r="L11" s="22">
        <v>296</v>
      </c>
      <c r="M11" s="22">
        <v>296</v>
      </c>
      <c r="N11" s="18">
        <v>298</v>
      </c>
      <c r="O11" s="18">
        <v>296</v>
      </c>
      <c r="P11" s="18">
        <v>294</v>
      </c>
      <c r="Q11" s="18">
        <v>293</v>
      </c>
      <c r="R11" s="18">
        <v>298</v>
      </c>
      <c r="S11" s="18">
        <v>301</v>
      </c>
      <c r="T11" s="18">
        <v>305</v>
      </c>
    </row>
    <row r="12" spans="2:21">
      <c r="B12" s="18" t="s">
        <v>76</v>
      </c>
      <c r="C12" s="22">
        <v>300</v>
      </c>
      <c r="D12" s="22">
        <v>300</v>
      </c>
      <c r="E12" s="22">
        <v>290</v>
      </c>
      <c r="F12" s="22">
        <v>300</v>
      </c>
      <c r="G12" s="22">
        <v>300</v>
      </c>
      <c r="H12" s="22">
        <v>300</v>
      </c>
      <c r="I12" s="22">
        <v>300</v>
      </c>
      <c r="J12" s="22">
        <v>330</v>
      </c>
      <c r="K12" s="22">
        <v>330</v>
      </c>
      <c r="L12" s="22">
        <v>330</v>
      </c>
      <c r="M12" s="22">
        <v>320</v>
      </c>
      <c r="N12" s="18">
        <v>260</v>
      </c>
      <c r="O12" s="18">
        <v>260</v>
      </c>
      <c r="P12" s="18">
        <v>260</v>
      </c>
      <c r="Q12" s="18">
        <v>260</v>
      </c>
      <c r="R12" s="18">
        <v>255</v>
      </c>
      <c r="S12" s="18">
        <v>260</v>
      </c>
      <c r="T12" s="18">
        <v>260</v>
      </c>
    </row>
    <row r="13" spans="2:21">
      <c r="B13" s="18" t="s">
        <v>77</v>
      </c>
      <c r="C13" s="22">
        <v>280</v>
      </c>
      <c r="D13" s="22">
        <v>280</v>
      </c>
      <c r="E13" s="22">
        <v>280</v>
      </c>
      <c r="F13" s="22">
        <v>285</v>
      </c>
      <c r="G13" s="22">
        <v>275</v>
      </c>
      <c r="H13" s="22">
        <v>275</v>
      </c>
      <c r="I13" s="22">
        <v>285</v>
      </c>
      <c r="J13" s="22">
        <v>280</v>
      </c>
      <c r="K13" s="22">
        <v>280</v>
      </c>
      <c r="L13" s="22">
        <v>278</v>
      </c>
      <c r="M13" s="22">
        <v>280</v>
      </c>
      <c r="N13" s="18">
        <v>280</v>
      </c>
      <c r="O13" s="18">
        <v>280</v>
      </c>
      <c r="P13" s="18">
        <v>280</v>
      </c>
      <c r="Q13" s="18">
        <v>280</v>
      </c>
      <c r="R13" s="18">
        <v>280</v>
      </c>
      <c r="S13" s="18">
        <v>280</v>
      </c>
      <c r="T13" s="18">
        <v>285</v>
      </c>
    </row>
    <row r="14" spans="2:21">
      <c r="B14" s="18" t="s">
        <v>78</v>
      </c>
      <c r="C14" s="22">
        <v>265</v>
      </c>
      <c r="D14" s="22">
        <v>265</v>
      </c>
      <c r="E14" s="22">
        <v>265</v>
      </c>
      <c r="F14" s="22">
        <v>265</v>
      </c>
      <c r="G14" s="22">
        <v>265</v>
      </c>
      <c r="H14" s="22">
        <v>265</v>
      </c>
      <c r="I14" s="22">
        <v>265</v>
      </c>
      <c r="J14" s="22">
        <v>290</v>
      </c>
      <c r="K14" s="22">
        <v>315</v>
      </c>
      <c r="L14" s="22">
        <v>305</v>
      </c>
      <c r="M14" s="22">
        <v>310</v>
      </c>
      <c r="N14" s="18">
        <v>310</v>
      </c>
      <c r="O14" s="18">
        <v>305</v>
      </c>
      <c r="P14" s="18">
        <v>310</v>
      </c>
      <c r="Q14" s="18">
        <v>320</v>
      </c>
      <c r="R14" s="18">
        <v>320</v>
      </c>
      <c r="S14" s="18">
        <v>320</v>
      </c>
      <c r="T14" s="18">
        <v>320</v>
      </c>
    </row>
    <row r="15" spans="2:21">
      <c r="B15" s="18" t="s">
        <v>79</v>
      </c>
      <c r="C15" s="18">
        <v>349</v>
      </c>
      <c r="D15" s="18">
        <v>349</v>
      </c>
      <c r="E15" s="18">
        <v>349</v>
      </c>
      <c r="F15" s="18">
        <v>349</v>
      </c>
      <c r="G15" s="18">
        <v>349</v>
      </c>
      <c r="H15" s="18">
        <v>349</v>
      </c>
      <c r="I15" s="18">
        <v>349</v>
      </c>
      <c r="J15" s="18">
        <v>349</v>
      </c>
      <c r="K15" s="18">
        <v>349</v>
      </c>
      <c r="L15" s="18">
        <v>349</v>
      </c>
      <c r="M15" s="18">
        <v>349</v>
      </c>
      <c r="N15" s="18">
        <v>339</v>
      </c>
      <c r="O15" s="18">
        <v>343</v>
      </c>
      <c r="P15" s="18">
        <v>343</v>
      </c>
      <c r="Q15" s="18">
        <v>343</v>
      </c>
      <c r="R15" s="18">
        <v>351</v>
      </c>
      <c r="S15" s="18">
        <v>351</v>
      </c>
      <c r="T15" s="18">
        <v>348</v>
      </c>
    </row>
    <row r="16" spans="2:21">
      <c r="B16" s="18" t="s">
        <v>80</v>
      </c>
      <c r="C16" s="22">
        <v>312</v>
      </c>
      <c r="D16" s="22">
        <v>312</v>
      </c>
      <c r="E16" s="22">
        <v>312</v>
      </c>
      <c r="F16" s="22">
        <v>312</v>
      </c>
      <c r="G16" s="22">
        <v>312</v>
      </c>
      <c r="H16" s="22">
        <v>312</v>
      </c>
      <c r="I16" s="22">
        <v>306</v>
      </c>
      <c r="J16" s="22">
        <v>316</v>
      </c>
      <c r="K16" s="22">
        <v>313</v>
      </c>
      <c r="L16" s="22">
        <v>305</v>
      </c>
      <c r="M16" s="22">
        <v>303</v>
      </c>
      <c r="N16" s="18">
        <v>303</v>
      </c>
      <c r="O16" s="18">
        <v>301</v>
      </c>
      <c r="P16" s="18">
        <v>313</v>
      </c>
      <c r="Q16" s="18">
        <v>313</v>
      </c>
      <c r="R16" s="18">
        <v>313</v>
      </c>
      <c r="S16" s="18">
        <v>315</v>
      </c>
      <c r="T16" s="18">
        <v>315</v>
      </c>
    </row>
    <row r="17" spans="2:21">
      <c r="B17" s="18" t="s">
        <v>81</v>
      </c>
      <c r="C17" s="22">
        <v>327</v>
      </c>
      <c r="D17" s="22">
        <v>336</v>
      </c>
      <c r="E17" s="22">
        <v>336</v>
      </c>
      <c r="F17" s="22">
        <v>358</v>
      </c>
      <c r="G17" s="22">
        <v>360</v>
      </c>
      <c r="H17" s="22">
        <v>360</v>
      </c>
      <c r="I17" s="22">
        <v>367</v>
      </c>
      <c r="J17" s="22">
        <v>367</v>
      </c>
      <c r="K17" s="22">
        <v>368</v>
      </c>
      <c r="L17" s="22">
        <v>378</v>
      </c>
      <c r="M17" s="22">
        <v>378</v>
      </c>
      <c r="N17" s="18">
        <v>386</v>
      </c>
      <c r="O17" s="18">
        <v>382</v>
      </c>
      <c r="P17" s="18">
        <v>382</v>
      </c>
      <c r="Q17" s="18">
        <v>382</v>
      </c>
      <c r="R17" s="18">
        <v>365</v>
      </c>
      <c r="S17" s="18">
        <v>360</v>
      </c>
      <c r="T17" s="18">
        <v>360</v>
      </c>
    </row>
    <row r="18" spans="2:21">
      <c r="B18" s="18" t="s">
        <v>82</v>
      </c>
      <c r="C18" s="22">
        <v>330</v>
      </c>
      <c r="D18" s="22">
        <v>330</v>
      </c>
      <c r="E18" s="22">
        <v>330</v>
      </c>
      <c r="F18" s="22">
        <v>330</v>
      </c>
      <c r="G18" s="22">
        <v>330</v>
      </c>
      <c r="H18" s="22">
        <v>300</v>
      </c>
      <c r="I18" s="22">
        <v>300</v>
      </c>
      <c r="J18" s="22">
        <v>320</v>
      </c>
      <c r="K18" s="22">
        <v>282</v>
      </c>
      <c r="L18" s="22">
        <v>288</v>
      </c>
      <c r="M18" s="22">
        <v>288</v>
      </c>
      <c r="N18" s="18">
        <v>288.2</v>
      </c>
      <c r="O18" s="18">
        <v>279</v>
      </c>
      <c r="P18" s="18">
        <v>275</v>
      </c>
      <c r="Q18" s="18">
        <v>270</v>
      </c>
      <c r="R18" s="18">
        <v>270</v>
      </c>
      <c r="S18" s="18">
        <v>270</v>
      </c>
      <c r="T18" s="18">
        <v>285</v>
      </c>
    </row>
    <row r="19" spans="2:21">
      <c r="B19" s="18" t="s">
        <v>83</v>
      </c>
      <c r="C19" s="22">
        <v>280</v>
      </c>
      <c r="D19" s="22">
        <v>260</v>
      </c>
      <c r="E19" s="22">
        <v>250</v>
      </c>
      <c r="F19" s="22">
        <v>250</v>
      </c>
      <c r="G19" s="22">
        <v>250</v>
      </c>
      <c r="H19" s="22">
        <v>250</v>
      </c>
      <c r="I19" s="22">
        <v>250</v>
      </c>
      <c r="J19" s="22">
        <v>250</v>
      </c>
      <c r="K19" s="22">
        <v>230</v>
      </c>
      <c r="L19" s="22">
        <v>260</v>
      </c>
      <c r="M19" s="22">
        <v>240</v>
      </c>
      <c r="N19" s="18">
        <v>210</v>
      </c>
      <c r="O19" s="18">
        <v>210</v>
      </c>
      <c r="P19" s="18">
        <v>220</v>
      </c>
      <c r="Q19" s="18">
        <v>220</v>
      </c>
      <c r="R19" s="18">
        <v>196</v>
      </c>
      <c r="S19" s="18">
        <v>195</v>
      </c>
      <c r="T19" s="18">
        <v>204</v>
      </c>
    </row>
    <row r="20" spans="2:21">
      <c r="B20" s="18" t="s">
        <v>84</v>
      </c>
      <c r="C20" s="22">
        <v>360</v>
      </c>
      <c r="D20" s="22">
        <v>360</v>
      </c>
      <c r="E20" s="22">
        <v>360</v>
      </c>
      <c r="F20" s="22">
        <v>325</v>
      </c>
      <c r="G20" s="22">
        <v>350</v>
      </c>
      <c r="H20" s="22">
        <v>350</v>
      </c>
      <c r="I20" s="22">
        <v>330</v>
      </c>
      <c r="J20" s="22">
        <v>350</v>
      </c>
      <c r="K20" s="22">
        <v>350</v>
      </c>
      <c r="L20" s="22">
        <v>350</v>
      </c>
      <c r="M20" s="22">
        <v>350</v>
      </c>
      <c r="N20" s="18">
        <v>370</v>
      </c>
      <c r="O20" s="18">
        <v>370</v>
      </c>
      <c r="P20" s="18">
        <v>350</v>
      </c>
      <c r="Q20" s="18">
        <v>360</v>
      </c>
      <c r="R20" s="18">
        <v>360</v>
      </c>
      <c r="S20" s="18">
        <v>359</v>
      </c>
      <c r="T20" s="18">
        <v>360</v>
      </c>
    </row>
    <row r="21" spans="2:21">
      <c r="B21" s="18" t="s">
        <v>85</v>
      </c>
      <c r="C21" s="22">
        <v>350</v>
      </c>
      <c r="D21" s="22">
        <v>350</v>
      </c>
      <c r="E21" s="22">
        <v>340</v>
      </c>
      <c r="F21" s="22">
        <v>335</v>
      </c>
      <c r="G21" s="22">
        <v>330</v>
      </c>
      <c r="H21" s="22">
        <v>310</v>
      </c>
      <c r="I21" s="22">
        <v>303</v>
      </c>
      <c r="J21" s="22">
        <v>331</v>
      </c>
      <c r="K21" s="22">
        <v>315</v>
      </c>
      <c r="L21" s="22">
        <v>315</v>
      </c>
      <c r="M21" s="22">
        <v>310</v>
      </c>
      <c r="N21" s="18">
        <v>310</v>
      </c>
      <c r="O21" s="18">
        <v>305</v>
      </c>
      <c r="P21" s="18">
        <v>302</v>
      </c>
      <c r="Q21" s="18">
        <v>300</v>
      </c>
      <c r="R21" s="18">
        <v>300</v>
      </c>
      <c r="S21" s="18">
        <v>302</v>
      </c>
      <c r="T21" s="18">
        <v>300</v>
      </c>
    </row>
    <row r="22" spans="2:21">
      <c r="B22" s="18" t="s">
        <v>86</v>
      </c>
      <c r="C22" s="22">
        <v>283</v>
      </c>
      <c r="D22" s="22">
        <v>285</v>
      </c>
      <c r="E22" s="22">
        <v>285</v>
      </c>
      <c r="F22" s="22">
        <v>285</v>
      </c>
      <c r="G22" s="22">
        <v>280</v>
      </c>
      <c r="H22" s="22">
        <v>280</v>
      </c>
      <c r="I22" s="22">
        <v>350</v>
      </c>
      <c r="J22" s="22">
        <v>285</v>
      </c>
      <c r="K22" s="22">
        <v>295</v>
      </c>
      <c r="L22" s="22">
        <v>295</v>
      </c>
      <c r="M22" s="22">
        <v>289</v>
      </c>
      <c r="N22" s="18">
        <v>284</v>
      </c>
      <c r="O22" s="18">
        <v>283</v>
      </c>
      <c r="P22" s="18">
        <v>280</v>
      </c>
      <c r="Q22" s="18">
        <v>283</v>
      </c>
      <c r="R22" s="18">
        <v>283</v>
      </c>
      <c r="S22" s="18">
        <v>275</v>
      </c>
      <c r="T22" s="18">
        <v>275</v>
      </c>
    </row>
    <row r="23" spans="2:21">
      <c r="B23" s="18" t="s">
        <v>87</v>
      </c>
      <c r="C23" s="22">
        <v>287</v>
      </c>
      <c r="D23" s="22">
        <v>287</v>
      </c>
      <c r="E23" s="22">
        <v>280</v>
      </c>
      <c r="F23" s="22">
        <v>280</v>
      </c>
      <c r="G23" s="22">
        <v>280</v>
      </c>
      <c r="H23" s="22">
        <v>280</v>
      </c>
      <c r="I23" s="22">
        <v>280</v>
      </c>
      <c r="J23" s="22">
        <v>280</v>
      </c>
      <c r="K23" s="22">
        <v>280</v>
      </c>
      <c r="L23" s="22">
        <v>280</v>
      </c>
      <c r="M23" s="22">
        <v>280</v>
      </c>
      <c r="N23" s="18">
        <v>280</v>
      </c>
      <c r="O23" s="18">
        <v>280</v>
      </c>
      <c r="P23" s="18">
        <v>280</v>
      </c>
      <c r="Q23" s="18">
        <v>280</v>
      </c>
      <c r="R23" s="18">
        <v>280</v>
      </c>
      <c r="S23" s="18">
        <v>280</v>
      </c>
      <c r="T23" s="18">
        <v>280</v>
      </c>
    </row>
    <row r="24" spans="2:21">
      <c r="B24" s="18" t="s">
        <v>88</v>
      </c>
      <c r="C24" s="22">
        <v>280</v>
      </c>
      <c r="D24" s="22">
        <v>280</v>
      </c>
      <c r="E24" s="22">
        <v>280</v>
      </c>
      <c r="F24" s="22">
        <v>280</v>
      </c>
      <c r="G24" s="22">
        <v>290</v>
      </c>
      <c r="H24" s="22">
        <v>280</v>
      </c>
      <c r="I24" s="22">
        <v>290</v>
      </c>
      <c r="J24" s="22">
        <v>290</v>
      </c>
      <c r="K24" s="22">
        <v>290</v>
      </c>
      <c r="L24" s="22">
        <v>295</v>
      </c>
      <c r="M24" s="22">
        <v>290</v>
      </c>
      <c r="N24" s="18">
        <v>290</v>
      </c>
      <c r="O24" s="18">
        <v>290</v>
      </c>
      <c r="P24" s="18">
        <v>290</v>
      </c>
      <c r="Q24" s="18">
        <v>290</v>
      </c>
      <c r="R24" s="18">
        <v>290</v>
      </c>
      <c r="S24" s="18">
        <v>290</v>
      </c>
      <c r="T24" s="18">
        <v>295</v>
      </c>
    </row>
    <row r="25" spans="2:21">
      <c r="B25" s="18" t="s">
        <v>89</v>
      </c>
      <c r="C25" s="22">
        <v>280</v>
      </c>
      <c r="D25" s="22">
        <v>280</v>
      </c>
      <c r="E25" s="22">
        <v>305</v>
      </c>
      <c r="F25" s="22">
        <v>305</v>
      </c>
      <c r="G25" s="22">
        <v>305</v>
      </c>
      <c r="H25" s="22">
        <v>310</v>
      </c>
      <c r="I25" s="22">
        <v>230</v>
      </c>
      <c r="J25" s="22">
        <v>220</v>
      </c>
      <c r="K25" s="22">
        <v>220</v>
      </c>
      <c r="L25" s="22">
        <v>250</v>
      </c>
      <c r="M25" s="22">
        <v>250</v>
      </c>
      <c r="N25" s="18">
        <v>250</v>
      </c>
      <c r="O25" s="18">
        <v>250</v>
      </c>
      <c r="P25" s="18">
        <v>260</v>
      </c>
      <c r="Q25" s="18">
        <v>260</v>
      </c>
      <c r="R25" s="18">
        <v>260</v>
      </c>
      <c r="S25" s="18">
        <v>262</v>
      </c>
      <c r="T25" s="18">
        <v>278</v>
      </c>
    </row>
    <row r="26" spans="2:21">
      <c r="B26" s="18" t="s">
        <v>90</v>
      </c>
      <c r="C26" s="22">
        <v>300</v>
      </c>
      <c r="D26" s="22">
        <v>300</v>
      </c>
      <c r="E26" s="22">
        <v>300</v>
      </c>
      <c r="F26" s="22">
        <v>300</v>
      </c>
      <c r="G26" s="22">
        <v>270</v>
      </c>
      <c r="H26" s="22">
        <v>270</v>
      </c>
      <c r="I26" s="22">
        <v>270</v>
      </c>
      <c r="J26" s="22">
        <v>270</v>
      </c>
      <c r="K26" s="22">
        <v>270</v>
      </c>
      <c r="L26" s="22">
        <v>270</v>
      </c>
      <c r="M26" s="22">
        <v>270</v>
      </c>
      <c r="N26" s="18">
        <v>270</v>
      </c>
      <c r="O26" s="18">
        <v>270</v>
      </c>
      <c r="P26" s="18">
        <v>270</v>
      </c>
      <c r="Q26" s="18">
        <v>270</v>
      </c>
      <c r="R26" s="18">
        <v>270</v>
      </c>
      <c r="S26" s="18">
        <v>270</v>
      </c>
      <c r="T26" s="18">
        <v>270</v>
      </c>
      <c r="U26">
        <f>AVERAGE(C26:T26)</f>
        <v>276.66666666666669</v>
      </c>
    </row>
    <row r="27" spans="2:21">
      <c r="B27" t="s">
        <v>93</v>
      </c>
    </row>
    <row r="28" spans="2:21" ht="29">
      <c r="B28" s="12" t="s">
        <v>94</v>
      </c>
      <c r="C28" s="4">
        <f t="array" ref="C28">SUM(C5:C26*'SDS4'!D5:D26)</f>
        <v>304.53255807563914</v>
      </c>
      <c r="D28" s="4">
        <f t="array" ref="D28">SUM(D5:D26*'SDS4'!F5:F26)</f>
        <v>303.82598197001113</v>
      </c>
      <c r="E28" s="4">
        <f t="array" ref="E28">SUM(E5:E26*'SDS4'!H5:H26)</f>
        <v>303.65516628208553</v>
      </c>
      <c r="F28" s="4">
        <f t="array" ref="F28">SUM(F5:F26*'SDS4'!J5:J26)</f>
        <v>300.66629162566522</v>
      </c>
      <c r="G28" s="4">
        <f t="array" ref="G28">SUM(G5:G26*'SDS4'!L5:L26)</f>
        <v>298.63332302327274</v>
      </c>
      <c r="H28" s="4">
        <f t="array" ref="H28">SUM(H5:H26*'SDS4'!N5:N26)</f>
        <v>296.69396202767564</v>
      </c>
      <c r="I28" s="4">
        <f t="array" ref="I28">SUM(I5:I26*'SDS4'!P5:P26)</f>
        <v>300.54828698224253</v>
      </c>
      <c r="J28" s="4">
        <f t="array" ref="J28">SUM(J5:J26*'SDS4'!R5:R26)</f>
        <v>300.7301388055555</v>
      </c>
      <c r="K28" s="4">
        <f t="array" ref="K28">SUM(K5:K26*'SDS4'!T5:T26)</f>
        <v>302.1597148541012</v>
      </c>
      <c r="L28" s="4">
        <f t="array" ref="L28">SUM(L5:L26*'SDS4'!V5:V26)</f>
        <v>302.82505658180037</v>
      </c>
      <c r="M28" s="4">
        <f t="array" ref="M28">SUM(M5:M26*'SDS4'!X5:X26)</f>
        <v>302.34534040158485</v>
      </c>
      <c r="N28" s="4">
        <f t="array" ref="N28">SUM(N5:N26*'SDS4'!Z5:Z26)</f>
        <v>304.89874923288238</v>
      </c>
      <c r="O28" s="4">
        <f t="array" ref="O28">SUM(O5:O26*'SDS4'!AB5:AB26)</f>
        <v>304.63391171807166</v>
      </c>
      <c r="P28" s="4">
        <f t="array" ref="P28">SUM(P5:P26*'SDS4'!AD5:AD26)</f>
        <v>301.40781808537622</v>
      </c>
      <c r="Q28" s="4">
        <f t="array" ref="Q28">SUM(Q5:Q26*'SDS4'!AF5:AF26)</f>
        <v>301.81939743673888</v>
      </c>
      <c r="R28" s="4">
        <f t="array" ref="R28">SUM(R5:R26*'SDS4'!AH5:AH26)</f>
        <v>301.715474900814</v>
      </c>
      <c r="S28" s="4">
        <f t="array" ref="S28">SUM(S5:S26*'SDS4'!AJ5:AJ26)</f>
        <v>301.51193774971</v>
      </c>
      <c r="T28" s="4">
        <f t="array" ref="T28">SUM(T5:T26*'SDS4'!AL5:AL26)</f>
        <v>303.65800619183483</v>
      </c>
      <c r="U28" s="4">
        <f>AVERAGE(C28:T28)</f>
        <v>302.01450644139237</v>
      </c>
    </row>
  </sheetData>
  <sortState xmlns:xlrd2="http://schemas.microsoft.com/office/spreadsheetml/2017/richdata2" ref="B5:T26">
    <sortCondition ref="B26"/>
  </sortState>
  <mergeCells count="2">
    <mergeCell ref="B3:B4"/>
    <mergeCell ref="C3:T3"/>
  </mergeCells>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491E2-5562-4089-9841-76EC5FEDBF63}">
  <sheetPr codeName="Sheet7"/>
  <dimension ref="B1:L36"/>
  <sheetViews>
    <sheetView topLeftCell="B1" workbookViewId="0">
      <selection activeCell="B37" sqref="B37"/>
    </sheetView>
  </sheetViews>
  <sheetFormatPr defaultColWidth="8.81640625" defaultRowHeight="14.5"/>
  <cols>
    <col min="1" max="1" width="1.6328125" customWidth="1"/>
    <col min="2" max="2" width="17.453125" customWidth="1"/>
    <col min="3" max="3" width="37" customWidth="1"/>
    <col min="4" max="4" width="17.36328125" customWidth="1"/>
    <col min="5" max="5" width="8.36328125" bestFit="1" customWidth="1"/>
    <col min="6" max="6" width="1.6328125" customWidth="1"/>
    <col min="7" max="7" width="25.453125" customWidth="1"/>
    <col min="8" max="8" width="16.36328125" customWidth="1"/>
    <col min="9" max="9" width="1.6328125" customWidth="1"/>
    <col min="10" max="10" width="20.6328125" customWidth="1"/>
    <col min="11" max="11" width="17" customWidth="1"/>
  </cols>
  <sheetData>
    <row r="1" spans="2:12" ht="17.5">
      <c r="B1" s="105" t="s">
        <v>370</v>
      </c>
    </row>
    <row r="2" spans="2:12" ht="10" customHeight="1"/>
    <row r="3" spans="2:12" ht="32.25" customHeight="1">
      <c r="B3" s="54" t="s">
        <v>90</v>
      </c>
      <c r="C3" s="18" t="s">
        <v>95</v>
      </c>
      <c r="D3" s="17" t="s">
        <v>96</v>
      </c>
      <c r="E3" s="11" t="s">
        <v>33</v>
      </c>
      <c r="G3" s="17" t="s">
        <v>97</v>
      </c>
      <c r="H3" s="17" t="s">
        <v>98</v>
      </c>
      <c r="J3" s="17" t="s">
        <v>99</v>
      </c>
      <c r="K3" s="17" t="s">
        <v>98</v>
      </c>
      <c r="L3" s="33" t="s">
        <v>100</v>
      </c>
    </row>
    <row r="4" spans="2:12">
      <c r="B4" s="170" t="s">
        <v>101</v>
      </c>
      <c r="C4" s="18" t="s">
        <v>102</v>
      </c>
      <c r="D4" s="18">
        <v>150</v>
      </c>
      <c r="G4" s="18" t="s">
        <v>103</v>
      </c>
      <c r="H4" s="18">
        <v>161</v>
      </c>
      <c r="J4" s="18" t="s">
        <v>104</v>
      </c>
      <c r="K4" s="18">
        <f>H5</f>
        <v>150</v>
      </c>
      <c r="L4" t="s">
        <v>104</v>
      </c>
    </row>
    <row r="5" spans="2:12">
      <c r="B5" s="170"/>
      <c r="C5" s="18" t="s">
        <v>105</v>
      </c>
      <c r="D5" s="18">
        <v>150</v>
      </c>
      <c r="G5" s="18" t="s">
        <v>104</v>
      </c>
      <c r="H5" s="18">
        <v>150</v>
      </c>
      <c r="J5" s="18" t="s">
        <v>106</v>
      </c>
      <c r="K5" s="34">
        <f>(H6*'SDS7'!D6+H8*'SDS7'!D8+H9*'SDS7'!D9)/'SDS7'!H5</f>
        <v>107.47793685189455</v>
      </c>
      <c r="L5" t="s">
        <v>107</v>
      </c>
    </row>
    <row r="6" spans="2:12">
      <c r="B6" s="170"/>
      <c r="C6" s="18" t="s">
        <v>108</v>
      </c>
      <c r="D6" s="18">
        <v>205</v>
      </c>
      <c r="G6" s="18" t="s">
        <v>109</v>
      </c>
      <c r="H6" s="18">
        <v>159</v>
      </c>
      <c r="J6" s="18" t="s">
        <v>110</v>
      </c>
      <c r="K6" s="34">
        <f>(H4*'SDS7'!D4+H7*'SDS7'!D7+H10*'SDS7'!D10+H11*'SDS7'!D11)/'SDS7'!H6</f>
        <v>234.81131110363839</v>
      </c>
      <c r="L6" t="s">
        <v>111</v>
      </c>
    </row>
    <row r="7" spans="2:12" ht="29">
      <c r="B7" s="170"/>
      <c r="C7" s="18" t="s">
        <v>112</v>
      </c>
      <c r="D7" s="18">
        <v>150</v>
      </c>
      <c r="G7" s="17" t="s">
        <v>113</v>
      </c>
      <c r="H7" s="18">
        <v>225</v>
      </c>
    </row>
    <row r="8" spans="2:12">
      <c r="B8" s="170"/>
      <c r="C8" s="18" t="s">
        <v>114</v>
      </c>
      <c r="D8" s="18">
        <v>150</v>
      </c>
      <c r="G8" s="18" t="s">
        <v>115</v>
      </c>
      <c r="H8" s="18">
        <v>159</v>
      </c>
      <c r="J8" s="18" t="s">
        <v>367</v>
      </c>
      <c r="K8" s="79"/>
      <c r="L8" s="88" t="s">
        <v>366</v>
      </c>
    </row>
    <row r="9" spans="2:12">
      <c r="B9" s="170"/>
      <c r="C9" s="18" t="s">
        <v>116</v>
      </c>
      <c r="D9" s="18">
        <v>205</v>
      </c>
      <c r="G9" s="18" t="s">
        <v>117</v>
      </c>
      <c r="H9" s="18">
        <v>185</v>
      </c>
      <c r="J9" s="18" t="s">
        <v>364</v>
      </c>
      <c r="K9" s="79">
        <v>0.74509999999999998</v>
      </c>
      <c r="L9" s="88" t="s">
        <v>368</v>
      </c>
    </row>
    <row r="10" spans="2:12">
      <c r="B10" s="170"/>
      <c r="C10" s="18" t="s">
        <v>118</v>
      </c>
      <c r="D10" s="18">
        <v>100</v>
      </c>
      <c r="E10" s="19">
        <f>AVERAGE(D4:D10)</f>
        <v>158.57142857142858</v>
      </c>
      <c r="F10" s="19"/>
      <c r="G10" s="18" t="s">
        <v>119</v>
      </c>
      <c r="H10" s="18">
        <v>305</v>
      </c>
      <c r="J10" s="18" t="s">
        <v>365</v>
      </c>
      <c r="K10" s="79">
        <v>0.12</v>
      </c>
      <c r="L10" s="88" t="s">
        <v>369</v>
      </c>
    </row>
    <row r="11" spans="2:12">
      <c r="B11" s="170" t="s">
        <v>120</v>
      </c>
      <c r="C11" s="18" t="s">
        <v>121</v>
      </c>
      <c r="D11" s="18">
        <v>205</v>
      </c>
      <c r="G11" s="18" t="s">
        <v>122</v>
      </c>
      <c r="H11" s="18">
        <f>(185+273)/2</f>
        <v>229</v>
      </c>
    </row>
    <row r="12" spans="2:12">
      <c r="B12" s="170"/>
      <c r="C12" s="18" t="s">
        <v>123</v>
      </c>
      <c r="D12" s="18">
        <v>150</v>
      </c>
    </row>
    <row r="13" spans="2:12">
      <c r="B13" s="170"/>
      <c r="C13" s="18" t="s">
        <v>124</v>
      </c>
      <c r="D13" s="18">
        <v>150</v>
      </c>
    </row>
    <row r="14" spans="2:12">
      <c r="B14" s="170"/>
      <c r="C14" s="18" t="s">
        <v>125</v>
      </c>
      <c r="D14" s="18">
        <v>150</v>
      </c>
    </row>
    <row r="15" spans="2:12">
      <c r="B15" s="170"/>
      <c r="C15" s="18" t="s">
        <v>118</v>
      </c>
      <c r="D15" s="18">
        <v>150</v>
      </c>
      <c r="E15">
        <f>AVERAGE(D11:D15)</f>
        <v>161</v>
      </c>
    </row>
    <row r="16" spans="2:12">
      <c r="B16" s="170" t="s">
        <v>119</v>
      </c>
      <c r="C16" s="18" t="s">
        <v>126</v>
      </c>
      <c r="D16" s="18">
        <v>305</v>
      </c>
    </row>
    <row r="17" spans="2:5">
      <c r="B17" s="170"/>
      <c r="C17" s="18" t="s">
        <v>127</v>
      </c>
      <c r="D17" s="18">
        <v>305</v>
      </c>
    </row>
    <row r="18" spans="2:5">
      <c r="B18" s="170"/>
      <c r="C18" s="18" t="s">
        <v>128</v>
      </c>
      <c r="D18" s="18">
        <v>305</v>
      </c>
    </row>
    <row r="19" spans="2:5">
      <c r="B19" s="170"/>
      <c r="C19" s="18" t="s">
        <v>118</v>
      </c>
      <c r="D19" s="18">
        <v>305</v>
      </c>
      <c r="E19">
        <f>AVERAGE(D16:D19)</f>
        <v>305</v>
      </c>
    </row>
    <row r="20" spans="2:5">
      <c r="B20" s="170" t="s">
        <v>113</v>
      </c>
      <c r="C20" s="18" t="s">
        <v>129</v>
      </c>
      <c r="D20" s="18">
        <v>305</v>
      </c>
    </row>
    <row r="21" spans="2:5">
      <c r="B21" s="170"/>
      <c r="C21" s="18" t="s">
        <v>130</v>
      </c>
      <c r="D21" s="18">
        <v>305</v>
      </c>
    </row>
    <row r="22" spans="2:5">
      <c r="B22" s="170"/>
      <c r="C22" s="18" t="s">
        <v>131</v>
      </c>
      <c r="D22" s="18">
        <v>305</v>
      </c>
    </row>
    <row r="23" spans="2:5">
      <c r="B23" s="170"/>
      <c r="C23" s="18" t="s">
        <v>132</v>
      </c>
      <c r="D23" s="18">
        <v>100</v>
      </c>
    </row>
    <row r="24" spans="2:5">
      <c r="B24" s="170"/>
      <c r="C24" s="18" t="s">
        <v>133</v>
      </c>
      <c r="D24" s="18">
        <v>205</v>
      </c>
    </row>
    <row r="25" spans="2:5">
      <c r="B25" s="170"/>
      <c r="C25" s="18" t="s">
        <v>134</v>
      </c>
      <c r="D25" s="18">
        <v>205</v>
      </c>
    </row>
    <row r="26" spans="2:5">
      <c r="B26" s="170"/>
      <c r="C26" s="18" t="s">
        <v>118</v>
      </c>
      <c r="D26" s="18">
        <v>150</v>
      </c>
      <c r="E26">
        <f>AVERAGE(D20:D26)</f>
        <v>225</v>
      </c>
    </row>
    <row r="27" spans="2:5">
      <c r="B27" s="170" t="s">
        <v>135</v>
      </c>
      <c r="C27" s="18" t="s">
        <v>136</v>
      </c>
      <c r="D27" s="18">
        <v>150</v>
      </c>
    </row>
    <row r="28" spans="2:5">
      <c r="B28" s="170"/>
      <c r="C28" s="18" t="s">
        <v>137</v>
      </c>
      <c r="D28" s="18">
        <v>380</v>
      </c>
    </row>
    <row r="29" spans="2:5">
      <c r="B29" s="170"/>
      <c r="C29" s="18" t="s">
        <v>138</v>
      </c>
      <c r="D29" s="18">
        <v>610</v>
      </c>
    </row>
    <row r="30" spans="2:5">
      <c r="B30" s="170"/>
      <c r="C30" s="18" t="s">
        <v>139</v>
      </c>
      <c r="D30" s="18">
        <v>150</v>
      </c>
    </row>
    <row r="31" spans="2:5">
      <c r="B31" s="170"/>
      <c r="C31" s="18" t="s">
        <v>118</v>
      </c>
      <c r="D31" s="18">
        <v>75</v>
      </c>
      <c r="E31">
        <f>AVERAGE(D27:D31)</f>
        <v>273</v>
      </c>
    </row>
    <row r="32" spans="2:5">
      <c r="B32" s="167" t="s">
        <v>140</v>
      </c>
      <c r="C32" s="18" t="s">
        <v>141</v>
      </c>
      <c r="D32" s="18">
        <v>150</v>
      </c>
    </row>
    <row r="33" spans="2:5">
      <c r="B33" s="168"/>
      <c r="C33" s="18" t="s">
        <v>142</v>
      </c>
      <c r="D33" s="18">
        <v>305</v>
      </c>
    </row>
    <row r="34" spans="2:5">
      <c r="B34" s="169"/>
      <c r="C34" s="18" t="s">
        <v>143</v>
      </c>
      <c r="D34" s="18">
        <v>100</v>
      </c>
      <c r="E34">
        <f>AVERAGE(D32:D34)</f>
        <v>185</v>
      </c>
    </row>
    <row r="35" spans="2:5">
      <c r="B35" s="21"/>
      <c r="C35" s="20"/>
    </row>
    <row r="36" spans="2:5">
      <c r="B36" s="20" t="s">
        <v>144</v>
      </c>
    </row>
  </sheetData>
  <mergeCells count="6">
    <mergeCell ref="B32:B34"/>
    <mergeCell ref="B4:B10"/>
    <mergeCell ref="B11:B15"/>
    <mergeCell ref="B16:B19"/>
    <mergeCell ref="B20:B26"/>
    <mergeCell ref="B27:B31"/>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59C19-7D10-4FA7-9E09-A15DF04F16AF}">
  <sheetPr codeName="Sheet8"/>
  <dimension ref="B1:I13"/>
  <sheetViews>
    <sheetView workbookViewId="0">
      <selection activeCell="C7" sqref="C7"/>
    </sheetView>
  </sheetViews>
  <sheetFormatPr defaultColWidth="8.81640625" defaultRowHeight="14.5"/>
  <cols>
    <col min="1" max="1" width="1.6328125" customWidth="1"/>
    <col min="2" max="2" width="27.6328125" customWidth="1"/>
    <col min="3" max="3" width="11.81640625" customWidth="1"/>
    <col min="4" max="4" width="15.453125" customWidth="1"/>
    <col min="5" max="5" width="1.6328125" customWidth="1"/>
    <col min="6" max="6" width="18.1796875" customWidth="1"/>
    <col min="7" max="7" width="13" customWidth="1"/>
    <col min="8" max="8" width="15.1796875" customWidth="1"/>
    <col min="9" max="9" width="31.36328125" customWidth="1"/>
  </cols>
  <sheetData>
    <row r="1" spans="2:9" ht="17.5">
      <c r="B1" s="105" t="s">
        <v>15</v>
      </c>
    </row>
    <row r="2" spans="2:9" ht="10" customHeight="1"/>
    <row r="3" spans="2:9" ht="31.5" customHeight="1">
      <c r="B3" s="17" t="s">
        <v>145</v>
      </c>
      <c r="C3" s="74" t="s">
        <v>146</v>
      </c>
      <c r="D3" s="17" t="s">
        <v>147</v>
      </c>
      <c r="F3" s="17" t="s">
        <v>148</v>
      </c>
      <c r="G3" s="74" t="s">
        <v>146</v>
      </c>
      <c r="H3" s="17" t="s">
        <v>149</v>
      </c>
      <c r="I3" s="12" t="s">
        <v>321</v>
      </c>
    </row>
    <row r="4" spans="2:9">
      <c r="B4" s="18" t="s">
        <v>120</v>
      </c>
      <c r="C4" s="18">
        <v>45</v>
      </c>
      <c r="D4" s="35">
        <v>0.33</v>
      </c>
      <c r="F4" s="18" t="s">
        <v>104</v>
      </c>
      <c r="G4" s="54">
        <f>C5</f>
        <v>80</v>
      </c>
      <c r="H4" s="49">
        <v>0.30280778212979398</v>
      </c>
    </row>
    <row r="5" spans="2:9">
      <c r="B5" s="18" t="s">
        <v>150</v>
      </c>
      <c r="C5" s="18">
        <v>80</v>
      </c>
      <c r="D5" s="35">
        <v>0.31</v>
      </c>
      <c r="F5" s="18" t="s">
        <v>106</v>
      </c>
      <c r="G5" s="50">
        <f>ROUNDUP((C6*D6+C8*D8+C9*D9)/H5,0)</f>
        <v>50</v>
      </c>
      <c r="H5" s="49">
        <v>0.32276391802908433</v>
      </c>
    </row>
    <row r="6" spans="2:9">
      <c r="B6" s="18" t="s">
        <v>151</v>
      </c>
      <c r="C6" s="18">
        <v>70</v>
      </c>
      <c r="D6" s="35">
        <v>0.1</v>
      </c>
      <c r="F6" s="18" t="s">
        <v>110</v>
      </c>
      <c r="G6" s="50">
        <f>ROUNDUP((C4*D4+C7*D7+C10*D10+C11*D11)/H6,0)</f>
        <v>65</v>
      </c>
      <c r="H6" s="49">
        <v>0.37442829984112153</v>
      </c>
    </row>
    <row r="7" spans="2:9">
      <c r="B7" s="18" t="s">
        <v>113</v>
      </c>
      <c r="C7" s="18">
        <v>60</v>
      </c>
      <c r="D7" s="35">
        <v>0.08</v>
      </c>
    </row>
    <row r="8" spans="2:9">
      <c r="B8" s="18" t="s">
        <v>115</v>
      </c>
      <c r="C8" s="18">
        <v>90</v>
      </c>
      <c r="D8" s="35">
        <v>0.06</v>
      </c>
    </row>
    <row r="9" spans="2:9">
      <c r="B9" s="18" t="s">
        <v>152</v>
      </c>
      <c r="C9" s="18">
        <v>70</v>
      </c>
      <c r="D9" s="35">
        <v>0.05</v>
      </c>
    </row>
    <row r="10" spans="2:9">
      <c r="B10" s="18" t="s">
        <v>119</v>
      </c>
      <c r="C10" s="18">
        <v>75</v>
      </c>
      <c r="D10" s="35">
        <v>0.01</v>
      </c>
    </row>
    <row r="11" spans="2:9">
      <c r="B11" s="18" t="s">
        <v>122</v>
      </c>
      <c r="C11" s="18">
        <v>60</v>
      </c>
      <c r="D11" s="35">
        <v>0.06</v>
      </c>
    </row>
    <row r="13" spans="2:9">
      <c r="B13" t="s">
        <v>153</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6B2B-4BC9-4295-AA26-68593912654E}">
  <sheetPr codeName="Sheet9"/>
  <dimension ref="B1:M10"/>
  <sheetViews>
    <sheetView workbookViewId="0">
      <selection activeCell="I7" sqref="I7"/>
    </sheetView>
  </sheetViews>
  <sheetFormatPr defaultColWidth="8.81640625" defaultRowHeight="14.5"/>
  <cols>
    <col min="1" max="1" width="1.6328125" customWidth="1"/>
    <col min="2" max="2" width="18" customWidth="1"/>
    <col min="12" max="12" width="13.453125" customWidth="1"/>
  </cols>
  <sheetData>
    <row r="1" spans="2:13" ht="17.5">
      <c r="B1" s="105" t="s">
        <v>17</v>
      </c>
    </row>
    <row r="2" spans="2:13" ht="10" customHeight="1"/>
    <row r="3" spans="2:13" ht="16.5">
      <c r="B3" s="171" t="s">
        <v>154</v>
      </c>
      <c r="C3" s="171" t="s">
        <v>155</v>
      </c>
      <c r="D3" s="171"/>
      <c r="E3" s="171"/>
      <c r="F3" s="171"/>
      <c r="G3" s="171"/>
      <c r="H3" s="171"/>
      <c r="I3" s="171"/>
      <c r="J3" s="171"/>
      <c r="K3" s="171"/>
      <c r="L3" s="170" t="s">
        <v>156</v>
      </c>
    </row>
    <row r="4" spans="2:13">
      <c r="B4" s="171"/>
      <c r="C4" s="54">
        <v>7.5</v>
      </c>
      <c r="D4" s="54">
        <v>15</v>
      </c>
      <c r="E4" s="54">
        <v>20</v>
      </c>
      <c r="F4" s="54">
        <v>25</v>
      </c>
      <c r="G4" s="54">
        <v>30</v>
      </c>
      <c r="H4" s="54">
        <v>40</v>
      </c>
      <c r="I4" s="54">
        <v>50</v>
      </c>
      <c r="J4" s="54">
        <v>75</v>
      </c>
      <c r="K4" s="54">
        <v>85</v>
      </c>
      <c r="L4" s="170"/>
    </row>
    <row r="5" spans="2:13">
      <c r="B5" s="18" t="s">
        <v>157</v>
      </c>
      <c r="C5" s="13">
        <f>0.055*C4+0.8333</f>
        <v>1.2458</v>
      </c>
      <c r="D5" s="13">
        <f>0.055*D4+0.8333</f>
        <v>1.6583000000000001</v>
      </c>
      <c r="E5" s="13">
        <f>0.055*E4+0.8333</f>
        <v>1.9333</v>
      </c>
      <c r="F5" s="13">
        <f>0.055*F4+0.8333</f>
        <v>2.2082999999999999</v>
      </c>
      <c r="G5" s="13">
        <v>2.4500000000000002</v>
      </c>
      <c r="H5" s="13">
        <v>3.1</v>
      </c>
      <c r="I5" s="13">
        <v>3.55</v>
      </c>
      <c r="J5" s="54"/>
      <c r="K5" s="54"/>
      <c r="L5" s="14" t="s">
        <v>158</v>
      </c>
    </row>
    <row r="6" spans="2:13">
      <c r="B6" s="18" t="s">
        <v>159</v>
      </c>
      <c r="C6" s="13">
        <f>0.05*C4+0.63</f>
        <v>1.0049999999999999</v>
      </c>
      <c r="D6" s="13">
        <v>1.38</v>
      </c>
      <c r="E6" s="13">
        <v>1.63</v>
      </c>
      <c r="F6" s="13">
        <v>1.88</v>
      </c>
      <c r="G6" s="13"/>
      <c r="H6" s="13"/>
      <c r="I6" s="13"/>
      <c r="J6" s="54"/>
      <c r="K6" s="54"/>
      <c r="L6" s="14" t="s">
        <v>160</v>
      </c>
    </row>
    <row r="7" spans="2:13">
      <c r="B7" s="18" t="s">
        <v>161</v>
      </c>
      <c r="C7" s="13">
        <f>0.0192*C4+0.8067</f>
        <v>0.95069999999999999</v>
      </c>
      <c r="D7" s="13">
        <f>0.0192*D4+0.8067</f>
        <v>1.0947</v>
      </c>
      <c r="E7" s="13">
        <f>0.0192*E4+0.8067</f>
        <v>1.1906999999999999</v>
      </c>
      <c r="F7" s="13">
        <v>1.27</v>
      </c>
      <c r="G7" s="13">
        <f>0.0192*G4+0.8067</f>
        <v>1.3826999999999998</v>
      </c>
      <c r="H7" s="13">
        <f>0.0192*H4+0.8067</f>
        <v>1.5747</v>
      </c>
      <c r="I7" s="13">
        <v>1.8</v>
      </c>
      <c r="J7" s="54">
        <v>2.23</v>
      </c>
      <c r="K7" s="54">
        <v>3.16</v>
      </c>
      <c r="L7" s="14" t="s">
        <v>160</v>
      </c>
      <c r="M7" t="s">
        <v>322</v>
      </c>
    </row>
    <row r="8" spans="2:13">
      <c r="B8" s="18" t="s">
        <v>162</v>
      </c>
      <c r="C8" s="13">
        <f>1.24/0.87</f>
        <v>1.4252873563218391</v>
      </c>
      <c r="D8" s="13">
        <f>1.35/0.87</f>
        <v>1.5517241379310347</v>
      </c>
      <c r="E8" s="15"/>
      <c r="F8" s="15"/>
      <c r="G8" s="15"/>
      <c r="H8" s="15"/>
      <c r="I8" s="15"/>
      <c r="J8" s="18"/>
      <c r="K8" s="18"/>
      <c r="L8" s="14" t="s">
        <v>163</v>
      </c>
    </row>
    <row r="9" spans="2:13">
      <c r="B9" s="18" t="s">
        <v>164</v>
      </c>
      <c r="C9" s="16">
        <v>1.2458</v>
      </c>
      <c r="D9" s="16">
        <v>1.6583000000000001</v>
      </c>
      <c r="E9" s="16">
        <v>1.9333</v>
      </c>
      <c r="F9" s="16">
        <v>2.2082999999999999</v>
      </c>
      <c r="G9" s="16">
        <v>2.4500000000000002</v>
      </c>
      <c r="H9" s="16">
        <v>3.1</v>
      </c>
      <c r="I9" s="16">
        <v>3.55</v>
      </c>
      <c r="J9" s="18"/>
      <c r="K9" s="18"/>
      <c r="L9" s="14"/>
    </row>
    <row r="10" spans="2:13">
      <c r="B10" t="s">
        <v>165</v>
      </c>
    </row>
  </sheetData>
  <mergeCells count="3">
    <mergeCell ref="B3:B4"/>
    <mergeCell ref="C3:K3"/>
    <mergeCell ref="L3:L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29C07-1D16-49AF-A381-02895AC3F777}">
  <sheetPr codeName="Sheet14"/>
  <dimension ref="B1:E12"/>
  <sheetViews>
    <sheetView workbookViewId="0">
      <selection activeCell="H21" sqref="H21"/>
    </sheetView>
  </sheetViews>
  <sheetFormatPr defaultColWidth="9.1796875" defaultRowHeight="14.5"/>
  <cols>
    <col min="1" max="1" width="1.6328125" customWidth="1"/>
    <col min="2" max="2" width="17.81640625" bestFit="1" customWidth="1"/>
    <col min="3" max="3" width="17.36328125" customWidth="1"/>
    <col min="4" max="4" width="15.6328125" customWidth="1"/>
  </cols>
  <sheetData>
    <row r="1" spans="2:5" ht="17.5">
      <c r="B1" s="105" t="s">
        <v>381</v>
      </c>
    </row>
    <row r="2" spans="2:5" ht="10" customHeight="1"/>
    <row r="3" spans="2:5" ht="39" customHeight="1">
      <c r="B3" s="51" t="s">
        <v>166</v>
      </c>
      <c r="C3" s="73" t="s">
        <v>167</v>
      </c>
      <c r="D3" s="73" t="s">
        <v>168</v>
      </c>
      <c r="E3" s="52"/>
    </row>
    <row r="4" spans="2:5">
      <c r="B4" s="18" t="s">
        <v>169</v>
      </c>
      <c r="C4" s="54">
        <v>625</v>
      </c>
      <c r="D4" s="54">
        <f t="shared" ref="D4:D10" si="0">SQRT(C4/$C$10)</f>
        <v>1.25</v>
      </c>
      <c r="E4" s="52"/>
    </row>
    <row r="5" spans="2:5">
      <c r="B5" s="18" t="s">
        <v>170</v>
      </c>
      <c r="C5" s="54">
        <v>300</v>
      </c>
      <c r="D5" s="13">
        <f t="shared" si="0"/>
        <v>0.8660254037844386</v>
      </c>
      <c r="E5" s="52"/>
    </row>
    <row r="6" spans="2:5">
      <c r="B6" s="18" t="s">
        <v>171</v>
      </c>
      <c r="C6" s="54">
        <v>225</v>
      </c>
      <c r="D6" s="54">
        <f t="shared" si="0"/>
        <v>0.75</v>
      </c>
      <c r="E6" s="52"/>
    </row>
    <row r="7" spans="2:5">
      <c r="B7" s="18" t="s">
        <v>172</v>
      </c>
      <c r="C7" s="54">
        <v>1200</v>
      </c>
      <c r="D7" s="13">
        <f t="shared" si="0"/>
        <v>1.7320508075688772</v>
      </c>
      <c r="E7" s="52"/>
    </row>
    <row r="8" spans="2:5">
      <c r="B8" s="18" t="s">
        <v>173</v>
      </c>
      <c r="C8" s="54">
        <v>1200</v>
      </c>
      <c r="D8" s="13">
        <f t="shared" si="0"/>
        <v>1.7320508075688772</v>
      </c>
      <c r="E8" s="52"/>
    </row>
    <row r="9" spans="2:5">
      <c r="B9" s="18" t="s">
        <v>174</v>
      </c>
      <c r="C9" s="54">
        <v>3000</v>
      </c>
      <c r="D9" s="13">
        <f t="shared" si="0"/>
        <v>2.7386127875258306</v>
      </c>
      <c r="E9" s="52"/>
    </row>
    <row r="10" spans="2:5">
      <c r="B10" s="18" t="s">
        <v>175</v>
      </c>
      <c r="C10" s="54">
        <v>400</v>
      </c>
      <c r="D10" s="54">
        <f t="shared" si="0"/>
        <v>1</v>
      </c>
      <c r="E10" s="52"/>
    </row>
    <row r="11" spans="2:5">
      <c r="B11" t="s">
        <v>176</v>
      </c>
    </row>
    <row r="12" spans="2:5">
      <c r="B12" t="s">
        <v>177</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D5921-5DA1-47D1-A8DD-DC0A45EFCB31}">
  <sheetPr codeName="Sheet15"/>
  <dimension ref="B1:D8"/>
  <sheetViews>
    <sheetView workbookViewId="0">
      <selection activeCell="B1" sqref="B1"/>
    </sheetView>
  </sheetViews>
  <sheetFormatPr defaultColWidth="9.1796875" defaultRowHeight="14.5"/>
  <cols>
    <col min="1" max="1" width="1.6328125" customWidth="1"/>
    <col min="2" max="2" width="31" customWidth="1"/>
    <col min="3" max="3" width="17.36328125" customWidth="1"/>
  </cols>
  <sheetData>
    <row r="1" spans="2:4" ht="17.5">
      <c r="B1" s="105" t="s">
        <v>21</v>
      </c>
    </row>
    <row r="2" spans="2:4" ht="10" customHeight="1"/>
    <row r="3" spans="2:4" ht="39" customHeight="1">
      <c r="B3" s="51" t="s">
        <v>178</v>
      </c>
      <c r="C3" s="73" t="s">
        <v>179</v>
      </c>
      <c r="D3" s="52"/>
    </row>
    <row r="4" spans="2:4">
      <c r="B4" s="18" t="s">
        <v>180</v>
      </c>
      <c r="C4" s="54">
        <v>1</v>
      </c>
      <c r="D4" s="52"/>
    </row>
    <row r="5" spans="2:4">
      <c r="B5" s="18" t="s">
        <v>181</v>
      </c>
      <c r="C5" s="54">
        <v>0.7</v>
      </c>
      <c r="D5" s="52"/>
    </row>
    <row r="6" spans="2:4">
      <c r="B6" s="18" t="s">
        <v>182</v>
      </c>
      <c r="C6" s="54">
        <v>0.5</v>
      </c>
      <c r="D6" s="52"/>
    </row>
    <row r="7" spans="2:4">
      <c r="B7" s="18" t="s">
        <v>183</v>
      </c>
      <c r="C7" s="54">
        <v>1</v>
      </c>
      <c r="D7" s="52"/>
    </row>
    <row r="8" spans="2:4">
      <c r="B8" t="s">
        <v>184</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46458-F160-4634-9245-BFB097E44591}">
  <sheetPr codeName="Sheet17"/>
  <dimension ref="B1:L19"/>
  <sheetViews>
    <sheetView workbookViewId="0">
      <selection activeCell="D4" sqref="D4"/>
    </sheetView>
  </sheetViews>
  <sheetFormatPr defaultColWidth="9.1796875" defaultRowHeight="14.5"/>
  <cols>
    <col min="1" max="1" width="1.453125" customWidth="1"/>
    <col min="2" max="2" width="12.453125" customWidth="1"/>
    <col min="8" max="8" width="15.453125" customWidth="1"/>
    <col min="9" max="9" width="1.453125" customWidth="1"/>
    <col min="10" max="10" width="11.453125" customWidth="1"/>
  </cols>
  <sheetData>
    <row r="1" spans="2:12" ht="17.5">
      <c r="B1" s="105" t="s">
        <v>23</v>
      </c>
    </row>
    <row r="2" spans="2:12" ht="10" customHeight="1"/>
    <row r="3" spans="2:12" ht="29.25" customHeight="1">
      <c r="B3" s="171" t="s">
        <v>185</v>
      </c>
      <c r="C3" s="170" t="s">
        <v>186</v>
      </c>
      <c r="D3" s="171" t="s">
        <v>187</v>
      </c>
      <c r="E3" s="171"/>
      <c r="F3" s="171"/>
      <c r="G3" s="171"/>
      <c r="H3" s="171"/>
      <c r="J3" s="175" t="s">
        <v>323</v>
      </c>
      <c r="K3" s="175"/>
    </row>
    <row r="4" spans="2:12" ht="65.5" customHeight="1">
      <c r="B4" s="171"/>
      <c r="C4" s="170"/>
      <c r="D4" s="54" t="s">
        <v>188</v>
      </c>
      <c r="E4" s="54" t="s">
        <v>189</v>
      </c>
      <c r="F4" s="54" t="s">
        <v>190</v>
      </c>
      <c r="G4" s="54" t="s">
        <v>191</v>
      </c>
      <c r="H4" s="73" t="s">
        <v>324</v>
      </c>
      <c r="J4" s="18" t="s">
        <v>192</v>
      </c>
      <c r="K4" s="35">
        <v>0.12</v>
      </c>
      <c r="L4" s="39"/>
    </row>
    <row r="5" spans="2:12">
      <c r="B5" s="170" t="s">
        <v>193</v>
      </c>
      <c r="C5" s="18" t="s">
        <v>194</v>
      </c>
      <c r="D5" s="54">
        <v>5</v>
      </c>
      <c r="E5" s="54">
        <v>2.5</v>
      </c>
      <c r="F5" s="54">
        <v>1.5</v>
      </c>
      <c r="G5" s="54">
        <v>1</v>
      </c>
      <c r="H5" s="53">
        <f>D5*$K$4+E5*$K$5+F5*$K$6+G5*$K$7</f>
        <v>2.0749999999999997</v>
      </c>
      <c r="J5" s="18" t="s">
        <v>195</v>
      </c>
      <c r="K5" s="35">
        <v>0.22</v>
      </c>
      <c r="L5" s="39"/>
    </row>
    <row r="6" spans="2:12">
      <c r="B6" s="170"/>
      <c r="C6" s="18" t="s">
        <v>196</v>
      </c>
      <c r="D6" s="54">
        <v>10</v>
      </c>
      <c r="E6" s="54">
        <v>6</v>
      </c>
      <c r="F6" s="54">
        <v>4</v>
      </c>
      <c r="G6" s="54">
        <v>2.5</v>
      </c>
      <c r="H6" s="53">
        <f>D6*$K$4+E6*$K$5+F6*$K$6+G6*$K$7</f>
        <v>4.9650000000000007</v>
      </c>
      <c r="J6" s="18" t="s">
        <v>197</v>
      </c>
      <c r="K6" s="35">
        <v>0.53</v>
      </c>
      <c r="L6" s="39"/>
    </row>
    <row r="7" spans="2:12">
      <c r="B7" s="170"/>
      <c r="C7" s="18" t="s">
        <v>198</v>
      </c>
      <c r="D7" s="54">
        <v>15</v>
      </c>
      <c r="E7" s="54">
        <v>9</v>
      </c>
      <c r="F7" s="54">
        <v>6</v>
      </c>
      <c r="G7" s="54">
        <v>3.5</v>
      </c>
      <c r="H7" s="53">
        <f>D7*$K$4+E7*$K$5+F7*$K$6+G7*$K$7</f>
        <v>7.415</v>
      </c>
      <c r="J7" s="18" t="s">
        <v>199</v>
      </c>
      <c r="K7" s="35">
        <v>0.13</v>
      </c>
      <c r="L7" s="39"/>
    </row>
    <row r="8" spans="2:12">
      <c r="B8" s="170"/>
      <c r="C8" s="18" t="s">
        <v>200</v>
      </c>
      <c r="D8" s="54">
        <v>2</v>
      </c>
      <c r="E8" s="54">
        <v>1</v>
      </c>
      <c r="F8" s="54">
        <v>0.75</v>
      </c>
      <c r="G8" s="54">
        <v>0.5</v>
      </c>
      <c r="H8" s="53">
        <f>D8*$K$4+E8*$K$5+F8*$K$6+G8*$K$7</f>
        <v>0.92249999999999988</v>
      </c>
      <c r="J8" s="33" t="s">
        <v>319</v>
      </c>
    </row>
    <row r="9" spans="2:12">
      <c r="B9" s="170"/>
      <c r="C9" s="18" t="s">
        <v>174</v>
      </c>
      <c r="D9" s="54">
        <v>3</v>
      </c>
      <c r="E9" s="54">
        <v>1.5</v>
      </c>
      <c r="F9" s="54">
        <v>1</v>
      </c>
      <c r="G9" s="54">
        <v>0.75</v>
      </c>
      <c r="H9" s="53">
        <f>D9*$K$4+E9*$K$5+F9*$K$6+G9*$K$7</f>
        <v>1.3174999999999999</v>
      </c>
    </row>
    <row r="10" spans="2:12">
      <c r="B10" t="s">
        <v>201</v>
      </c>
    </row>
    <row r="13" spans="2:12">
      <c r="B13" s="172"/>
      <c r="C13" s="173"/>
      <c r="D13" s="172"/>
      <c r="E13" s="172"/>
      <c r="F13" s="172"/>
      <c r="G13" s="172"/>
      <c r="H13" s="172"/>
      <c r="J13" s="174"/>
      <c r="K13" s="174"/>
    </row>
    <row r="14" spans="2:12">
      <c r="B14" s="172"/>
      <c r="C14" s="173"/>
      <c r="D14" s="77"/>
      <c r="E14" s="77"/>
      <c r="F14" s="77"/>
      <c r="G14" s="77"/>
      <c r="H14" s="71"/>
      <c r="K14" s="100"/>
    </row>
    <row r="15" spans="2:12">
      <c r="B15" s="173"/>
      <c r="D15" s="77"/>
      <c r="E15" s="77"/>
      <c r="F15" s="77"/>
      <c r="G15" s="77"/>
      <c r="H15" s="104"/>
      <c r="K15" s="100"/>
    </row>
    <row r="16" spans="2:12">
      <c r="B16" s="173"/>
      <c r="D16" s="77"/>
      <c r="E16" s="77"/>
      <c r="F16" s="77"/>
      <c r="G16" s="77"/>
      <c r="H16" s="104"/>
      <c r="K16" s="100"/>
    </row>
    <row r="17" spans="2:11">
      <c r="B17" s="173"/>
      <c r="D17" s="77"/>
      <c r="E17" s="77"/>
      <c r="F17" s="77"/>
      <c r="G17" s="77"/>
      <c r="H17" s="104"/>
      <c r="K17" s="100"/>
    </row>
    <row r="18" spans="2:11">
      <c r="B18" s="173"/>
      <c r="D18" s="77"/>
      <c r="E18" s="77"/>
      <c r="F18" s="77"/>
      <c r="G18" s="77"/>
      <c r="H18" s="104"/>
    </row>
    <row r="19" spans="2:11">
      <c r="B19" s="173"/>
      <c r="D19" s="77"/>
      <c r="E19" s="77"/>
      <c r="F19" s="77"/>
      <c r="G19" s="77"/>
      <c r="H19" s="104"/>
    </row>
  </sheetData>
  <mergeCells count="10">
    <mergeCell ref="C3:C4"/>
    <mergeCell ref="B3:B4"/>
    <mergeCell ref="B5:B9"/>
    <mergeCell ref="J3:K3"/>
    <mergeCell ref="D3:H3"/>
    <mergeCell ref="B13:B14"/>
    <mergeCell ref="C13:C14"/>
    <mergeCell ref="D13:H13"/>
    <mergeCell ref="J13:K13"/>
    <mergeCell ref="B15:B19"/>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00318-343E-4428-97B4-5C296979362E}">
  <dimension ref="A1:H43"/>
  <sheetViews>
    <sheetView zoomScaleNormal="100" workbookViewId="0">
      <selection activeCell="A17" sqref="A17"/>
    </sheetView>
  </sheetViews>
  <sheetFormatPr defaultColWidth="8.81640625" defaultRowHeight="14.5"/>
  <cols>
    <col min="1" max="1" width="26.1796875" bestFit="1" customWidth="1"/>
    <col min="2" max="2" width="20.453125" customWidth="1"/>
    <col min="3" max="3" width="18.81640625" customWidth="1"/>
    <col min="4" max="4" width="15.453125" customWidth="1"/>
    <col min="5" max="5" width="15.453125" bestFit="1" customWidth="1"/>
    <col min="6" max="6" width="15.453125" customWidth="1"/>
    <col min="7" max="7" width="14.81640625" bestFit="1" customWidth="1"/>
    <col min="8" max="8" width="10.81640625" bestFit="1" customWidth="1"/>
  </cols>
  <sheetData>
    <row r="1" spans="1:8" ht="17.5">
      <c r="A1" s="105" t="s">
        <v>375</v>
      </c>
    </row>
    <row r="2" spans="1:8" ht="15" thickBot="1"/>
    <row r="3" spans="1:8">
      <c r="A3" s="56"/>
      <c r="B3" s="176" t="s">
        <v>202</v>
      </c>
      <c r="C3" s="176"/>
      <c r="D3" s="176"/>
      <c r="E3" s="176"/>
      <c r="F3" s="176"/>
      <c r="G3" s="176"/>
      <c r="H3" s="177"/>
    </row>
    <row r="4" spans="1:8">
      <c r="A4" s="57" t="s">
        <v>203</v>
      </c>
      <c r="B4" s="18" t="s">
        <v>204</v>
      </c>
      <c r="C4" s="18" t="s">
        <v>37</v>
      </c>
      <c r="D4" s="18" t="s">
        <v>205</v>
      </c>
      <c r="E4" s="18" t="s">
        <v>385</v>
      </c>
      <c r="F4" s="18" t="s">
        <v>386</v>
      </c>
      <c r="G4" s="18" t="s">
        <v>206</v>
      </c>
      <c r="H4" s="58" t="s">
        <v>207</v>
      </c>
    </row>
    <row r="5" spans="1:8" ht="15" thickBot="1">
      <c r="A5" s="59" t="s">
        <v>208</v>
      </c>
      <c r="B5" s="60">
        <f>0.754-C5</f>
        <v>0.36699999999999999</v>
      </c>
      <c r="C5" s="60">
        <v>0.38700000000000001</v>
      </c>
      <c r="D5" s="60">
        <v>-4.8599999999999997E-2</v>
      </c>
      <c r="E5" s="60">
        <v>-0.1157</v>
      </c>
      <c r="F5" s="60">
        <v>0.1</v>
      </c>
      <c r="G5" s="60">
        <v>-0.1661</v>
      </c>
      <c r="H5" s="61">
        <f>-SUM(D5:E5,G5)</f>
        <v>0.33040000000000003</v>
      </c>
    </row>
    <row r="8" spans="1:8">
      <c r="B8" t="s">
        <v>209</v>
      </c>
    </row>
    <row r="9" spans="1:8">
      <c r="B9" s="62" t="s">
        <v>210</v>
      </c>
    </row>
    <row r="10" spans="1:8">
      <c r="B10" s="62" t="s">
        <v>211</v>
      </c>
    </row>
    <row r="11" spans="1:8">
      <c r="B11" s="62" t="s">
        <v>328</v>
      </c>
    </row>
    <row r="12" spans="1:8">
      <c r="B12" s="62" t="s">
        <v>213</v>
      </c>
    </row>
    <row r="13" spans="1:8">
      <c r="B13" s="62" t="s">
        <v>325</v>
      </c>
    </row>
    <row r="14" spans="1:8">
      <c r="B14" s="62" t="s">
        <v>406</v>
      </c>
    </row>
    <row r="15" spans="1:8">
      <c r="B15" s="62"/>
    </row>
    <row r="16" spans="1:8" ht="18.5">
      <c r="A16" s="117" t="s">
        <v>414</v>
      </c>
    </row>
    <row r="17" spans="1:8" ht="19" thickBot="1">
      <c r="A17" s="117"/>
    </row>
    <row r="18" spans="1:8">
      <c r="A18" s="56"/>
      <c r="B18" s="176" t="s">
        <v>412</v>
      </c>
      <c r="C18" s="176"/>
      <c r="D18" s="176"/>
      <c r="E18" s="176"/>
      <c r="F18" s="176"/>
      <c r="G18" s="176"/>
      <c r="H18" s="177"/>
    </row>
    <row r="19" spans="1:8">
      <c r="A19" s="57" t="s">
        <v>203</v>
      </c>
      <c r="B19" s="18" t="s">
        <v>204</v>
      </c>
      <c r="C19" s="18" t="s">
        <v>37</v>
      </c>
      <c r="D19" s="18" t="s">
        <v>205</v>
      </c>
      <c r="E19" s="18" t="s">
        <v>385</v>
      </c>
      <c r="F19" s="18" t="s">
        <v>386</v>
      </c>
      <c r="G19" s="18" t="s">
        <v>206</v>
      </c>
      <c r="H19" s="58" t="s">
        <v>207</v>
      </c>
    </row>
    <row r="20" spans="1:8" ht="15" thickBot="1">
      <c r="A20" s="59" t="s">
        <v>208</v>
      </c>
      <c r="B20" s="60">
        <f>0.754-C20</f>
        <v>0.36699999999999999</v>
      </c>
      <c r="C20" s="60">
        <v>0.38700000000000001</v>
      </c>
      <c r="D20" s="60">
        <v>-2.3400000000000001E-2</v>
      </c>
      <c r="E20" s="60">
        <v>-6.6000000000000003E-2</v>
      </c>
      <c r="F20" s="60">
        <v>0.1</v>
      </c>
      <c r="G20" s="60">
        <v>-0.16500000000000001</v>
      </c>
      <c r="H20" s="61">
        <f>-SUM(D20:E20,G20)</f>
        <v>0.25440000000000002</v>
      </c>
    </row>
    <row r="23" spans="1:8">
      <c r="B23" t="s">
        <v>209</v>
      </c>
    </row>
    <row r="24" spans="1:8">
      <c r="B24" s="62" t="s">
        <v>210</v>
      </c>
    </row>
    <row r="25" spans="1:8">
      <c r="B25" s="62" t="s">
        <v>211</v>
      </c>
    </row>
    <row r="26" spans="1:8">
      <c r="B26" s="62" t="s">
        <v>328</v>
      </c>
    </row>
    <row r="27" spans="1:8">
      <c r="B27" s="62" t="s">
        <v>213</v>
      </c>
    </row>
    <row r="28" spans="1:8">
      <c r="B28" s="62" t="s">
        <v>325</v>
      </c>
    </row>
    <row r="29" spans="1:8">
      <c r="B29" s="62" t="s">
        <v>410</v>
      </c>
    </row>
    <row r="31" spans="1:8" ht="15" thickBot="1"/>
    <row r="32" spans="1:8">
      <c r="A32" s="56"/>
      <c r="B32" s="176" t="s">
        <v>413</v>
      </c>
      <c r="C32" s="176"/>
      <c r="D32" s="176"/>
      <c r="E32" s="176"/>
      <c r="F32" s="176"/>
      <c r="G32" s="176"/>
      <c r="H32" s="177"/>
    </row>
    <row r="33" spans="1:8">
      <c r="A33" s="57" t="s">
        <v>203</v>
      </c>
      <c r="B33" s="18" t="s">
        <v>204</v>
      </c>
      <c r="C33" s="18" t="s">
        <v>37</v>
      </c>
      <c r="D33" s="18" t="s">
        <v>205</v>
      </c>
      <c r="E33" s="18" t="s">
        <v>385</v>
      </c>
      <c r="F33" s="18" t="s">
        <v>386</v>
      </c>
      <c r="G33" s="18" t="s">
        <v>206</v>
      </c>
      <c r="H33" s="58" t="s">
        <v>207</v>
      </c>
    </row>
    <row r="34" spans="1:8" ht="15" thickBot="1">
      <c r="A34" s="59" t="s">
        <v>208</v>
      </c>
      <c r="B34" s="60">
        <f>0.754-C34</f>
        <v>0.36699999999999999</v>
      </c>
      <c r="C34" s="60">
        <v>0.38700000000000001</v>
      </c>
      <c r="D34" s="60">
        <v>-0.11700000000000001</v>
      </c>
      <c r="E34" s="60">
        <v>-0.16889999999999999</v>
      </c>
      <c r="F34" s="60">
        <v>0.1</v>
      </c>
      <c r="G34" s="60">
        <v>-6.5199999999999994E-2</v>
      </c>
      <c r="H34" s="61">
        <f>-SUM(D34:E34,G34)</f>
        <v>0.35109999999999997</v>
      </c>
    </row>
    <row r="37" spans="1:8">
      <c r="B37" t="s">
        <v>209</v>
      </c>
    </row>
    <row r="38" spans="1:8">
      <c r="B38" s="62" t="s">
        <v>210</v>
      </c>
    </row>
    <row r="39" spans="1:8">
      <c r="B39" s="62" t="s">
        <v>211</v>
      </c>
    </row>
    <row r="40" spans="1:8">
      <c r="B40" s="62" t="s">
        <v>328</v>
      </c>
    </row>
    <row r="41" spans="1:8">
      <c r="B41" s="62" t="s">
        <v>213</v>
      </c>
    </row>
    <row r="42" spans="1:8">
      <c r="B42" s="62" t="s">
        <v>325</v>
      </c>
    </row>
    <row r="43" spans="1:8">
      <c r="B43" s="62" t="s">
        <v>411</v>
      </c>
    </row>
  </sheetData>
  <mergeCells count="3">
    <mergeCell ref="B3:H3"/>
    <mergeCell ref="B18:H18"/>
    <mergeCell ref="B32:H32"/>
  </mergeCells>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662CA-67F0-4DEC-984E-5AC78878B6CE}">
  <dimension ref="B1:H104"/>
  <sheetViews>
    <sheetView zoomScaleNormal="100" workbookViewId="0">
      <selection activeCell="H15" sqref="H15"/>
    </sheetView>
  </sheetViews>
  <sheetFormatPr defaultColWidth="8.81640625" defaultRowHeight="14.5"/>
  <cols>
    <col min="3" max="4" width="21.81640625" customWidth="1"/>
  </cols>
  <sheetData>
    <row r="1" spans="2:5" ht="17.5">
      <c r="B1" s="105" t="s">
        <v>376</v>
      </c>
    </row>
    <row r="3" spans="2:5" ht="58">
      <c r="B3" s="68" t="s">
        <v>214</v>
      </c>
      <c r="C3" s="74" t="s">
        <v>215</v>
      </c>
      <c r="D3" s="74" t="s">
        <v>415</v>
      </c>
      <c r="E3" t="s">
        <v>209</v>
      </c>
    </row>
    <row r="4" spans="2:5">
      <c r="B4" s="68">
        <v>0</v>
      </c>
      <c r="C4" s="78">
        <v>0</v>
      </c>
      <c r="D4" s="78">
        <v>0</v>
      </c>
      <c r="E4" s="62" t="s">
        <v>210</v>
      </c>
    </row>
    <row r="5" spans="2:5">
      <c r="B5" s="68">
        <v>1</v>
      </c>
      <c r="C5" s="78">
        <v>-6.0702741666666697E-3</v>
      </c>
      <c r="D5" s="78">
        <v>-6.0702741666666697E-3</v>
      </c>
      <c r="E5" s="62" t="s">
        <v>211</v>
      </c>
    </row>
    <row r="6" spans="2:5">
      <c r="B6" s="68">
        <v>2</v>
      </c>
      <c r="C6" s="78">
        <v>-8.5846640538230403E-3</v>
      </c>
      <c r="D6" s="78">
        <v>-8.5846640538230403E-3</v>
      </c>
      <c r="E6" s="62" t="s">
        <v>327</v>
      </c>
    </row>
    <row r="7" spans="2:5">
      <c r="B7" s="68">
        <v>3</v>
      </c>
      <c r="C7" s="78">
        <v>-1.05140232725395E-2</v>
      </c>
      <c r="D7" s="78">
        <v>-1.05140232725395E-2</v>
      </c>
      <c r="E7" s="62" t="s">
        <v>374</v>
      </c>
    </row>
    <row r="8" spans="2:5">
      <c r="B8" s="68">
        <v>4</v>
      </c>
      <c r="C8" s="78">
        <v>-1.2140548333333341E-2</v>
      </c>
      <c r="D8" s="78">
        <v>-1.2140548333333341E-2</v>
      </c>
      <c r="E8" s="62" t="s">
        <v>326</v>
      </c>
    </row>
    <row r="9" spans="2:5">
      <c r="B9" s="68">
        <v>5</v>
      </c>
      <c r="C9" s="78">
        <v>-1.3573545678727572E-2</v>
      </c>
      <c r="D9" s="78">
        <v>-1.3573545678727572E-2</v>
      </c>
    </row>
    <row r="10" spans="2:5">
      <c r="B10" s="68">
        <v>6</v>
      </c>
      <c r="C10" s="78">
        <v>-1.4869074307131722E-2</v>
      </c>
      <c r="D10" s="78">
        <v>-1.4869074307131722E-2</v>
      </c>
    </row>
    <row r="11" spans="2:5">
      <c r="B11" s="68">
        <v>7</v>
      </c>
      <c r="C11" s="78">
        <v>-1.6060435834979861E-2</v>
      </c>
      <c r="D11" s="78">
        <v>-1.6060435834979861E-2</v>
      </c>
    </row>
    <row r="12" spans="2:5">
      <c r="B12" s="68">
        <v>8</v>
      </c>
      <c r="C12" s="78">
        <v>-1.7169328107646091E-2</v>
      </c>
      <c r="D12" s="78">
        <v>-1.7169328107646091E-2</v>
      </c>
    </row>
    <row r="13" spans="2:5">
      <c r="B13" s="68">
        <v>9</v>
      </c>
      <c r="C13" s="78">
        <v>-1.8210822500000022E-2</v>
      </c>
      <c r="D13" s="78">
        <v>-1.8210822500000022E-2</v>
      </c>
    </row>
    <row r="14" spans="2:5">
      <c r="B14" s="68">
        <v>10</v>
      </c>
      <c r="C14" s="78">
        <v>-1.9195892388347242E-2</v>
      </c>
      <c r="D14" s="78">
        <v>-1.9195892388347242E-2</v>
      </c>
    </row>
    <row r="15" spans="2:5">
      <c r="B15" s="68">
        <v>11</v>
      </c>
      <c r="C15" s="78">
        <v>-2.0132821785420651E-2</v>
      </c>
      <c r="D15" s="78">
        <v>-2.0132821785420651E-2</v>
      </c>
    </row>
    <row r="16" spans="2:5">
      <c r="B16" s="68">
        <v>12</v>
      </c>
      <c r="C16" s="78">
        <v>-2.1028046545079004E-2</v>
      </c>
      <c r="D16" s="78">
        <v>-2.1028046545079004E-2</v>
      </c>
    </row>
    <row r="17" spans="2:4">
      <c r="B17" s="68">
        <v>13</v>
      </c>
      <c r="C17" s="78">
        <v>-2.1886684764041122E-2</v>
      </c>
      <c r="D17" s="78">
        <v>-2.1886684764041122E-2</v>
      </c>
    </row>
    <row r="18" spans="2:4">
      <c r="B18" s="68">
        <v>14</v>
      </c>
      <c r="C18" s="78">
        <v>-2.2712886175451374E-2</v>
      </c>
      <c r="D18" s="78">
        <v>-2.2712886175451374E-2</v>
      </c>
    </row>
    <row r="19" spans="2:4">
      <c r="B19" s="68">
        <v>15</v>
      </c>
      <c r="C19" s="78">
        <v>-2.3510070754413123E-2</v>
      </c>
      <c r="D19" s="78">
        <v>-2.3510070754413123E-2</v>
      </c>
    </row>
    <row r="20" spans="2:4">
      <c r="B20" s="68">
        <v>16</v>
      </c>
      <c r="C20" s="78">
        <v>-2.4281096666666682E-2</v>
      </c>
      <c r="D20" s="78">
        <v>-2.4281096666666682E-2</v>
      </c>
    </row>
    <row r="21" spans="2:4">
      <c r="B21" s="68">
        <v>17</v>
      </c>
      <c r="C21" s="78">
        <v>-2.50283815656249E-2</v>
      </c>
      <c r="D21" s="78">
        <v>-2.50283815656249E-2</v>
      </c>
    </row>
    <row r="22" spans="2:4">
      <c r="B22" s="68">
        <v>18</v>
      </c>
      <c r="C22" s="78">
        <v>-2.5753992161469119E-2</v>
      </c>
      <c r="D22" s="78">
        <v>-2.5753992161469119E-2</v>
      </c>
    </row>
    <row r="23" spans="2:4">
      <c r="B23" s="68">
        <v>19</v>
      </c>
      <c r="C23" s="78">
        <v>-2.6459711652085594E-2</v>
      </c>
      <c r="D23" s="78">
        <v>-2.6459711652085594E-2</v>
      </c>
    </row>
    <row r="24" spans="2:4">
      <c r="B24" s="68">
        <v>20</v>
      </c>
      <c r="C24" s="78">
        <v>-2.7147091357455137E-2</v>
      </c>
      <c r="D24" s="78">
        <v>-2.7147091357455137E-2</v>
      </c>
    </row>
    <row r="25" spans="2:4">
      <c r="B25" s="68">
        <v>21</v>
      </c>
      <c r="C25" s="78">
        <v>-2.7817490857884992E-2</v>
      </c>
      <c r="D25" s="78">
        <v>-2.7817490857884992E-2</v>
      </c>
    </row>
    <row r="26" spans="2:4">
      <c r="B26" s="68">
        <v>22</v>
      </c>
      <c r="C26" s="78">
        <v>-2.8472109617782387E-2</v>
      </c>
      <c r="D26" s="78">
        <v>-2.8472109617782387E-2</v>
      </c>
    </row>
    <row r="27" spans="2:4">
      <c r="B27" s="68">
        <v>23</v>
      </c>
      <c r="C27" s="78">
        <v>-2.9112012203650863E-2</v>
      </c>
      <c r="D27" s="78">
        <v>-2.9112012203650863E-2</v>
      </c>
    </row>
    <row r="28" spans="2:4">
      <c r="B28" s="68">
        <v>24</v>
      </c>
      <c r="C28" s="78">
        <v>-2.9738148614263427E-2</v>
      </c>
      <c r="D28" s="78">
        <v>-2.9738148614263427E-2</v>
      </c>
    </row>
    <row r="29" spans="2:4">
      <c r="B29" s="68">
        <v>25</v>
      </c>
      <c r="C29" s="78">
        <v>-3.0351370833333349E-2</v>
      </c>
      <c r="D29" s="78">
        <v>-3.0351370833333349E-2</v>
      </c>
    </row>
    <row r="30" spans="2:4">
      <c r="B30" s="68">
        <v>26</v>
      </c>
      <c r="C30" s="78">
        <v>-3.0952446428691528E-2</v>
      </c>
      <c r="D30" s="78">
        <v>-3.0952446428691528E-2</v>
      </c>
    </row>
    <row r="31" spans="2:4">
      <c r="B31" s="68">
        <v>27</v>
      </c>
      <c r="C31" s="78">
        <v>-3.15420698176185E-2</v>
      </c>
      <c r="D31" s="78">
        <v>-3.15420698176185E-2</v>
      </c>
    </row>
    <row r="32" spans="2:4">
      <c r="B32" s="68">
        <v>28</v>
      </c>
      <c r="C32" s="78">
        <v>-3.2120871669959715E-2</v>
      </c>
      <c r="D32" s="78">
        <v>-3.2120871669959715E-2</v>
      </c>
    </row>
    <row r="33" spans="2:4">
      <c r="B33" s="68">
        <v>29</v>
      </c>
      <c r="C33" s="78">
        <v>-3.2689426811991072E-2</v>
      </c>
      <c r="D33" s="78">
        <v>-3.2689426811991072E-2</v>
      </c>
    </row>
    <row r="34" spans="2:4">
      <c r="B34" s="68">
        <v>30</v>
      </c>
      <c r="C34" s="78">
        <v>-3.3248260913242088E-2</v>
      </c>
      <c r="D34" s="78">
        <v>-3.3248260913242088E-2</v>
      </c>
    </row>
    <row r="35" spans="2:4">
      <c r="B35" s="68">
        <v>31</v>
      </c>
      <c r="C35" s="78">
        <v>-3.3797856177774394E-2</v>
      </c>
      <c r="D35" s="78">
        <v>-3.3797856177774394E-2</v>
      </c>
    </row>
    <row r="36" spans="2:4">
      <c r="B36" s="68">
        <v>32</v>
      </c>
      <c r="C36" s="78">
        <v>-3.4338656215292168E-2</v>
      </c>
      <c r="D36" s="78">
        <v>-3.4338656215292168E-2</v>
      </c>
    </row>
    <row r="37" spans="2:4">
      <c r="B37" s="68">
        <v>33</v>
      </c>
      <c r="C37" s="78">
        <v>-3.4871070232078104E-2</v>
      </c>
      <c r="D37" s="78">
        <v>-3.4871070232078104E-2</v>
      </c>
    </row>
    <row r="38" spans="2:4">
      <c r="B38" s="68">
        <v>34</v>
      </c>
      <c r="C38" s="78">
        <v>-3.5395476654355502E-2</v>
      </c>
      <c r="D38" s="78">
        <v>-3.5395476654355502E-2</v>
      </c>
    </row>
    <row r="39" spans="2:4">
      <c r="B39" s="68">
        <v>35</v>
      </c>
      <c r="C39" s="78">
        <v>-3.5912226275288554E-2</v>
      </c>
      <c r="D39" s="78">
        <v>-3.5912226275288554E-2</v>
      </c>
    </row>
    <row r="40" spans="2:4">
      <c r="B40" s="68">
        <v>36</v>
      </c>
      <c r="C40" s="78">
        <v>-3.642164500000003E-2</v>
      </c>
      <c r="D40" s="78">
        <v>-3.642164500000003E-2</v>
      </c>
    </row>
    <row r="41" spans="2:4">
      <c r="B41" s="68">
        <v>37</v>
      </c>
      <c r="C41" s="78">
        <v>-3.692403624963727E-2</v>
      </c>
      <c r="D41" s="78">
        <v>-3.692403624963727E-2</v>
      </c>
    </row>
    <row r="42" spans="2:4">
      <c r="B42" s="68">
        <v>38</v>
      </c>
      <c r="C42" s="78">
        <v>-3.7419683074860849E-2</v>
      </c>
      <c r="D42" s="78">
        <v>-3.7419683074860849E-2</v>
      </c>
    </row>
    <row r="43" spans="2:4">
      <c r="B43" s="68">
        <v>39</v>
      </c>
      <c r="C43" s="78">
        <v>-3.7908850020562858E-2</v>
      </c>
      <c r="D43" s="78">
        <v>-3.7908850020562858E-2</v>
      </c>
    </row>
    <row r="44" spans="2:4">
      <c r="B44" s="68">
        <v>40</v>
      </c>
      <c r="C44" s="78">
        <v>-3.8391784776694471E-2</v>
      </c>
      <c r="D44" s="78">
        <v>-3.8391784776694471E-2</v>
      </c>
    </row>
    <row r="45" spans="2:4">
      <c r="B45" s="68">
        <v>41</v>
      </c>
      <c r="C45" s="78">
        <v>-3.8868719644445833E-2</v>
      </c>
      <c r="D45" s="78">
        <v>-3.8868719644445833E-2</v>
      </c>
    </row>
    <row r="46" spans="2:4">
      <c r="B46" s="68">
        <v>42</v>
      </c>
      <c r="C46" s="78">
        <v>-3.9339872842410549E-2</v>
      </c>
      <c r="D46" s="78">
        <v>-3.9339872842410549E-2</v>
      </c>
    </row>
    <row r="47" spans="2:4">
      <c r="B47" s="68">
        <v>43</v>
      </c>
      <c r="C47" s="78">
        <v>-3.9805449673575237E-2</v>
      </c>
      <c r="D47" s="78">
        <v>-3.9805449673575237E-2</v>
      </c>
    </row>
    <row r="48" spans="2:4">
      <c r="B48" s="68">
        <v>44</v>
      </c>
      <c r="C48" s="78">
        <v>-4.0265643570841288E-2</v>
      </c>
      <c r="D48" s="78">
        <v>-4.0265643570841288E-2</v>
      </c>
    </row>
    <row r="49" spans="2:4">
      <c r="B49" s="68">
        <v>45</v>
      </c>
      <c r="C49" s="78">
        <v>-4.0720637036182679E-2</v>
      </c>
      <c r="D49" s="78">
        <v>-4.0720637036182679E-2</v>
      </c>
    </row>
    <row r="50" spans="2:4">
      <c r="B50" s="68">
        <v>46</v>
      </c>
      <c r="C50" s="78">
        <v>-4.1170602486374115E-2</v>
      </c>
      <c r="D50" s="78">
        <v>-4.1170602486374115E-2</v>
      </c>
    </row>
    <row r="51" spans="2:4">
      <c r="B51" s="68">
        <v>47</v>
      </c>
      <c r="C51" s="78">
        <v>-4.1615703016403958E-2</v>
      </c>
      <c r="D51" s="78">
        <v>-4.1615703016403958E-2</v>
      </c>
    </row>
    <row r="52" spans="2:4">
      <c r="B52" s="68">
        <v>48</v>
      </c>
      <c r="C52" s="78">
        <v>-4.2056093090157995E-2</v>
      </c>
      <c r="D52" s="78">
        <v>-4.2056093090157995E-2</v>
      </c>
    </row>
    <row r="53" spans="2:4">
      <c r="B53" s="68">
        <v>49</v>
      </c>
      <c r="C53" s="78">
        <v>-4.2491919166666683E-2</v>
      </c>
      <c r="D53" s="78">
        <v>-4.2491919166666683E-2</v>
      </c>
    </row>
    <row r="54" spans="2:4">
      <c r="B54" s="68">
        <v>50</v>
      </c>
      <c r="C54" s="78">
        <v>-4.2923320269115203E-2</v>
      </c>
      <c r="D54" s="78">
        <v>-4.2923320269115203E-2</v>
      </c>
    </row>
    <row r="55" spans="2:4">
      <c r="B55" s="68">
        <v>51</v>
      </c>
      <c r="C55" s="78">
        <v>-4.3350428502882614E-2</v>
      </c>
      <c r="D55" s="78">
        <v>-4.3350428502882614E-2</v>
      </c>
    </row>
    <row r="56" spans="2:4">
      <c r="B56" s="68">
        <v>52</v>
      </c>
      <c r="C56" s="78">
        <v>-4.377336952808223E-2</v>
      </c>
      <c r="D56" s="78">
        <v>-4.377336952808223E-2</v>
      </c>
    </row>
    <row r="57" spans="2:4">
      <c r="B57" s="68">
        <v>53</v>
      </c>
      <c r="C57" s="78">
        <v>-4.4192262991394074E-2</v>
      </c>
      <c r="D57" s="78">
        <v>-4.4192262991394074E-2</v>
      </c>
    </row>
    <row r="58" spans="2:4">
      <c r="B58" s="68">
        <v>54</v>
      </c>
      <c r="C58" s="78">
        <v>-4.4607222921395122E-2</v>
      </c>
      <c r="D58" s="78">
        <v>-4.4607222921395122E-2</v>
      </c>
    </row>
    <row r="59" spans="2:4">
      <c r="B59" s="68">
        <v>55</v>
      </c>
      <c r="C59" s="78">
        <v>-4.5018358091089235E-2</v>
      </c>
      <c r="D59" s="78">
        <v>-4.5018358091089235E-2</v>
      </c>
    </row>
    <row r="60" spans="2:4">
      <c r="B60" s="68">
        <v>56</v>
      </c>
      <c r="C60" s="78">
        <v>-4.5425772350902734E-2</v>
      </c>
      <c r="D60" s="78">
        <v>-4.5425772350902734E-2</v>
      </c>
    </row>
    <row r="61" spans="2:4">
      <c r="B61" s="68">
        <v>57</v>
      </c>
      <c r="C61" s="78">
        <v>-4.5829564935034477E-2</v>
      </c>
      <c r="D61" s="78">
        <v>-4.5829564935034477E-2</v>
      </c>
    </row>
    <row r="62" spans="2:4">
      <c r="B62" s="68">
        <v>58</v>
      </c>
      <c r="C62" s="78">
        <v>-4.6229830743720474E-2</v>
      </c>
      <c r="D62" s="78">
        <v>-4.6229830743720474E-2</v>
      </c>
    </row>
    <row r="63" spans="2:4">
      <c r="B63" s="68">
        <v>59</v>
      </c>
      <c r="C63" s="78">
        <v>-4.6626660603688343E-2</v>
      </c>
      <c r="D63" s="78">
        <v>-4.6626660603688343E-2</v>
      </c>
    </row>
    <row r="64" spans="2:4">
      <c r="B64" s="68">
        <v>60</v>
      </c>
      <c r="C64" s="78">
        <v>-4.7020141508826233E-2</v>
      </c>
      <c r="D64" s="78">
        <v>-4.7020141508826233E-2</v>
      </c>
    </row>
    <row r="65" spans="2:8">
      <c r="B65" s="68">
        <v>61</v>
      </c>
      <c r="C65" s="78">
        <v>-4.7410356842872876E-2</v>
      </c>
      <c r="D65" s="78">
        <v>-4.7410356842872876E-2</v>
      </c>
    </row>
    <row r="66" spans="2:8">
      <c r="B66" s="68">
        <v>62</v>
      </c>
      <c r="C66" s="78">
        <v>-4.7797386585743847E-2</v>
      </c>
      <c r="D66" s="78">
        <v>-4.7797386585743847E-2</v>
      </c>
    </row>
    <row r="67" spans="2:8">
      <c r="B67" s="68">
        <v>63</v>
      </c>
      <c r="C67" s="78">
        <v>-4.8181307504939569E-2</v>
      </c>
      <c r="D67" s="78">
        <v>-4.8181307504939569E-2</v>
      </c>
    </row>
    <row r="68" spans="2:8">
      <c r="B68" s="68">
        <v>64</v>
      </c>
      <c r="C68" s="78">
        <v>-4.8562193333333351E-2</v>
      </c>
      <c r="D68" s="78">
        <v>-4.8562193333333351E-2</v>
      </c>
      <c r="F68" s="80"/>
    </row>
    <row r="69" spans="2:8">
      <c r="B69" s="68">
        <v>65</v>
      </c>
      <c r="C69" s="78">
        <v>-0.16426219333333336</v>
      </c>
      <c r="D69" s="118">
        <v>-3.2899999999999999E-2</v>
      </c>
      <c r="E69" s="119"/>
      <c r="F69" s="80"/>
      <c r="H69" s="80"/>
    </row>
    <row r="70" spans="2:8">
      <c r="B70" s="68">
        <v>66</v>
      </c>
      <c r="C70" s="78">
        <v>-0.23586219333333336</v>
      </c>
      <c r="D70" s="118">
        <v>-0.1045</v>
      </c>
      <c r="E70" s="120"/>
      <c r="G70" s="80"/>
    </row>
    <row r="71" spans="2:8">
      <c r="B71" s="68">
        <v>67</v>
      </c>
      <c r="C71" s="78">
        <v>-0.24766219333333336</v>
      </c>
      <c r="D71" s="118">
        <v>-0.1163</v>
      </c>
      <c r="E71" s="120"/>
      <c r="G71" s="80"/>
    </row>
    <row r="72" spans="2:8">
      <c r="B72" s="68">
        <v>68</v>
      </c>
      <c r="C72" s="78">
        <v>-0.25616219333333334</v>
      </c>
      <c r="D72" s="118">
        <v>-0.12479999999999998</v>
      </c>
      <c r="E72" s="120"/>
      <c r="G72" s="80"/>
    </row>
    <row r="73" spans="2:8">
      <c r="B73" s="68">
        <v>69</v>
      </c>
      <c r="C73" s="78">
        <v>-0.26286219333333338</v>
      </c>
      <c r="D73" s="118">
        <v>-0.13150000000000001</v>
      </c>
      <c r="E73" s="120"/>
      <c r="G73" s="80"/>
    </row>
    <row r="74" spans="2:8">
      <c r="B74" s="68">
        <v>70</v>
      </c>
      <c r="C74" s="78">
        <v>-0.26856219333333337</v>
      </c>
      <c r="D74" s="118">
        <v>-0.13719999999999999</v>
      </c>
      <c r="E74" s="120"/>
      <c r="G74" s="80"/>
    </row>
    <row r="75" spans="2:8">
      <c r="B75" s="68">
        <v>71</v>
      </c>
      <c r="C75" s="78">
        <v>-0.27346219333333338</v>
      </c>
      <c r="D75" s="118">
        <v>-0.1421</v>
      </c>
      <c r="E75" s="120"/>
      <c r="G75" s="80"/>
    </row>
    <row r="76" spans="2:8">
      <c r="B76" s="68">
        <v>72</v>
      </c>
      <c r="C76" s="78">
        <v>-0.27776219333333335</v>
      </c>
      <c r="D76" s="118">
        <v>-0.14639999999999997</v>
      </c>
      <c r="E76" s="120"/>
      <c r="G76" s="80"/>
    </row>
    <row r="77" spans="2:8">
      <c r="B77" s="68">
        <v>73</v>
      </c>
      <c r="C77" s="78">
        <v>-0.28166219333333337</v>
      </c>
      <c r="D77" s="118">
        <v>-0.15029999999999999</v>
      </c>
      <c r="E77" s="120"/>
      <c r="G77" s="80"/>
    </row>
    <row r="78" spans="2:8">
      <c r="B78" s="68">
        <v>74</v>
      </c>
      <c r="C78" s="78">
        <v>-0.28516219333333337</v>
      </c>
      <c r="D78" s="118">
        <v>-0.15379999999999999</v>
      </c>
      <c r="E78" s="120"/>
      <c r="G78" s="80"/>
    </row>
    <row r="79" spans="2:8">
      <c r="B79" s="68">
        <v>75</v>
      </c>
      <c r="C79" s="78">
        <v>-0.28836219333333335</v>
      </c>
      <c r="D79" s="118">
        <v>-0.15699999999999997</v>
      </c>
      <c r="E79" s="120"/>
      <c r="G79" s="80"/>
    </row>
    <row r="80" spans="2:8">
      <c r="B80" s="68">
        <v>76</v>
      </c>
      <c r="C80" s="78">
        <v>-0.29136219333333335</v>
      </c>
      <c r="D80" s="118">
        <v>-0.15999999999999998</v>
      </c>
      <c r="E80" s="120"/>
      <c r="G80" s="80"/>
    </row>
    <row r="81" spans="2:7">
      <c r="B81" s="68">
        <v>77</v>
      </c>
      <c r="C81" s="78">
        <v>-0.29406219333333339</v>
      </c>
      <c r="D81" s="118">
        <v>-0.16270000000000001</v>
      </c>
      <c r="E81" s="120"/>
      <c r="G81" s="80"/>
    </row>
    <row r="82" spans="2:7">
      <c r="B82" s="68">
        <v>78</v>
      </c>
      <c r="C82" s="78">
        <v>-0.29666219333333332</v>
      </c>
      <c r="D82" s="118">
        <v>-0.16529999999999995</v>
      </c>
      <c r="E82" s="120"/>
      <c r="G82" s="80"/>
    </row>
    <row r="83" spans="2:7">
      <c r="B83" s="68">
        <v>79</v>
      </c>
      <c r="C83" s="78">
        <v>-0.29906219333333339</v>
      </c>
      <c r="D83" s="118">
        <v>-0.16770000000000002</v>
      </c>
      <c r="E83" s="120"/>
      <c r="G83" s="80"/>
    </row>
    <row r="84" spans="2:7">
      <c r="B84" s="68">
        <v>80</v>
      </c>
      <c r="C84" s="78">
        <v>-0.30126219333333337</v>
      </c>
      <c r="D84" s="118">
        <v>-0.1699</v>
      </c>
      <c r="E84" s="120"/>
      <c r="G84" s="80"/>
    </row>
    <row r="85" spans="2:7">
      <c r="B85" s="68">
        <v>81</v>
      </c>
      <c r="C85" s="78">
        <v>-0.30346219333333335</v>
      </c>
      <c r="D85" s="118">
        <v>-0.17209999999999998</v>
      </c>
      <c r="E85" s="120"/>
      <c r="G85" s="80"/>
    </row>
    <row r="86" spans="2:7">
      <c r="B86" s="68">
        <v>82</v>
      </c>
      <c r="C86" s="78">
        <v>-0.30546219333333335</v>
      </c>
      <c r="D86" s="118">
        <v>-0.17409999999999998</v>
      </c>
      <c r="E86" s="120"/>
      <c r="G86" s="80"/>
    </row>
    <row r="87" spans="2:7">
      <c r="B87" s="68">
        <v>83</v>
      </c>
      <c r="C87" s="78">
        <v>-0.30736219333333337</v>
      </c>
      <c r="D87" s="118">
        <v>-0.17599999999999999</v>
      </c>
      <c r="E87" s="120"/>
      <c r="G87" s="80"/>
    </row>
    <row r="88" spans="2:7">
      <c r="B88" s="68">
        <v>84</v>
      </c>
      <c r="C88" s="78">
        <v>-0.30916219333333339</v>
      </c>
      <c r="D88" s="118">
        <v>-0.17780000000000001</v>
      </c>
      <c r="E88" s="120"/>
      <c r="G88" s="80"/>
    </row>
    <row r="89" spans="2:7">
      <c r="B89" s="68">
        <v>85</v>
      </c>
      <c r="C89" s="78">
        <v>-0.31086219333333337</v>
      </c>
      <c r="D89" s="118">
        <v>-0.17949999999999999</v>
      </c>
      <c r="E89" s="120"/>
      <c r="G89" s="80"/>
    </row>
    <row r="90" spans="2:7">
      <c r="B90" s="68">
        <v>86</v>
      </c>
      <c r="C90" s="78">
        <v>-0.31256219333333335</v>
      </c>
      <c r="D90" s="118">
        <v>-0.18119999999999997</v>
      </c>
      <c r="E90" s="120"/>
      <c r="G90" s="80"/>
    </row>
    <row r="91" spans="2:7">
      <c r="B91" s="68">
        <v>87</v>
      </c>
      <c r="C91" s="78">
        <v>-0.31416219333333339</v>
      </c>
      <c r="D91" s="118">
        <v>-0.18280000000000002</v>
      </c>
      <c r="E91" s="120"/>
      <c r="G91" s="80"/>
    </row>
    <row r="92" spans="2:7">
      <c r="B92" s="68">
        <v>88</v>
      </c>
      <c r="C92" s="78">
        <v>-0.31566219333333334</v>
      </c>
      <c r="D92" s="118">
        <v>-0.18429999999999996</v>
      </c>
      <c r="E92" s="120"/>
      <c r="G92" s="80"/>
    </row>
    <row r="93" spans="2:7">
      <c r="B93" s="68">
        <v>89</v>
      </c>
      <c r="C93" s="78">
        <v>-0.3171621933333334</v>
      </c>
      <c r="D93" s="118">
        <v>-0.18580000000000002</v>
      </c>
      <c r="E93" s="120"/>
      <c r="G93" s="80"/>
    </row>
    <row r="94" spans="2:7">
      <c r="B94" s="68">
        <v>90</v>
      </c>
      <c r="C94" s="78">
        <v>-0.31856219333333335</v>
      </c>
      <c r="D94" s="118">
        <v>-0.18719999999999998</v>
      </c>
      <c r="E94" s="120"/>
      <c r="G94" s="80"/>
    </row>
    <row r="95" spans="2:7">
      <c r="B95" s="68">
        <v>91</v>
      </c>
      <c r="C95" s="78">
        <v>-0.31986219333333332</v>
      </c>
      <c r="D95" s="118">
        <v>-0.18849999999999995</v>
      </c>
      <c r="E95" s="120"/>
      <c r="G95" s="80"/>
    </row>
    <row r="96" spans="2:7">
      <c r="B96" s="68">
        <v>92</v>
      </c>
      <c r="C96" s="78">
        <v>-0.32126219333333339</v>
      </c>
      <c r="D96" s="118">
        <v>-0.18990000000000001</v>
      </c>
      <c r="E96" s="120"/>
      <c r="G96" s="80"/>
    </row>
    <row r="97" spans="2:7">
      <c r="B97" s="68">
        <v>93</v>
      </c>
      <c r="C97" s="78">
        <v>-0.32246219333333337</v>
      </c>
      <c r="D97" s="118">
        <v>-0.19109999999999999</v>
      </c>
      <c r="E97" s="120"/>
      <c r="G97" s="80"/>
    </row>
    <row r="98" spans="2:7">
      <c r="B98" s="68">
        <v>94</v>
      </c>
      <c r="C98" s="78">
        <v>-0.32376219333333334</v>
      </c>
      <c r="D98" s="118">
        <v>-0.19239999999999996</v>
      </c>
      <c r="E98" s="120"/>
      <c r="G98" s="80"/>
    </row>
    <row r="99" spans="2:7">
      <c r="B99" s="68">
        <v>95</v>
      </c>
      <c r="C99" s="78">
        <v>-0.32496219333333337</v>
      </c>
      <c r="D99" s="118">
        <v>-0.19359999999999999</v>
      </c>
      <c r="E99" s="120"/>
      <c r="G99" s="80"/>
    </row>
    <row r="100" spans="2:7">
      <c r="B100" s="68">
        <v>96</v>
      </c>
      <c r="C100" s="78">
        <v>-0.32606219333333336</v>
      </c>
      <c r="D100" s="118">
        <v>-0.19469999999999998</v>
      </c>
      <c r="E100" s="120"/>
      <c r="G100" s="80"/>
    </row>
    <row r="101" spans="2:7">
      <c r="B101" s="68">
        <v>97</v>
      </c>
      <c r="C101" s="78">
        <v>-0.32716219333333335</v>
      </c>
      <c r="D101" s="118">
        <v>-0.19579999999999997</v>
      </c>
      <c r="E101" s="120"/>
      <c r="G101" s="80"/>
    </row>
    <row r="102" spans="2:7">
      <c r="B102" s="68">
        <v>98</v>
      </c>
      <c r="C102" s="78">
        <v>-0.3282621933333334</v>
      </c>
      <c r="D102" s="118">
        <v>-0.19690000000000002</v>
      </c>
      <c r="E102" s="120"/>
      <c r="G102" s="80"/>
    </row>
    <row r="103" spans="2:7">
      <c r="B103" s="68">
        <v>99</v>
      </c>
      <c r="C103" s="78">
        <v>-0.32936219333333339</v>
      </c>
      <c r="D103" s="118">
        <v>-0.19800000000000001</v>
      </c>
      <c r="E103" s="120"/>
      <c r="G103" s="80"/>
    </row>
    <row r="104" spans="2:7">
      <c r="B104" s="68">
        <v>100</v>
      </c>
      <c r="C104" s="78">
        <v>-0.33036219333333339</v>
      </c>
      <c r="D104" s="118">
        <v>-0.19900000000000001</v>
      </c>
      <c r="E104" s="120"/>
      <c r="G104" s="8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42D70-46F9-4008-90EB-6D1C21829BE0}">
  <dimension ref="B1:J15"/>
  <sheetViews>
    <sheetView workbookViewId="0">
      <selection activeCell="D16" sqref="D16"/>
    </sheetView>
  </sheetViews>
  <sheetFormatPr defaultColWidth="8.81640625" defaultRowHeight="14.5"/>
  <cols>
    <col min="2" max="2" width="18.1796875" bestFit="1" customWidth="1"/>
    <col min="3" max="3" width="18.1796875" customWidth="1"/>
    <col min="4" max="4" width="18.453125" bestFit="1" customWidth="1"/>
    <col min="5" max="5" width="18.453125" customWidth="1"/>
    <col min="6" max="6" width="9.81640625" bestFit="1" customWidth="1"/>
    <col min="7" max="7" width="15.453125" bestFit="1" customWidth="1"/>
    <col min="8" max="8" width="14.81640625" bestFit="1" customWidth="1"/>
    <col min="9" max="9" width="12.1796875" customWidth="1"/>
  </cols>
  <sheetData>
    <row r="1" spans="2:10" ht="17.5">
      <c r="B1" s="105" t="s">
        <v>377</v>
      </c>
    </row>
    <row r="2" spans="2:10" ht="15" thickBot="1"/>
    <row r="3" spans="2:10" ht="43.5">
      <c r="B3" s="121"/>
      <c r="C3" s="122" t="s">
        <v>416</v>
      </c>
      <c r="D3" s="123" t="s">
        <v>217</v>
      </c>
      <c r="E3" s="123" t="s">
        <v>384</v>
      </c>
      <c r="F3" s="124" t="s">
        <v>417</v>
      </c>
      <c r="G3" s="124" t="s">
        <v>385</v>
      </c>
      <c r="H3" s="124" t="s">
        <v>418</v>
      </c>
      <c r="I3" s="125" t="s">
        <v>218</v>
      </c>
      <c r="J3" s="55"/>
    </row>
    <row r="4" spans="2:10">
      <c r="B4" s="64" t="s">
        <v>219</v>
      </c>
      <c r="C4" s="68">
        <f>0.754-D4</f>
        <v>0.36699999999999999</v>
      </c>
      <c r="D4" s="68">
        <f>0.387</f>
        <v>0.38700000000000001</v>
      </c>
      <c r="E4" s="68">
        <v>0.1</v>
      </c>
      <c r="F4" s="18">
        <v>-4.9000000000000002E-2</v>
      </c>
      <c r="G4" s="18">
        <f>-0.116</f>
        <v>-0.11600000000000001</v>
      </c>
      <c r="H4" s="18">
        <v>-0.16600000000000001</v>
      </c>
      <c r="I4" s="65">
        <f>SUM(C4:H4)</f>
        <v>0.52299999999999991</v>
      </c>
    </row>
    <row r="5" spans="2:10">
      <c r="B5" s="64" t="s">
        <v>220</v>
      </c>
      <c r="C5" s="68">
        <f t="shared" ref="C5:C8" si="0">0.754-D5</f>
        <v>0.36699999999999999</v>
      </c>
      <c r="D5" s="68">
        <f t="shared" ref="D5:D8" si="1">0.387</f>
        <v>0.38700000000000001</v>
      </c>
      <c r="E5" s="68">
        <v>0</v>
      </c>
      <c r="F5" s="18">
        <v>-1.7999999999999999E-2</v>
      </c>
      <c r="G5" s="18">
        <v>0</v>
      </c>
      <c r="H5" s="18">
        <v>0</v>
      </c>
      <c r="I5" s="65">
        <f t="shared" ref="I5:I8" si="2">SUM(C5:H5)</f>
        <v>0.73599999999999999</v>
      </c>
    </row>
    <row r="6" spans="2:10">
      <c r="B6" s="64" t="s">
        <v>221</v>
      </c>
      <c r="C6" s="68">
        <f t="shared" si="0"/>
        <v>0.36699999999999999</v>
      </c>
      <c r="D6" s="68">
        <f t="shared" si="1"/>
        <v>0.38700000000000001</v>
      </c>
      <c r="E6" s="68">
        <v>0</v>
      </c>
      <c r="F6" s="18">
        <v>-2.3E-2</v>
      </c>
      <c r="G6" s="18">
        <v>0</v>
      </c>
      <c r="H6" s="18">
        <v>0</v>
      </c>
      <c r="I6" s="65">
        <f t="shared" si="2"/>
        <v>0.73099999999999998</v>
      </c>
    </row>
    <row r="7" spans="2:10">
      <c r="B7" s="64" t="s">
        <v>222</v>
      </c>
      <c r="C7" s="68">
        <f t="shared" si="0"/>
        <v>0.36699999999999999</v>
      </c>
      <c r="D7" s="68">
        <f t="shared" si="1"/>
        <v>0.38700000000000001</v>
      </c>
      <c r="E7" s="68">
        <v>0</v>
      </c>
      <c r="F7" s="18">
        <v>-0.03</v>
      </c>
      <c r="G7" s="18">
        <v>0</v>
      </c>
      <c r="H7" s="18">
        <v>0</v>
      </c>
      <c r="I7" s="65">
        <f t="shared" si="2"/>
        <v>0.72399999999999998</v>
      </c>
    </row>
    <row r="8" spans="2:10" ht="15" thickBot="1">
      <c r="B8" s="66" t="s">
        <v>223</v>
      </c>
      <c r="C8" s="69">
        <f t="shared" si="0"/>
        <v>0.36699999999999999</v>
      </c>
      <c r="D8" s="69">
        <f t="shared" si="1"/>
        <v>0.38700000000000001</v>
      </c>
      <c r="E8" s="69">
        <v>4.3999999999999997E-2</v>
      </c>
      <c r="F8" s="60">
        <v>-0.04</v>
      </c>
      <c r="G8" s="60">
        <v>-5.0999999999999997E-2</v>
      </c>
      <c r="H8" s="60">
        <v>-0.06</v>
      </c>
      <c r="I8" s="67">
        <f t="shared" si="2"/>
        <v>0.64700000000000002</v>
      </c>
    </row>
    <row r="10" spans="2:10">
      <c r="B10" t="s">
        <v>209</v>
      </c>
    </row>
    <row r="11" spans="2:10">
      <c r="B11" s="62" t="s">
        <v>210</v>
      </c>
      <c r="C11" s="62"/>
    </row>
    <row r="12" spans="2:10">
      <c r="B12" s="62" t="s">
        <v>211</v>
      </c>
      <c r="C12" s="62"/>
    </row>
    <row r="13" spans="2:10">
      <c r="B13" s="62" t="s">
        <v>328</v>
      </c>
      <c r="C13" s="62"/>
    </row>
    <row r="14" spans="2:10">
      <c r="B14" s="62" t="s">
        <v>373</v>
      </c>
      <c r="C14" s="62"/>
    </row>
    <row r="15" spans="2:10">
      <c r="B15" s="62" t="s">
        <v>326</v>
      </c>
      <c r="C15" s="6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EA874-5E90-4F6E-AB1D-BC49DA9FF16D}">
  <dimension ref="A1:P109"/>
  <sheetViews>
    <sheetView zoomScale="52" workbookViewId="0"/>
  </sheetViews>
  <sheetFormatPr defaultColWidth="8.81640625" defaultRowHeight="14.5"/>
  <cols>
    <col min="2" max="2" width="7.6328125" style="55" customWidth="1"/>
    <col min="3" max="3" width="27.453125" style="55" customWidth="1"/>
    <col min="4" max="4" width="25.1796875" customWidth="1"/>
    <col min="6" max="6" width="8.81640625" customWidth="1"/>
    <col min="7" max="7" width="7.6328125" customWidth="1"/>
    <col min="8" max="8" width="25.453125" customWidth="1"/>
    <col min="9" max="9" width="32.1796875" customWidth="1"/>
    <col min="12" max="12" width="8" customWidth="1"/>
    <col min="13" max="13" width="20.1796875" customWidth="1"/>
    <col min="14" max="14" width="30.1796875" customWidth="1"/>
    <col min="16" max="16" width="27.1796875" customWidth="1"/>
  </cols>
  <sheetData>
    <row r="1" spans="1:16" ht="17.5">
      <c r="A1" s="105" t="s">
        <v>378</v>
      </c>
    </row>
    <row r="3" spans="1:16">
      <c r="B3" s="178" t="s">
        <v>225</v>
      </c>
      <c r="C3" s="178"/>
      <c r="D3" s="178"/>
      <c r="G3" t="s">
        <v>419</v>
      </c>
      <c r="L3" s="178" t="s">
        <v>224</v>
      </c>
      <c r="M3" s="178"/>
      <c r="N3" s="178"/>
    </row>
    <row r="4" spans="1:16" ht="15" thickBot="1">
      <c r="B4"/>
      <c r="C4"/>
      <c r="M4" s="55"/>
      <c r="N4" s="55"/>
    </row>
    <row r="5" spans="1:16" ht="15" thickBot="1">
      <c r="B5"/>
      <c r="C5" s="181" t="s">
        <v>226</v>
      </c>
      <c r="D5" s="182"/>
      <c r="H5" s="181" t="s">
        <v>226</v>
      </c>
      <c r="I5" s="182"/>
      <c r="M5" s="179" t="s">
        <v>226</v>
      </c>
      <c r="N5" s="180"/>
    </row>
    <row r="6" spans="1:16" ht="58.5" thickBot="1">
      <c r="B6" s="68" t="s">
        <v>227</v>
      </c>
      <c r="C6" s="128" t="s">
        <v>422</v>
      </c>
      <c r="D6" s="128" t="s">
        <v>423</v>
      </c>
      <c r="G6" s="68" t="s">
        <v>227</v>
      </c>
      <c r="H6" s="128" t="s">
        <v>422</v>
      </c>
      <c r="I6" s="128" t="s">
        <v>423</v>
      </c>
      <c r="L6" s="70" t="s">
        <v>227</v>
      </c>
      <c r="M6" s="126" t="s">
        <v>420</v>
      </c>
      <c r="N6" s="127" t="s">
        <v>421</v>
      </c>
    </row>
    <row r="7" spans="1:16">
      <c r="B7" s="68">
        <v>0</v>
      </c>
      <c r="C7" s="68">
        <v>0</v>
      </c>
      <c r="D7" s="68">
        <v>0</v>
      </c>
      <c r="G7" s="68">
        <v>0</v>
      </c>
      <c r="H7" s="18">
        <v>0</v>
      </c>
      <c r="I7" s="18">
        <v>0</v>
      </c>
      <c r="L7" s="63">
        <v>0</v>
      </c>
      <c r="M7" s="75">
        <v>0</v>
      </c>
      <c r="N7" s="76">
        <v>0</v>
      </c>
      <c r="P7" s="108" t="s">
        <v>209</v>
      </c>
    </row>
    <row r="8" spans="1:16">
      <c r="A8" s="62"/>
      <c r="B8" s="68">
        <v>1</v>
      </c>
      <c r="C8" s="68">
        <v>1.5794985145871187E-15</v>
      </c>
      <c r="D8" s="68">
        <v>8.4923642410780692E-16</v>
      </c>
      <c r="G8" s="68">
        <v>1</v>
      </c>
      <c r="H8" s="18">
        <v>1.2657312108215002E-15</v>
      </c>
      <c r="I8" s="18">
        <v>9.1083906627106751E-16</v>
      </c>
      <c r="L8" s="64">
        <v>1</v>
      </c>
      <c r="M8" s="68">
        <v>8.2080443541707119E-16</v>
      </c>
      <c r="N8" s="65">
        <v>2.2644048135835902E-16</v>
      </c>
      <c r="P8" s="62" t="s">
        <v>210</v>
      </c>
    </row>
    <row r="9" spans="1:16">
      <c r="A9" s="62"/>
      <c r="B9" s="68">
        <v>2</v>
      </c>
      <c r="C9" s="68">
        <v>3.049515849741358E-15</v>
      </c>
      <c r="D9" s="68">
        <v>1.6464334368166956E-15</v>
      </c>
      <c r="G9" s="68">
        <v>2</v>
      </c>
      <c r="H9" s="18">
        <v>2.4496701401652792E-15</v>
      </c>
      <c r="I9" s="18">
        <v>1.7658638415598756E-15</v>
      </c>
      <c r="L9" s="64">
        <v>2</v>
      </c>
      <c r="M9" s="68">
        <v>1.578618859456534E-15</v>
      </c>
      <c r="N9" s="65">
        <v>4.3900516908344726E-16</v>
      </c>
      <c r="P9" s="62" t="s">
        <v>211</v>
      </c>
    </row>
    <row r="10" spans="1:16">
      <c r="A10" s="62"/>
      <c r="B10" s="68">
        <v>3</v>
      </c>
      <c r="C10" s="68">
        <v>4.4359361480855055E-15</v>
      </c>
      <c r="D10" s="68">
        <v>2.4010860846460583E-15</v>
      </c>
      <c r="G10" s="68">
        <v>3</v>
      </c>
      <c r="H10" s="18">
        <v>3.567243224210722E-15</v>
      </c>
      <c r="I10" s="18">
        <v>2.5752581322369645E-15</v>
      </c>
      <c r="L10" s="64">
        <v>3</v>
      </c>
      <c r="M10" s="68">
        <v>2.2908446938271803E-15</v>
      </c>
      <c r="N10" s="65">
        <v>6.4022582328745034E-16</v>
      </c>
      <c r="P10" s="62" t="s">
        <v>212</v>
      </c>
    </row>
    <row r="11" spans="1:16">
      <c r="A11" s="62"/>
      <c r="B11" s="68">
        <v>4</v>
      </c>
      <c r="C11" s="68">
        <v>5.7541825248883575E-15</v>
      </c>
      <c r="D11" s="68">
        <v>3.120753292291668E-15</v>
      </c>
      <c r="G11" s="68">
        <v>4</v>
      </c>
      <c r="H11" s="18">
        <v>4.6303739941905116E-15</v>
      </c>
      <c r="I11" s="18">
        <v>3.3471291787791464E-15</v>
      </c>
      <c r="L11" s="64">
        <v>4</v>
      </c>
      <c r="M11" s="68">
        <v>2.9661520327911977E-15</v>
      </c>
      <c r="N11" s="65">
        <v>8.3211795637430276E-16</v>
      </c>
      <c r="P11" s="62" t="s">
        <v>216</v>
      </c>
    </row>
    <row r="12" spans="1:16">
      <c r="B12" s="68">
        <v>5</v>
      </c>
      <c r="C12" s="68">
        <v>7.0162120263194078E-15</v>
      </c>
      <c r="D12" s="68">
        <v>3.811458399719538E-15</v>
      </c>
      <c r="G12" s="68">
        <v>5</v>
      </c>
      <c r="H12" s="18">
        <v>5.648470637437282E-15</v>
      </c>
      <c r="I12" s="18">
        <v>4.0879372473675881E-15</v>
      </c>
      <c r="L12" s="64">
        <v>5</v>
      </c>
      <c r="M12" s="68">
        <v>3.611116768060602E-15</v>
      </c>
      <c r="N12" s="65">
        <v>1.016287632288709E-15</v>
      </c>
    </row>
    <row r="13" spans="1:16">
      <c r="B13" s="68">
        <v>6</v>
      </c>
      <c r="C13" s="68">
        <v>8.2313257542080771E-15</v>
      </c>
      <c r="D13" s="68">
        <v>4.4780066813519689E-15</v>
      </c>
      <c r="G13" s="68">
        <v>6</v>
      </c>
      <c r="H13" s="18">
        <v>6.6289206214232111E-15</v>
      </c>
      <c r="I13" s="18">
        <v>4.8028361815536667E-15</v>
      </c>
      <c r="L13" s="64">
        <v>6</v>
      </c>
      <c r="M13" s="68">
        <v>4.2307470470536598E-15</v>
      </c>
      <c r="N13" s="65">
        <v>1.1940161298622826E-15</v>
      </c>
    </row>
    <row r="14" spans="1:16">
      <c r="B14" s="68">
        <v>7</v>
      </c>
      <c r="C14" s="68">
        <v>9.4070058527741893E-15</v>
      </c>
      <c r="D14" s="68">
        <v>5.1242370584024347E-15</v>
      </c>
      <c r="G14" s="68">
        <v>7</v>
      </c>
      <c r="H14" s="18">
        <v>7.5776523223462955E-15</v>
      </c>
      <c r="I14" s="18">
        <v>5.4959433735197097E-15</v>
      </c>
      <c r="L14" s="64">
        <v>7</v>
      </c>
      <c r="M14" s="68">
        <v>4.8290953838985178E-15</v>
      </c>
      <c r="N14" s="65">
        <v>1.3663270594145987E-15</v>
      </c>
    </row>
    <row r="15" spans="1:16">
      <c r="B15" s="68">
        <v>8</v>
      </c>
      <c r="C15" s="68">
        <v>1.054912127302436E-14</v>
      </c>
      <c r="D15" s="68">
        <v>5.7532216471500867E-15</v>
      </c>
      <c r="G15" s="68">
        <v>8</v>
      </c>
      <c r="H15" s="18">
        <v>8.4994359992297269E-15</v>
      </c>
      <c r="I15" s="18">
        <v>6.1705537873578652E-15</v>
      </c>
      <c r="L15" s="64">
        <v>8</v>
      </c>
      <c r="M15" s="68">
        <v>5.4092861506302138E-15</v>
      </c>
      <c r="N15" s="65">
        <v>1.5340395703241959E-15</v>
      </c>
    </row>
    <row r="16" spans="1:16">
      <c r="B16" s="68">
        <v>9</v>
      </c>
      <c r="C16" s="68">
        <v>1.1662404692360668E-14</v>
      </c>
      <c r="D16" s="68">
        <v>6.3674239574697047E-15</v>
      </c>
      <c r="G16" s="68">
        <v>9</v>
      </c>
      <c r="H16" s="18">
        <v>9.3981224093798734E-15</v>
      </c>
      <c r="I16" s="18">
        <v>6.8293096331410822E-15</v>
      </c>
      <c r="L16" s="64">
        <v>9</v>
      </c>
      <c r="M16" s="68">
        <v>5.9738511647925781E-15</v>
      </c>
      <c r="N16" s="65">
        <v>1.6978105330997338E-15</v>
      </c>
    </row>
    <row r="17" spans="2:14">
      <c r="B17" s="68">
        <v>10</v>
      </c>
      <c r="C17" s="68">
        <v>1.2750686347883987E-14</v>
      </c>
      <c r="D17" s="68">
        <v>6.968824313870413E-15</v>
      </c>
      <c r="G17" s="68">
        <v>10</v>
      </c>
      <c r="H17" s="18">
        <v>1.0276662754580839E-14</v>
      </c>
      <c r="I17" s="18">
        <v>7.4743348858610133E-15</v>
      </c>
      <c r="L17" s="64">
        <v>10</v>
      </c>
      <c r="M17" s="68">
        <v>6.5248514736151429E-15</v>
      </c>
      <c r="N17" s="65">
        <v>1.8581679816577545E-15</v>
      </c>
    </row>
    <row r="18" spans="2:14">
      <c r="B18" s="68">
        <v>11</v>
      </c>
      <c r="C18" s="68">
        <v>1.3817079436755048E-14</v>
      </c>
      <c r="D18" s="68">
        <v>7.5590192940700202E-15</v>
      </c>
      <c r="G18" s="68">
        <v>11</v>
      </c>
      <c r="H18" s="18">
        <v>1.1137607527946979E-14</v>
      </c>
      <c r="I18" s="18">
        <v>8.1073419371631838E-15</v>
      </c>
      <c r="L18" s="64">
        <v>11</v>
      </c>
      <c r="M18" s="68">
        <v>7.0639739175609671E-15</v>
      </c>
      <c r="N18" s="65">
        <v>2.0155376276336564E-15</v>
      </c>
    </row>
    <row r="19" spans="2:14">
      <c r="B19" s="68">
        <v>12</v>
      </c>
      <c r="C19" s="68">
        <v>1.4863957885690508E-14</v>
      </c>
      <c r="D19" s="68">
        <v>8.1393005713676989E-15</v>
      </c>
      <c r="G19" s="68">
        <v>12</v>
      </c>
      <c r="H19" s="18">
        <v>1.198287471417179E-14</v>
      </c>
      <c r="I19" s="18">
        <v>8.7297161568555122E-15</v>
      </c>
      <c r="L19" s="64">
        <v>12</v>
      </c>
      <c r="M19" s="68">
        <v>7.5924384633227581E-15</v>
      </c>
      <c r="N19" s="65">
        <v>2.1702638829194858E-15</v>
      </c>
    </row>
    <row r="20" spans="2:14">
      <c r="B20" s="68">
        <v>13</v>
      </c>
      <c r="C20" s="68">
        <v>1.5893421770828578E-14</v>
      </c>
      <c r="D20" s="68">
        <v>8.7107174303858194E-15</v>
      </c>
      <c r="G20" s="68">
        <v>13</v>
      </c>
      <c r="H20" s="18">
        <v>1.2814024100541773E-14</v>
      </c>
      <c r="I20" s="18">
        <v>9.3425829434708017E-15</v>
      </c>
      <c r="L20" s="64">
        <v>13</v>
      </c>
      <c r="M20" s="68">
        <v>8.1114077731363408E-15</v>
      </c>
      <c r="N20" s="65">
        <v>2.3226265288673226E-15</v>
      </c>
    </row>
    <row r="21" spans="2:14">
      <c r="B21" s="68">
        <v>14</v>
      </c>
      <c r="C21" s="68">
        <v>1.6907039026522025E-14</v>
      </c>
      <c r="D21" s="68">
        <v>9.2741263405772566E-15</v>
      </c>
      <c r="G21" s="68">
        <v>14</v>
      </c>
      <c r="H21" s="18">
        <v>1.3632499726799455E-14</v>
      </c>
      <c r="I21" s="18">
        <v>9.9468608937797528E-15</v>
      </c>
      <c r="L21" s="64">
        <v>14</v>
      </c>
      <c r="M21" s="68">
        <v>8.6216846254044782E-15</v>
      </c>
      <c r="N21" s="65">
        <v>2.4728539345740072E-15</v>
      </c>
    </row>
    <row r="22" spans="2:14">
      <c r="B22" s="68">
        <v>15</v>
      </c>
      <c r="C22" s="68">
        <v>1.790626800040347E-14</v>
      </c>
      <c r="D22" s="68">
        <v>9.8302302702386245E-15</v>
      </c>
      <c r="G22" s="68">
        <v>15</v>
      </c>
      <c r="H22" s="18">
        <v>1.4439339100079828E-14</v>
      </c>
      <c r="I22" s="18">
        <v>1.0543303968597902E-14</v>
      </c>
      <c r="L22" s="64">
        <v>15</v>
      </c>
      <c r="M22" s="68">
        <v>9.124099347258849E-15</v>
      </c>
      <c r="N22" s="65">
        <v>2.6211335395733913E-15</v>
      </c>
    </row>
    <row r="23" spans="2:14">
      <c r="B23" s="68">
        <v>16</v>
      </c>
      <c r="C23" s="68">
        <v>1.8892165182215507E-14</v>
      </c>
      <c r="D23" s="68">
        <v>1.0379609867584358E-14</v>
      </c>
      <c r="G23" s="68">
        <v>16</v>
      </c>
      <c r="H23" s="18">
        <v>1.5235400747199935E-14</v>
      </c>
      <c r="I23" s="18">
        <v>1.1132534935699285E-14</v>
      </c>
      <c r="L23" s="64">
        <v>16</v>
      </c>
      <c r="M23" s="68">
        <v>9.6191896867231476E-15</v>
      </c>
      <c r="N23" s="65">
        <v>2.7676201679609142E-15</v>
      </c>
    </row>
    <row r="24" spans="2:14">
      <c r="B24" s="68">
        <v>17</v>
      </c>
      <c r="C24" s="68">
        <v>1.986561158373015E-14</v>
      </c>
      <c r="D24" s="68">
        <v>1.092274819456187E-14</v>
      </c>
      <c r="G24" s="68">
        <v>17</v>
      </c>
      <c r="H24" s="18">
        <v>1.6021569597576722E-14</v>
      </c>
      <c r="I24" s="18">
        <v>1.1715071897794337E-14</v>
      </c>
      <c r="L24" s="64">
        <v>17</v>
      </c>
      <c r="M24" s="68">
        <v>1.0107405095842384E-14</v>
      </c>
      <c r="N24" s="65">
        <v>2.9124426234204425E-15</v>
      </c>
    </row>
    <row r="25" spans="2:14">
      <c r="B25" s="68">
        <v>18</v>
      </c>
      <c r="C25" s="68">
        <v>2.0827517197835823E-14</v>
      </c>
      <c r="D25" s="68">
        <v>1.1460050349617356E-14</v>
      </c>
      <c r="G25" s="68">
        <v>18</v>
      </c>
      <c r="H25" s="18">
        <v>1.6798436813715958E-14</v>
      </c>
      <c r="I25" s="18">
        <v>1.2291349338708771E-14</v>
      </c>
      <c r="L25" s="64">
        <v>18</v>
      </c>
      <c r="M25" s="68">
        <v>1.0589293659108319E-14</v>
      </c>
      <c r="N25" s="65">
        <v>3.0557089214404185E-15</v>
      </c>
    </row>
    <row r="26" spans="2:14">
      <c r="B26" s="68">
        <v>19</v>
      </c>
      <c r="C26" s="68">
        <v>2.1778500102057944E-14</v>
      </c>
      <c r="D26" s="68">
        <v>1.1991859038604766E-14</v>
      </c>
      <c r="G26" s="68">
        <v>19</v>
      </c>
      <c r="H26" s="18">
        <v>1.7566504048842878E-14</v>
      </c>
      <c r="I26" s="18">
        <v>1.2861734823788533E-14</v>
      </c>
      <c r="L26" s="64">
        <v>19</v>
      </c>
      <c r="M26" s="68">
        <v>1.1065167286182066E-14</v>
      </c>
      <c r="N26" s="65">
        <v>3.1975104411425223E-15</v>
      </c>
    </row>
    <row r="27" spans="2:14">
      <c r="B27" s="68">
        <v>20</v>
      </c>
      <c r="C27" s="68">
        <v>2.2719090145125762E-14</v>
      </c>
      <c r="D27" s="68">
        <v>1.2518466933445632E-14</v>
      </c>
      <c r="G27" s="68">
        <v>20</v>
      </c>
      <c r="H27" s="18">
        <v>1.8326201124419484E-14</v>
      </c>
      <c r="I27" s="18">
        <v>1.3426542255042726E-14</v>
      </c>
      <c r="L27" s="64">
        <v>20</v>
      </c>
      <c r="M27" s="68">
        <v>1.1535294357434109E-14</v>
      </c>
      <c r="N27" s="65">
        <v>3.3379252205959058E-15</v>
      </c>
    </row>
    <row r="28" spans="2:14">
      <c r="B28" s="68">
        <v>21</v>
      </c>
      <c r="C28" s="68">
        <v>2.3649746176867289E-14</v>
      </c>
      <c r="D28" s="68">
        <v>1.3040126484087768E-14</v>
      </c>
      <c r="G28" s="68">
        <v>21</v>
      </c>
      <c r="H28" s="18">
        <v>1.9077900066395512E-14</v>
      </c>
      <c r="I28" s="18">
        <v>1.3986042394850611E-14</v>
      </c>
      <c r="L28" s="64">
        <v>21</v>
      </c>
      <c r="M28" s="68">
        <v>1.1999908187994156E-14</v>
      </c>
      <c r="N28" s="65">
        <v>3.4770205730788024E-15</v>
      </c>
    </row>
    <row r="29" spans="2:14">
      <c r="B29" s="68">
        <v>22</v>
      </c>
      <c r="C29" s="68">
        <v>2.4571038972578616E-14</v>
      </c>
      <c r="D29" s="68">
        <v>1.3557057711337735E-14</v>
      </c>
      <c r="G29" s="68">
        <v>22</v>
      </c>
      <c r="H29" s="18">
        <v>1.9821926254478249E-14</v>
      </c>
      <c r="I29" s="18">
        <v>1.454047122407726E-14</v>
      </c>
      <c r="L29" s="64">
        <v>22</v>
      </c>
      <c r="M29" s="68">
        <v>1.245938299013002E-14</v>
      </c>
      <c r="N29" s="65">
        <v>3.6148551649601205E-15</v>
      </c>
    </row>
    <row r="30" spans="2:14">
      <c r="B30" s="68">
        <v>23</v>
      </c>
      <c r="C30" s="68">
        <v>2.5483313263101904E-14</v>
      </c>
      <c r="D30" s="68">
        <v>1.4069454398773817E-14</v>
      </c>
      <c r="G30" s="68">
        <v>23</v>
      </c>
      <c r="H30" s="18">
        <v>2.0558736520369414E-14</v>
      </c>
      <c r="I30" s="18">
        <v>1.5090036583140829E-14</v>
      </c>
      <c r="L30" s="64">
        <v>23</v>
      </c>
      <c r="M30" s="68">
        <v>1.2913890371570818E-14</v>
      </c>
      <c r="N30" s="65">
        <v>3.7514806667117105E-15</v>
      </c>
    </row>
    <row r="31" spans="2:14">
      <c r="B31" s="68">
        <v>24</v>
      </c>
      <c r="C31" s="68">
        <v>2.6386877884382781E-14</v>
      </c>
      <c r="D31" s="68">
        <v>1.4577489015252604E-14</v>
      </c>
      <c r="G31" s="68">
        <v>24</v>
      </c>
      <c r="H31" s="18">
        <v>2.128857734628246E-14</v>
      </c>
      <c r="I31" s="18">
        <v>1.5634923451592171E-14</v>
      </c>
      <c r="L31" s="64">
        <v>24</v>
      </c>
      <c r="M31" s="68">
        <v>1.3363585087376525E-14</v>
      </c>
      <c r="N31" s="65">
        <v>3.8869430654459906E-15</v>
      </c>
    </row>
    <row r="32" spans="2:14">
      <c r="B32" s="68">
        <v>25</v>
      </c>
      <c r="C32" s="68">
        <v>2.7282012273687316E-14</v>
      </c>
      <c r="D32" s="68">
        <v>1.508131663080198E-14</v>
      </c>
      <c r="G32" s="68">
        <v>25</v>
      </c>
      <c r="H32" s="18">
        <v>2.2011671971473226E-14</v>
      </c>
      <c r="I32" s="18">
        <v>1.6175298148062229E-14</v>
      </c>
      <c r="L32" s="64">
        <v>25</v>
      </c>
      <c r="M32" s="68">
        <v>1.3808608037759611E-14</v>
      </c>
      <c r="N32" s="65">
        <v>4.0212837090500291E-15</v>
      </c>
    </row>
    <row r="33" spans="2:14">
      <c r="B33" s="68">
        <v>26</v>
      </c>
      <c r="C33" s="68">
        <v>2.8168971644483548E-14</v>
      </c>
      <c r="D33" s="68">
        <v>1.5581078034220297E-14</v>
      </c>
      <c r="G33" s="68">
        <v>26</v>
      </c>
      <c r="H33" s="18">
        <v>2.2728224470639417E-14</v>
      </c>
      <c r="I33" s="18">
        <v>1.6711311674008298E-14</v>
      </c>
      <c r="L33" s="64">
        <v>26</v>
      </c>
      <c r="M33" s="68">
        <v>1.424908865775386E-14</v>
      </c>
      <c r="N33" s="65">
        <v>4.1545401374624859E-15</v>
      </c>
    </row>
    <row r="34" spans="2:14">
      <c r="B34" s="68">
        <v>27</v>
      </c>
      <c r="C34" s="68">
        <v>2.9048160351273163E-14</v>
      </c>
      <c r="D34" s="68">
        <v>1.6076902217521776E-14</v>
      </c>
      <c r="G34" s="68">
        <v>27</v>
      </c>
      <c r="H34" s="18">
        <v>2.3438423006725663E-14</v>
      </c>
      <c r="I34" s="18">
        <v>1.724310237837828E-14</v>
      </c>
      <c r="L34" s="64">
        <v>27</v>
      </c>
      <c r="M34" s="68">
        <v>1.46853160624828E-14</v>
      </c>
      <c r="N34" s="65">
        <v>4.2867467451263719E-15</v>
      </c>
    </row>
    <row r="35" spans="2:14">
      <c r="B35" s="68">
        <v>28</v>
      </c>
      <c r="C35" s="68">
        <v>2.9919786338336549E-14</v>
      </c>
      <c r="D35" s="68">
        <v>1.6568908358140273E-14</v>
      </c>
      <c r="G35" s="68">
        <v>28</v>
      </c>
      <c r="H35" s="18">
        <v>2.4142442428761557E-14</v>
      </c>
      <c r="I35" s="18">
        <v>1.7770798083601224E-14</v>
      </c>
      <c r="L35" s="64">
        <v>28</v>
      </c>
      <c r="M35" s="68">
        <v>1.5117391725035872E-14</v>
      </c>
      <c r="N35" s="65">
        <v>4.4179353095240497E-15</v>
      </c>
    </row>
    <row r="36" spans="2:14">
      <c r="B36" s="68">
        <v>29</v>
      </c>
      <c r="C36" s="68">
        <v>3.0784045276130896E-14</v>
      </c>
      <c r="D36" s="68">
        <v>1.705720740267208E-14</v>
      </c>
      <c r="G36" s="68">
        <v>29</v>
      </c>
      <c r="H36" s="18">
        <v>2.4840446349999844E-14</v>
      </c>
      <c r="I36" s="18">
        <v>1.8294517784213061E-14</v>
      </c>
      <c r="L36" s="64">
        <v>29</v>
      </c>
      <c r="M36" s="68">
        <v>1.5545412197976468E-14</v>
      </c>
      <c r="N36" s="65">
        <v>4.5481354134665686E-15</v>
      </c>
    </row>
    <row r="37" spans="2:14">
      <c r="B37" s="68">
        <v>30</v>
      </c>
      <c r="C37" s="68">
        <v>3.1641122287498342E-14</v>
      </c>
      <c r="D37" s="68">
        <v>1.7541903334431155E-14</v>
      </c>
      <c r="G37" s="68">
        <v>30</v>
      </c>
      <c r="H37" s="18">
        <v>2.553258881359113E-14</v>
      </c>
      <c r="I37" s="18">
        <v>1.8814373006358805E-14</v>
      </c>
      <c r="L37" s="64">
        <v>30</v>
      </c>
      <c r="M37" s="68">
        <v>1.5969469707136677E-14</v>
      </c>
      <c r="N37" s="65">
        <v>4.6773747830747073E-15</v>
      </c>
    </row>
    <row r="38" spans="2:14">
      <c r="B38" s="68">
        <v>31</v>
      </c>
      <c r="C38" s="68">
        <v>3.2491193338047593E-14</v>
      </c>
      <c r="D38" s="68">
        <v>1.8023094190042111E-14</v>
      </c>
      <c r="G38" s="68">
        <v>31</v>
      </c>
      <c r="H38" s="18">
        <v>2.6219184868840953E-14</v>
      </c>
      <c r="I38" s="18">
        <v>1.9330468898128067E-14</v>
      </c>
      <c r="L38" s="64">
        <v>31</v>
      </c>
      <c r="M38" s="68">
        <v>1.6389652633791175E-14</v>
      </c>
      <c r="N38" s="65">
        <v>4.8056795588434318E-15</v>
      </c>
    </row>
    <row r="39" spans="2:14">
      <c r="B39" s="68">
        <v>32</v>
      </c>
      <c r="C39" s="68">
        <v>3.3334426359739108E-14</v>
      </c>
      <c r="D39" s="68">
        <v>1.8500872876782341E-14</v>
      </c>
      <c r="G39" s="68">
        <v>32</v>
      </c>
      <c r="H39" s="18">
        <v>2.6900362802793929E-14</v>
      </c>
      <c r="I39" s="18">
        <v>1.9842905106186242E-14</v>
      </c>
      <c r="L39" s="64">
        <v>32</v>
      </c>
      <c r="M39" s="68">
        <v>1.6806045908042193E-14</v>
      </c>
      <c r="N39" s="65">
        <v>4.933074513578073E-15</v>
      </c>
    </row>
    <row r="40" spans="2:14">
      <c r="B40" s="68">
        <v>33</v>
      </c>
      <c r="C40" s="68">
        <v>3.4170982162407844E-14</v>
      </c>
      <c r="D40" s="68">
        <v>1.8975327831672128E-14</v>
      </c>
      <c r="G40" s="68">
        <v>33</v>
      </c>
      <c r="H40" s="18">
        <v>2.757624651259788E-14</v>
      </c>
      <c r="I40" s="18">
        <v>2.0351776482674253E-14</v>
      </c>
      <c r="L40" s="64">
        <v>33</v>
      </c>
      <c r="M40" s="68">
        <v>1.7218731331521815E-14</v>
      </c>
      <c r="N40" s="65">
        <v>5.0595832281341778E-15</v>
      </c>
    </row>
    <row r="41" spans="2:14">
      <c r="B41" s="68">
        <v>34</v>
      </c>
      <c r="C41" s="68">
        <v>3.5001015176625858E-14</v>
      </c>
      <c r="D41" s="68">
        <v>1.9446543554819957E-14</v>
      </c>
      <c r="G41" s="68">
        <v>34</v>
      </c>
      <c r="H41" s="18">
        <v>2.8246955827037026E-14</v>
      </c>
      <c r="I41" s="18">
        <v>2.0857173657242129E-14</v>
      </c>
      <c r="L41" s="64">
        <v>34</v>
      </c>
      <c r="M41" s="68">
        <v>1.762778784377257E-14</v>
      </c>
      <c r="N41" s="65">
        <v>5.1852282336287558E-15</v>
      </c>
    </row>
    <row r="42" spans="2:14">
      <c r="B42" s="68">
        <v>35</v>
      </c>
      <c r="C42" s="68">
        <v>3.5824843300351473E-14</v>
      </c>
      <c r="D42" s="68">
        <v>1.9914601042798735E-14</v>
      </c>
      <c r="G42" s="68">
        <v>35</v>
      </c>
      <c r="H42" s="18">
        <v>2.8912606777265582E-14</v>
      </c>
      <c r="I42" s="18">
        <v>2.1359183501861856E-14</v>
      </c>
      <c r="L42" s="64">
        <v>35</v>
      </c>
      <c r="M42" s="68">
        <v>1.8033460981725209E-14</v>
      </c>
      <c r="N42" s="65">
        <v>5.3100311269957564E-15</v>
      </c>
    </row>
    <row r="43" spans="2:14">
      <c r="B43" s="68">
        <v>36</v>
      </c>
      <c r="C43" s="68">
        <v>3.6642599554003131E-14</v>
      </c>
      <c r="D43" s="68">
        <v>2.0379578142492868E-14</v>
      </c>
      <c r="G43" s="68">
        <v>36</v>
      </c>
      <c r="H43" s="18">
        <v>2.9573311826845805E-14</v>
      </c>
      <c r="I43" s="18">
        <v>2.1857889510342092E-14</v>
      </c>
      <c r="L43" s="64">
        <v>36</v>
      </c>
      <c r="M43" s="68">
        <v>1.8435814218651301E-14</v>
      </c>
      <c r="N43" s="65">
        <v>5.4340126653358816E-15</v>
      </c>
    </row>
    <row r="44" spans="2:14">
      <c r="B44" s="68">
        <v>37</v>
      </c>
      <c r="C44" s="68">
        <v>3.7454413997620166E-14</v>
      </c>
      <c r="D44" s="68">
        <v>2.084154984162584E-14</v>
      </c>
      <c r="G44" s="68">
        <v>37</v>
      </c>
      <c r="H44" s="18">
        <v>3.0229180069111098E-14</v>
      </c>
      <c r="I44" s="18">
        <v>2.2353372109930304E-14</v>
      </c>
      <c r="L44" s="64">
        <v>37</v>
      </c>
      <c r="M44" s="68">
        <v>1.8834910621771529E-14</v>
      </c>
      <c r="N44" s="65">
        <v>5.5571928433828953E-15</v>
      </c>
    </row>
    <row r="45" spans="2:14">
      <c r="B45" s="68">
        <v>38</v>
      </c>
      <c r="C45" s="68">
        <v>3.8260413693301937E-14</v>
      </c>
      <c r="D45" s="68">
        <v>2.1300588508825078E-14</v>
      </c>
      <c r="G45" s="68">
        <v>38</v>
      </c>
      <c r="H45" s="18">
        <v>3.0880317398222977E-14</v>
      </c>
      <c r="I45" s="18">
        <v>2.2845708918791665E-14</v>
      </c>
      <c r="L45" s="64">
        <v>38</v>
      </c>
      <c r="M45" s="68">
        <v>1.9230812600224474E-14</v>
      </c>
      <c r="N45" s="65">
        <v>5.6795909575145378E-15</v>
      </c>
    </row>
    <row r="46" spans="2:14">
      <c r="B46" s="68">
        <v>39</v>
      </c>
      <c r="C46" s="68">
        <v>3.9060722692983346E-14</v>
      </c>
      <c r="D46" s="68">
        <v>2.1756764093422392E-14</v>
      </c>
      <c r="G46" s="68">
        <v>39</v>
      </c>
      <c r="H46" s="18">
        <v>3.1526826658981542E-14</v>
      </c>
      <c r="I46" s="18">
        <v>2.3334974960302772E-14</v>
      </c>
      <c r="L46" s="64">
        <v>39</v>
      </c>
      <c r="M46" s="68">
        <v>1.962358171434396E-14</v>
      </c>
      <c r="N46" s="65">
        <v>5.8012256590273327E-15</v>
      </c>
    </row>
    <row r="47" spans="2:14">
      <c r="B47" s="68">
        <v>40</v>
      </c>
      <c r="C47" s="68">
        <v>3.9855462045821273E-14</v>
      </c>
      <c r="D47" s="68">
        <v>2.2210144293081437E-14</v>
      </c>
      <c r="G47" s="68">
        <v>40</v>
      </c>
      <c r="H47" s="18">
        <v>3.2168807779410809E-14</v>
      </c>
      <c r="I47" s="18">
        <v>2.382124284283864E-14</v>
      </c>
      <c r="L47" s="64">
        <v>40</v>
      </c>
      <c r="M47" s="68">
        <v>2.0013278533289587E-14</v>
      </c>
      <c r="N47" s="65">
        <v>5.9221149988327937E-15</v>
      </c>
    </row>
    <row r="48" spans="2:14">
      <c r="B48" s="68">
        <v>41</v>
      </c>
      <c r="C48" s="68">
        <v>4.0644749820664193E-14</v>
      </c>
      <c r="D48" s="68">
        <v>2.2660794695672518E-14</v>
      </c>
      <c r="G48" s="68">
        <v>41</v>
      </c>
      <c r="H48" s="18">
        <v>3.2806357889316221E-14</v>
      </c>
      <c r="I48" s="18">
        <v>2.4304582911938917E-14</v>
      </c>
      <c r="L48" s="64">
        <v>41</v>
      </c>
      <c r="M48" s="68">
        <v>2.0399962530767851E-14</v>
      </c>
      <c r="N48" s="65">
        <v>6.0422764652869323E-15</v>
      </c>
    </row>
    <row r="49" spans="2:14">
      <c r="B49" s="68">
        <v>42</v>
      </c>
      <c r="C49" s="68">
        <v>4.1428701140029999E-14</v>
      </c>
      <c r="D49" s="68">
        <v>2.3108778900491083E-14</v>
      </c>
      <c r="G49" s="68">
        <v>42</v>
      </c>
      <c r="H49" s="18">
        <v>3.3439571427359838E-14</v>
      </c>
      <c r="I49" s="18">
        <v>2.4785063380319454E-14</v>
      </c>
      <c r="L49" s="64">
        <v>42</v>
      </c>
      <c r="M49" s="68">
        <v>2.0783692010715245E-14</v>
      </c>
      <c r="N49" s="65">
        <v>6.16172701651197E-15</v>
      </c>
    </row>
    <row r="50" spans="2:14">
      <c r="B50" s="68">
        <v>43</v>
      </c>
      <c r="C50" s="68">
        <v>4.2207428222769618E-14</v>
      </c>
      <c r="D50" s="68">
        <v>2.3554158622866143E-14</v>
      </c>
      <c r="G50" s="68">
        <v>43</v>
      </c>
      <c r="H50" s="18">
        <v>3.4068540238680038E-14</v>
      </c>
      <c r="I50" s="18">
        <v>2.5262750440068869E-14</v>
      </c>
      <c r="L50" s="64">
        <v>43</v>
      </c>
      <c r="M50" s="68">
        <v>2.1164524056506407E-14</v>
      </c>
      <c r="N50" s="65">
        <v>6.2804831082891383E-15</v>
      </c>
    </row>
    <row r="51" spans="2:14">
      <c r="B51" s="68">
        <v>44</v>
      </c>
      <c r="C51" s="68">
        <v>4.2981040433190817E-14</v>
      </c>
      <c r="D51" s="68">
        <v>2.3996993785372058E-14</v>
      </c>
      <c r="G51" s="68">
        <v>44</v>
      </c>
      <c r="H51" s="18">
        <v>3.4693353664671963E-14</v>
      </c>
      <c r="I51" s="18">
        <v>2.5737708360476767E-14</v>
      </c>
      <c r="L51" s="64">
        <v>44</v>
      </c>
      <c r="M51" s="68">
        <v>2.1542514498590814E-14</v>
      </c>
      <c r="N51" s="65">
        <v>6.398560718379396E-15</v>
      </c>
    </row>
    <row r="52" spans="2:14">
      <c r="B52" s="68">
        <v>45</v>
      </c>
      <c r="C52" s="68">
        <v>4.3749644334890227E-14</v>
      </c>
      <c r="D52" s="68">
        <v>2.4437342598197702E-14</v>
      </c>
      <c r="G52" s="68">
        <v>45</v>
      </c>
      <c r="H52" s="18">
        <v>3.5314098626219777E-14</v>
      </c>
      <c r="I52" s="18">
        <v>2.6209999574232767E-14</v>
      </c>
      <c r="L52" s="64">
        <v>45</v>
      </c>
      <c r="M52" s="68">
        <v>2.1917717896524304E-14</v>
      </c>
      <c r="N52" s="65">
        <v>6.5159753679530731E-15</v>
      </c>
    </row>
    <row r="53" spans="2:14">
      <c r="B53" s="68">
        <v>46</v>
      </c>
      <c r="C53" s="68">
        <v>4.4513343747914798E-14</v>
      </c>
      <c r="D53" s="68">
        <v>2.4875261630702793E-14</v>
      </c>
      <c r="G53" s="68">
        <v>46</v>
      </c>
      <c r="H53" s="18">
        <v>3.5931028939439977E-14</v>
      </c>
      <c r="I53" s="18">
        <v>2.6679684754173464E-14</v>
      </c>
      <c r="L53" s="64">
        <v>46</v>
      </c>
      <c r="M53" s="68">
        <v>2.2290187532203265E-14</v>
      </c>
      <c r="N53" s="65">
        <v>6.6327421406696555E-15</v>
      </c>
    </row>
    <row r="54" spans="2:14">
      <c r="B54" s="68">
        <v>47</v>
      </c>
      <c r="C54" s="68">
        <v>4.5272239808172182E-14</v>
      </c>
      <c r="D54" s="68">
        <v>2.5310805875777005E-14</v>
      </c>
      <c r="G54" s="68">
        <v>47</v>
      </c>
      <c r="H54" s="18">
        <v>3.6544216542103365E-14</v>
      </c>
      <c r="I54" s="18">
        <v>2.7146822882310054E-14</v>
      </c>
      <c r="L54" s="64">
        <v>47</v>
      </c>
      <c r="M54" s="68">
        <v>2.265997541177757E-14</v>
      </c>
      <c r="N54" s="65">
        <v>6.7488756998385069E-15</v>
      </c>
    </row>
    <row r="55" spans="2:14">
      <c r="B55" s="68">
        <v>48</v>
      </c>
      <c r="C55" s="68">
        <v>4.6026431028242343E-14</v>
      </c>
      <c r="D55" s="68">
        <v>2.5744028808287561E-14</v>
      </c>
      <c r="G55" s="68">
        <v>48</v>
      </c>
      <c r="H55" s="18">
        <v>3.715373306340878E-14</v>
      </c>
      <c r="I55" s="18">
        <v>2.7611471312515675E-14</v>
      </c>
      <c r="L55" s="64">
        <v>48</v>
      </c>
      <c r="M55" s="68">
        <v>2.3027132274246133E-14</v>
      </c>
      <c r="N55" s="65">
        <v>6.8643903040033384E-15</v>
      </c>
    </row>
    <row r="56" spans="2:14">
      <c r="B56" s="68">
        <v>49</v>
      </c>
      <c r="C56" s="68">
        <v>4.6776182596958155E-14</v>
      </c>
      <c r="D56" s="68">
        <v>2.6174982438640502E-14</v>
      </c>
      <c r="G56" s="68">
        <v>49</v>
      </c>
      <c r="H56" s="18">
        <v>3.7759649503657088E-14</v>
      </c>
      <c r="I56" s="18">
        <v>2.8073685827971938E-14</v>
      </c>
      <c r="L56" s="64">
        <v>49</v>
      </c>
      <c r="M56" s="68">
        <v>2.3391876843186684E-14</v>
      </c>
      <c r="N56" s="65">
        <v>6.9792998212237911E-15</v>
      </c>
    </row>
    <row r="57" spans="2:14">
      <c r="B57" s="68">
        <v>50</v>
      </c>
      <c r="C57" s="68">
        <v>4.7521577594580887E-14</v>
      </c>
      <c r="D57" s="68">
        <v>2.6603717362273457E-14</v>
      </c>
      <c r="G57" s="68">
        <v>50</v>
      </c>
      <c r="H57" s="18">
        <v>3.8362035990686001E-14</v>
      </c>
      <c r="I57" s="18">
        <v>2.8533520694251848E-14</v>
      </c>
      <c r="L57" s="64">
        <v>50</v>
      </c>
      <c r="M57" s="68">
        <v>2.3754246997715234E-14</v>
      </c>
      <c r="N57" s="65">
        <v>7.093617742272197E-15</v>
      </c>
    </row>
    <row r="58" spans="2:14">
      <c r="B58" s="68">
        <v>51</v>
      </c>
      <c r="C58" s="68">
        <v>4.8262698555182705E-14</v>
      </c>
      <c r="D58" s="68">
        <v>2.7030282805733503E-14</v>
      </c>
      <c r="G58" s="68">
        <v>51</v>
      </c>
      <c r="H58" s="18">
        <v>3.8960961596872062E-14</v>
      </c>
      <c r="I58" s="18">
        <v>2.8991028708740079E-14</v>
      </c>
      <c r="L58" s="64">
        <v>51</v>
      </c>
      <c r="M58" s="68">
        <v>2.4114281293703382E-14</v>
      </c>
      <c r="N58" s="65">
        <v>7.2073571929197739E-15</v>
      </c>
    </row>
    <row r="59" spans="2:14">
      <c r="B59" s="68">
        <v>52</v>
      </c>
      <c r="C59" s="68">
        <v>4.8999627141943848E-14</v>
      </c>
      <c r="D59" s="68">
        <v>2.7454726669863261E-14</v>
      </c>
      <c r="G59" s="68">
        <v>52</v>
      </c>
      <c r="H59" s="18">
        <v>3.9556494203870843E-14</v>
      </c>
      <c r="I59" s="18">
        <v>2.9446261246951791E-14</v>
      </c>
      <c r="L59" s="64">
        <v>52</v>
      </c>
      <c r="M59" s="68">
        <v>2.4472018600493686E-14</v>
      </c>
      <c r="N59" s="65">
        <v>7.3205309454517811E-15</v>
      </c>
    </row>
    <row r="60" spans="2:14">
      <c r="B60" s="68">
        <v>53</v>
      </c>
      <c r="C60" s="68">
        <v>4.9732443901560479E-14</v>
      </c>
      <c r="D60" s="68">
        <v>2.7877095570515108E-14</v>
      </c>
      <c r="G60" s="68">
        <v>53</v>
      </c>
      <c r="H60" s="18">
        <v>4.0148700404933737E-14</v>
      </c>
      <c r="I60" s="18">
        <v>2.9899268306200144E-14</v>
      </c>
      <c r="L60" s="64">
        <v>53</v>
      </c>
      <c r="M60" s="68">
        <v>2.4827497818934087E-14</v>
      </c>
      <c r="N60" s="65">
        <v>7.4331514295235566E-15</v>
      </c>
    </row>
    <row r="61" spans="2:14">
      <c r="B61" s="68">
        <v>54</v>
      </c>
      <c r="C61" s="68">
        <v>5.0461228081043108E-14</v>
      </c>
      <c r="D61" s="68">
        <v>2.8297434877130936E-14</v>
      </c>
      <c r="G61" s="68">
        <v>54</v>
      </c>
      <c r="H61" s="18">
        <v>4.0737645436753301E-14</v>
      </c>
      <c r="I61" s="18">
        <v>3.0350098546974631E-14</v>
      </c>
      <c r="L61" s="64">
        <v>54</v>
      </c>
      <c r="M61" s="68">
        <v>2.5180757663709905E-14</v>
      </c>
      <c r="N61" s="65">
        <v>7.5452307424474272E-15</v>
      </c>
    </row>
    <row r="62" spans="2:14">
      <c r="B62" s="68">
        <v>55</v>
      </c>
      <c r="C62" s="68">
        <v>5.1186057493661118E-14</v>
      </c>
      <c r="D62" s="68">
        <v>2.8715788749459793E-14</v>
      </c>
      <c r="G62" s="68">
        <v>55</v>
      </c>
      <c r="H62" s="18">
        <v>4.1323393134464915E-14</v>
      </c>
      <c r="I62" s="18">
        <v>3.0798799332322165E-14</v>
      </c>
      <c r="L62" s="64">
        <v>55</v>
      </c>
      <c r="M62" s="68">
        <v>2.5531836496485303E-14</v>
      </c>
      <c r="N62" s="65">
        <v>7.6567806589831011E-15</v>
      </c>
    </row>
    <row r="63" spans="2:14">
      <c r="B63" s="68">
        <v>56</v>
      </c>
      <c r="C63" s="68">
        <v>5.19070084235426E-14</v>
      </c>
      <c r="D63" s="68">
        <v>2.9132200172633853E-14</v>
      </c>
      <c r="G63" s="68">
        <v>56</v>
      </c>
      <c r="H63" s="18">
        <v>4.1906005904760054E-14</v>
      </c>
      <c r="I63" s="18">
        <v>3.1245416765467397E-14</v>
      </c>
      <c r="L63" s="64">
        <v>56</v>
      </c>
      <c r="M63" s="68">
        <v>2.5880772199166839E-14</v>
      </c>
      <c r="N63" s="65">
        <v>7.7678126406903328E-15</v>
      </c>
    </row>
    <row r="64" spans="2:14">
      <c r="B64" s="68">
        <v>57</v>
      </c>
      <c r="C64" s="68">
        <v>5.2624155560622194E-14</v>
      </c>
      <c r="D64" s="68">
        <v>2.9546710990781898E-14</v>
      </c>
      <c r="G64" s="68">
        <v>57</v>
      </c>
      <c r="H64" s="18">
        <v>4.2485544713119484E-14</v>
      </c>
      <c r="I64" s="18">
        <v>3.1689995725864527E-14</v>
      </c>
      <c r="L64" s="64">
        <v>57</v>
      </c>
      <c r="M64" s="68">
        <v>2.6227602078821645E-14</v>
      </c>
      <c r="N64" s="65">
        <v>7.8783378448916252E-15</v>
      </c>
    </row>
    <row r="65" spans="2:14">
      <c r="B65" s="68">
        <v>58</v>
      </c>
      <c r="C65" s="68">
        <v>5.3337571959359973E-14</v>
      </c>
      <c r="D65" s="68">
        <v>2.9959361939326752E-14</v>
      </c>
      <c r="G65" s="68">
        <v>58</v>
      </c>
      <c r="H65" s="18">
        <v>4.3062069082007936E-14</v>
      </c>
      <c r="I65" s="18">
        <v>3.2132579903837503E-14</v>
      </c>
      <c r="L65" s="64">
        <v>58</v>
      </c>
      <c r="M65" s="68">
        <v>2.6572362797542141E-14</v>
      </c>
      <c r="N65" s="65">
        <v>7.9883671332840151E-15</v>
      </c>
    </row>
    <row r="66" spans="2:14">
      <c r="B66" s="68">
        <v>59</v>
      </c>
      <c r="C66" s="68">
        <v>5.4047329016025162E-14</v>
      </c>
      <c r="D66" s="68">
        <v>3.037019267608697E-14</v>
      </c>
      <c r="G66" s="68">
        <v>59</v>
      </c>
      <c r="H66" s="18">
        <v>4.3635637097533709E-14</v>
      </c>
      <c r="I66" s="18">
        <v>3.257321183393784E-14</v>
      </c>
      <c r="L66" s="64">
        <v>59</v>
      </c>
      <c r="M66" s="68">
        <v>2.6915090321944275E-14</v>
      </c>
      <c r="N66" s="65">
        <v>8.0979110802320376E-15</v>
      </c>
    </row>
    <row r="67" spans="2:14">
      <c r="B67" s="68">
        <v>60</v>
      </c>
      <c r="C67" s="68">
        <v>5.475349646042599E-14</v>
      </c>
      <c r="D67" s="68">
        <v>3.0779241811282112E-14</v>
      </c>
      <c r="G67" s="68">
        <v>60</v>
      </c>
      <c r="H67" s="18">
        <v>4.4206305422599418E-14</v>
      </c>
      <c r="I67" s="18">
        <v>3.3011932927126413E-14</v>
      </c>
      <c r="L67" s="64">
        <v>60</v>
      </c>
      <c r="M67" s="68">
        <v>2.7255819888090854E-14</v>
      </c>
      <c r="N67" s="65">
        <v>8.2069799807683268E-15</v>
      </c>
    </row>
    <row r="68" spans="2:14">
      <c r="B68" s="68">
        <v>61</v>
      </c>
      <c r="C68" s="68">
        <v>5.5456142358827694E-14</v>
      </c>
      <c r="D68" s="68">
        <v>3.1186546936524649E-14</v>
      </c>
      <c r="G68" s="68">
        <v>61</v>
      </c>
      <c r="H68" s="18">
        <v>4.4774129314986028E-14</v>
      </c>
      <c r="I68" s="18">
        <v>3.3448783501868408E-14</v>
      </c>
      <c r="L68" s="64">
        <v>61</v>
      </c>
      <c r="M68" s="68">
        <v>2.7594585978508823E-14</v>
      </c>
      <c r="N68" s="65">
        <v>8.3155838583240297E-15</v>
      </c>
    </row>
    <row r="69" spans="2:14">
      <c r="B69" s="68">
        <v>62</v>
      </c>
      <c r="C69" s="68">
        <v>5.6155333125483352E-14</v>
      </c>
      <c r="D69" s="68">
        <v>3.1592144652867912E-14</v>
      </c>
      <c r="G69" s="68">
        <v>62</v>
      </c>
      <c r="H69" s="18">
        <v>4.533916264914034E-14</v>
      </c>
      <c r="I69" s="18">
        <v>3.3883802814215841E-14</v>
      </c>
      <c r="L69" s="64">
        <v>62</v>
      </c>
      <c r="M69" s="68">
        <v>2.7931422308662516E-14</v>
      </c>
      <c r="N69" s="65">
        <v>8.4237324722075046E-15</v>
      </c>
    </row>
    <row r="70" spans="2:14">
      <c r="B70" s="68">
        <v>63</v>
      </c>
      <c r="C70" s="68">
        <v>5.6851133540743372E-14</v>
      </c>
      <c r="D70" s="68">
        <v>3.1996070597969115E-14</v>
      </c>
      <c r="G70" s="68">
        <v>63</v>
      </c>
      <c r="H70" s="18">
        <v>4.5901457940697351E-14</v>
      </c>
      <c r="I70" s="18">
        <v>3.431702908694097E-14</v>
      </c>
      <c r="L70" s="64">
        <v>63</v>
      </c>
      <c r="M70" s="68">
        <v>2.8266361820796097E-14</v>
      </c>
      <c r="N70" s="65">
        <v>8.5314353248470845E-15</v>
      </c>
    </row>
    <row r="71" spans="2:14">
      <c r="B71" s="68">
        <v>64</v>
      </c>
      <c r="C71" s="68">
        <v>5.7543606774137411E-14</v>
      </c>
      <c r="D71" s="68">
        <v>3.2398359472417802E-14</v>
      </c>
      <c r="G71" s="68">
        <v>64</v>
      </c>
      <c r="H71" s="18">
        <v>4.6461066372974303E-14</v>
      </c>
      <c r="I71" s="18">
        <v>3.4748499537774534E-14</v>
      </c>
      <c r="L71" s="64">
        <v>64</v>
      </c>
      <c r="M71" s="68">
        <v>2.8599436683493972E-14</v>
      </c>
      <c r="N71" s="65">
        <v>8.6387016688112815E-15</v>
      </c>
    </row>
    <row r="72" spans="2:14">
      <c r="B72" s="68">
        <v>65</v>
      </c>
      <c r="C72" s="68">
        <v>5.8232814411162464E-14</v>
      </c>
      <c r="D72" s="68">
        <v>3.2799045065273423E-14</v>
      </c>
      <c r="G72" s="68">
        <v>65</v>
      </c>
      <c r="H72" s="18">
        <v>4.7016514682586461E-14</v>
      </c>
      <c r="I72" s="18">
        <v>3.5178250406795848E-14</v>
      </c>
      <c r="L72" s="64">
        <v>65</v>
      </c>
      <c r="M72" s="68">
        <v>2.89306782956542E-14</v>
      </c>
      <c r="N72" s="65">
        <v>8.7455405136181409E-15</v>
      </c>
    </row>
    <row r="73" spans="2:14">
      <c r="B73" s="68">
        <v>66</v>
      </c>
      <c r="C73" s="68">
        <v>5.8696099238035326E-14</v>
      </c>
      <c r="D73" s="68">
        <v>3.3198160278849755E-14</v>
      </c>
      <c r="G73" s="68">
        <v>66</v>
      </c>
      <c r="H73" s="18">
        <v>4.7448970474025513E-14</v>
      </c>
      <c r="I73" s="18">
        <v>3.5606316983015023E-14</v>
      </c>
      <c r="L73" s="64">
        <v>66</v>
      </c>
      <c r="M73" s="68">
        <v>2.9037400049098851E-14</v>
      </c>
      <c r="N73" s="65">
        <v>8.8519606323437565E-15</v>
      </c>
    </row>
    <row r="74" spans="2:14">
      <c r="B74" s="68">
        <v>67</v>
      </c>
      <c r="C74" s="68">
        <v>5.8987784530873063E-14</v>
      </c>
      <c r="D74" s="68">
        <v>3.3595737152780138E-14</v>
      </c>
      <c r="G74" s="68">
        <v>67</v>
      </c>
      <c r="H74" s="18">
        <v>4.786705224541511E-14</v>
      </c>
      <c r="I74" s="18">
        <v>3.6032733630183881E-14</v>
      </c>
      <c r="L74" s="64">
        <v>67</v>
      </c>
      <c r="M74" s="68">
        <v>2.8973896596255026E-14</v>
      </c>
      <c r="N74" s="65">
        <v>8.9579705680390225E-15</v>
      </c>
    </row>
    <row r="75" spans="2:14">
      <c r="B75" s="68">
        <v>68</v>
      </c>
      <c r="C75" s="68">
        <v>5.9268740872442936E-14</v>
      </c>
      <c r="D75" s="68">
        <v>3.3991806887392862E-14</v>
      </c>
      <c r="G75" s="68">
        <v>68</v>
      </c>
      <c r="H75" s="18">
        <v>4.8276212432368791E-14</v>
      </c>
      <c r="I75" s="18">
        <v>3.645753381186696E-14</v>
      </c>
      <c r="L75" s="64">
        <v>68</v>
      </c>
      <c r="M75" s="68">
        <v>2.8901010646021643E-14</v>
      </c>
      <c r="N75" s="65">
        <v>9.0635786399624635E-15</v>
      </c>
    </row>
    <row r="76" spans="2:14">
      <c r="B76" s="68">
        <v>69</v>
      </c>
      <c r="C76" s="68">
        <v>5.954834921948642E-14</v>
      </c>
      <c r="D76" s="68">
        <v>3.4386399866424326E-14</v>
      </c>
      <c r="G76" s="68">
        <v>69</v>
      </c>
      <c r="H76" s="18">
        <v>4.8679083243155451E-14</v>
      </c>
      <c r="I76" s="18">
        <v>3.6880750115802263E-14</v>
      </c>
      <c r="L76" s="64">
        <v>69</v>
      </c>
      <c r="M76" s="68">
        <v>2.882809601080163E-14</v>
      </c>
      <c r="N76" s="65">
        <v>9.1687929496364581E-15</v>
      </c>
    </row>
    <row r="77" spans="2:14">
      <c r="B77" s="68">
        <v>70</v>
      </c>
      <c r="C77" s="68">
        <v>5.9829335819599592E-14</v>
      </c>
      <c r="D77" s="68">
        <v>3.4779545679093647E-14</v>
      </c>
      <c r="G77" s="68">
        <v>70</v>
      </c>
      <c r="H77" s="18">
        <v>4.9076865938927878E-14</v>
      </c>
      <c r="I77" s="18">
        <v>3.7302414277577121E-14</v>
      </c>
      <c r="L77" s="64">
        <v>70</v>
      </c>
      <c r="M77" s="68">
        <v>2.8757852503661653E-14</v>
      </c>
      <c r="N77" s="65">
        <v>9.2736213867332189E-15</v>
      </c>
    </row>
    <row r="78" spans="2:14">
      <c r="B78" s="68">
        <v>71</v>
      </c>
      <c r="C78" s="68">
        <v>6.0112086605488066E-14</v>
      </c>
      <c r="D78" s="68">
        <v>3.5171273141561886E-14</v>
      </c>
      <c r="G78" s="68">
        <v>71</v>
      </c>
      <c r="H78" s="18">
        <v>4.9470439964165772E-14</v>
      </c>
      <c r="I78" s="18">
        <v>3.7722557203644098E-14</v>
      </c>
      <c r="L78" s="64">
        <v>71</v>
      </c>
      <c r="M78" s="68">
        <v>2.8690640313415138E-14</v>
      </c>
      <c r="N78" s="65">
        <v>9.3780716347966911E-15</v>
      </c>
    </row>
    <row r="79" spans="2:14">
      <c r="B79" s="68">
        <v>72</v>
      </c>
      <c r="C79" s="68">
        <v>6.0396615001349177E-14</v>
      </c>
      <c r="D79" s="68">
        <v>3.5561610317796083E-14</v>
      </c>
      <c r="G79" s="68">
        <v>72</v>
      </c>
      <c r="H79" s="18">
        <v>4.9860377194102239E-14</v>
      </c>
      <c r="I79" s="18">
        <v>3.8141208993698389E-14</v>
      </c>
      <c r="L79" s="64">
        <v>72</v>
      </c>
      <c r="M79" s="68">
        <v>2.8626447792365533E-14</v>
      </c>
      <c r="N79" s="65">
        <v>9.4821511768057305E-15</v>
      </c>
    </row>
    <row r="80" spans="2:14">
      <c r="B80" s="68">
        <v>73</v>
      </c>
      <c r="C80" s="68">
        <v>6.0691167235145744E-14</v>
      </c>
      <c r="D80" s="68">
        <v>3.5950584539857885E-14</v>
      </c>
      <c r="G80" s="68">
        <v>73</v>
      </c>
      <c r="H80" s="18">
        <v>5.0246953821046001E-14</v>
      </c>
      <c r="I80" s="18">
        <v>3.8558398962438249E-14</v>
      </c>
      <c r="L80" s="64">
        <v>73</v>
      </c>
      <c r="M80" s="68">
        <v>2.8573496750454045E-14</v>
      </c>
      <c r="N80" s="65">
        <v>9.5858673005838669E-15</v>
      </c>
    </row>
    <row r="81" spans="2:14">
      <c r="B81" s="68">
        <v>74</v>
      </c>
      <c r="C81" s="68">
        <v>6.0993904112232609E-14</v>
      </c>
      <c r="D81" s="68">
        <v>3.6338222427634471E-14</v>
      </c>
      <c r="G81" s="68">
        <v>74</v>
      </c>
      <c r="H81" s="18">
        <v>5.0630498830176006E-14</v>
      </c>
      <c r="I81" s="18">
        <v>3.8974155660727131E-14</v>
      </c>
      <c r="L81" s="64">
        <v>74</v>
      </c>
      <c r="M81" s="68">
        <v>2.8529924211259052E-14</v>
      </c>
      <c r="N81" s="65">
        <v>9.6892271040603661E-15</v>
      </c>
    </row>
    <row r="82" spans="2:14">
      <c r="B82" s="68">
        <v>75</v>
      </c>
      <c r="C82" s="68">
        <v>6.1303359114272266E-14</v>
      </c>
      <c r="D82" s="68">
        <v>3.6724549908029347E-14</v>
      </c>
      <c r="G82" s="68">
        <v>75</v>
      </c>
      <c r="H82" s="18">
        <v>5.1011212510116398E-14</v>
      </c>
      <c r="I82" s="18">
        <v>3.9388506896176559E-14</v>
      </c>
      <c r="L82" s="64">
        <v>75</v>
      </c>
      <c r="M82" s="68">
        <v>2.8494240493767005E-14</v>
      </c>
      <c r="N82" s="65">
        <v>9.7922375003872593E-15</v>
      </c>
    </row>
    <row r="83" spans="2:14">
      <c r="B83" s="68">
        <v>76</v>
      </c>
      <c r="C83" s="68">
        <v>6.1618361372743384E-14</v>
      </c>
      <c r="D83" s="68">
        <v>3.7109592233628752E-14</v>
      </c>
      <c r="G83" s="68">
        <v>76</v>
      </c>
      <c r="H83" s="18">
        <v>5.1389167145310571E-14</v>
      </c>
      <c r="I83" s="18">
        <v>3.9801479753166587E-14</v>
      </c>
      <c r="L83" s="64">
        <v>76</v>
      </c>
      <c r="M83" s="68">
        <v>2.84652521692046E-14</v>
      </c>
      <c r="N83" s="65">
        <v>9.8949052229165526E-15</v>
      </c>
    </row>
    <row r="84" spans="2:14">
      <c r="B84" s="68">
        <v>77</v>
      </c>
      <c r="C84" s="68">
        <v>6.1937974605512463E-14</v>
      </c>
      <c r="D84" s="68">
        <v>3.7493374000859547E-14</v>
      </c>
      <c r="G84" s="68">
        <v>77</v>
      </c>
      <c r="H84" s="18">
        <v>5.176464633109249E-14</v>
      </c>
      <c r="I84" s="18">
        <v>4.0213100612320862E-14</v>
      </c>
      <c r="L84" s="64">
        <v>77</v>
      </c>
      <c r="M84" s="68">
        <v>2.8442000981388704E-14</v>
      </c>
      <c r="N84" s="65">
        <v>9.9972368300418622E-15</v>
      </c>
    </row>
    <row r="85" spans="2:14">
      <c r="B85" s="68">
        <v>78</v>
      </c>
      <c r="C85" s="68">
        <v>6.2261448707100542E-14</v>
      </c>
      <c r="D85" s="68">
        <v>3.7875919167653088E-14</v>
      </c>
      <c r="G85" s="68">
        <v>78</v>
      </c>
      <c r="H85" s="18">
        <v>5.2137617466428821E-14</v>
      </c>
      <c r="I85" s="18">
        <v>4.0623395169451755E-14</v>
      </c>
      <c r="L85" s="64">
        <v>78</v>
      </c>
      <c r="M85" s="68">
        <v>2.8423715421211997E-14</v>
      </c>
      <c r="N85" s="65">
        <v>1.0099238709908296E-14</v>
      </c>
    </row>
    <row r="86" spans="2:14">
      <c r="B86" s="68">
        <v>79</v>
      </c>
      <c r="C86" s="68">
        <v>6.2588181369386335E-14</v>
      </c>
      <c r="D86" s="68">
        <v>3.8257251070629243E-14</v>
      </c>
      <c r="G86" s="68">
        <v>79</v>
      </c>
      <c r="H86" s="18">
        <v>5.250825465006136E-14</v>
      </c>
      <c r="I86" s="18">
        <v>4.1032388453990949E-14</v>
      </c>
      <c r="L86" s="64">
        <v>79</v>
      </c>
      <c r="M86" s="68">
        <v>2.8409772331994787E-14</v>
      </c>
      <c r="N86" s="65">
        <v>1.0200917084994404E-14</v>
      </c>
    </row>
    <row r="87" spans="2:14">
      <c r="B87" s="68">
        <v>80</v>
      </c>
      <c r="C87" s="68">
        <v>6.2917687653351355E-14</v>
      </c>
      <c r="D87" s="68">
        <v>3.8637392441814338E-14</v>
      </c>
      <c r="G87" s="68">
        <v>80</v>
      </c>
      <c r="H87" s="18">
        <v>5.2876581666827659E-14</v>
      </c>
      <c r="I87" s="18">
        <v>4.1440104846920044E-14</v>
      </c>
      <c r="L87" s="64">
        <v>80</v>
      </c>
      <c r="M87" s="68">
        <v>2.8399666466294054E-14</v>
      </c>
      <c r="N87" s="65">
        <v>1.0302278016569863E-14</v>
      </c>
    </row>
    <row r="88" spans="2:14">
      <c r="B88" s="68">
        <v>81</v>
      </c>
      <c r="C88" s="68">
        <v>6.3249575863576663E-14</v>
      </c>
      <c r="D88" s="68">
        <v>3.9016365424905814E-14</v>
      </c>
      <c r="G88" s="68">
        <v>81</v>
      </c>
      <c r="H88" s="18">
        <v>5.3242816262887726E-14</v>
      </c>
      <c r="I88" s="18">
        <v>4.1846568098215043E-14</v>
      </c>
      <c r="L88" s="64">
        <v>81</v>
      </c>
      <c r="M88" s="68">
        <v>2.8392986345869915E-14</v>
      </c>
      <c r="N88" s="65">
        <v>1.0403327409032278E-14</v>
      </c>
    </row>
    <row r="89" spans="2:14">
      <c r="B89" s="68">
        <v>82</v>
      </c>
      <c r="C89" s="68">
        <v>6.3583528418930227E-14</v>
      </c>
      <c r="D89" s="68">
        <v>3.9394191591096612E-14</v>
      </c>
      <c r="G89" s="68">
        <v>82</v>
      </c>
      <c r="H89" s="18">
        <v>5.3607015799756228E-14</v>
      </c>
      <c r="I89" s="18">
        <v>4.2251801343818646E-14</v>
      </c>
      <c r="L89" s="64">
        <v>82</v>
      </c>
      <c r="M89" s="68">
        <v>2.8389395118235499E-14</v>
      </c>
      <c r="N89" s="65">
        <v>1.0504071014126596E-14</v>
      </c>
    </row>
    <row r="90" spans="2:14">
      <c r="B90" s="68">
        <v>83</v>
      </c>
      <c r="C90" s="68">
        <v>6.3919286683760471E-14</v>
      </c>
      <c r="D90" s="68">
        <v>3.9770891954471102E-14</v>
      </c>
      <c r="G90" s="68">
        <v>83</v>
      </c>
      <c r="H90" s="18">
        <v>5.396925440541236E-14</v>
      </c>
      <c r="I90" s="18">
        <v>4.2655827122152951E-14</v>
      </c>
      <c r="L90" s="64">
        <v>83</v>
      </c>
      <c r="M90" s="68">
        <v>2.8388615374096458E-14</v>
      </c>
      <c r="N90" s="65">
        <v>1.0604514435050286E-14</v>
      </c>
    </row>
    <row r="91" spans="2:14">
      <c r="B91" s="68">
        <v>84</v>
      </c>
      <c r="C91" s="68">
        <v>6.425663893863359E-14</v>
      </c>
      <c r="D91" s="68">
        <v>4.0146486986984747E-14</v>
      </c>
      <c r="G91" s="68">
        <v>84</v>
      </c>
      <c r="H91" s="18">
        <v>5.4329619149882985E-14</v>
      </c>
      <c r="I91" s="18">
        <v>4.3058667390185714E-14</v>
      </c>
      <c r="L91" s="64">
        <v>84</v>
      </c>
      <c r="M91" s="68">
        <v>2.8390417104705193E-14</v>
      </c>
      <c r="N91" s="65">
        <v>1.0704663130447506E-14</v>
      </c>
    </row>
    <row r="92" spans="2:14">
      <c r="B92" s="68">
        <v>85</v>
      </c>
      <c r="C92" s="68">
        <v>6.4595410839850782E-14</v>
      </c>
      <c r="D92" s="68">
        <v>4.0520996633038654E-14</v>
      </c>
      <c r="G92" s="68">
        <v>85</v>
      </c>
      <c r="H92" s="18">
        <v>5.468820702258835E-14</v>
      </c>
      <c r="I92" s="18">
        <v>4.3460343539062186E-14</v>
      </c>
      <c r="L92" s="64">
        <v>85</v>
      </c>
      <c r="M92" s="68">
        <v>2.8394608148357688E-14</v>
      </c>
      <c r="N92" s="65">
        <v>1.080452241829528E-14</v>
      </c>
    </row>
    <row r="93" spans="2:14">
      <c r="B93" s="68">
        <v>86</v>
      </c>
      <c r="C93" s="68">
        <v>6.493545785190007E-14</v>
      </c>
      <c r="D93" s="68">
        <v>4.0894440323660212E-14</v>
      </c>
      <c r="G93" s="68">
        <v>86</v>
      </c>
      <c r="H93" s="18">
        <v>5.5044953306959034E-14</v>
      </c>
      <c r="I93" s="18">
        <v>4.3860876409314322E-14</v>
      </c>
      <c r="L93" s="64">
        <v>86</v>
      </c>
      <c r="M93" s="68">
        <v>2.8401026610176513E-14</v>
      </c>
      <c r="N93" s="65">
        <v>1.0904097479684607E-14</v>
      </c>
    </row>
    <row r="94" spans="2:14">
      <c r="B94" s="68">
        <v>87</v>
      </c>
      <c r="C94" s="68">
        <v>6.5276659243940432E-14</v>
      </c>
      <c r="D94" s="68">
        <v>4.1266836990300702E-14</v>
      </c>
      <c r="G94" s="68">
        <v>87</v>
      </c>
      <c r="H94" s="18">
        <v>5.5399978543039528E-14</v>
      </c>
      <c r="I94" s="18">
        <v>4.4260286305659302E-14</v>
      </c>
      <c r="L94" s="64">
        <v>87</v>
      </c>
      <c r="M94" s="68">
        <v>2.84095348462684E-14</v>
      </c>
      <c r="N94" s="65">
        <v>1.1003393362499468E-14</v>
      </c>
    </row>
    <row r="95" spans="2:14">
      <c r="B95" s="68">
        <v>88</v>
      </c>
      <c r="C95" s="68">
        <v>6.5618913326186944E-14</v>
      </c>
      <c r="D95" s="68">
        <v>4.1638205078260001E-14</v>
      </c>
      <c r="G95" s="68">
        <v>88</v>
      </c>
      <c r="H95" s="18">
        <v>5.5753405541484754E-14</v>
      </c>
      <c r="I95" s="18">
        <v>4.4658593011398034E-14</v>
      </c>
      <c r="L95" s="64">
        <v>88</v>
      </c>
      <c r="M95" s="68">
        <v>2.8420014688116064E-14</v>
      </c>
      <c r="N95" s="65">
        <v>1.1102414984996388E-14</v>
      </c>
    </row>
    <row r="96" spans="2:14">
      <c r="B96" s="68">
        <v>89</v>
      </c>
      <c r="C96" s="68">
        <v>6.596213366926451E-14</v>
      </c>
      <c r="D96" s="68">
        <v>4.2008562559748968E-14</v>
      </c>
      <c r="G96" s="68">
        <v>89</v>
      </c>
      <c r="H96" s="18">
        <v>5.6105189362014424E-14</v>
      </c>
      <c r="I96" s="18">
        <v>4.5055815802425061E-14</v>
      </c>
      <c r="L96" s="64">
        <v>89</v>
      </c>
      <c r="M96" s="68">
        <v>2.8432363650261972E-14</v>
      </c>
      <c r="N96" s="65">
        <v>1.1201167139287387E-14</v>
      </c>
    </row>
    <row r="97" spans="2:14">
      <c r="B97" s="68">
        <v>90</v>
      </c>
      <c r="C97" s="68">
        <v>6.6306246102860688E-14</v>
      </c>
      <c r="D97" s="68">
        <v>4.2377926946598912E-14</v>
      </c>
      <c r="G97" s="68">
        <v>90</v>
      </c>
      <c r="H97" s="18">
        <v>5.6455465546853509E-14</v>
      </c>
      <c r="I97" s="18">
        <v>4.5451973460859978E-14</v>
      </c>
      <c r="L97" s="64">
        <v>90</v>
      </c>
      <c r="M97" s="68">
        <v>2.8446491917606995E-14</v>
      </c>
      <c r="N97" s="65">
        <v>1.1299654494728843E-14</v>
      </c>
    </row>
    <row r="98" spans="2:14">
      <c r="B98" s="68">
        <v>91</v>
      </c>
      <c r="C98" s="68">
        <v>6.6651186332232178E-14</v>
      </c>
      <c r="D98" s="68">
        <v>4.2746315302627991E-14</v>
      </c>
      <c r="G98" s="68">
        <v>91</v>
      </c>
      <c r="H98" s="18">
        <v>5.6804198903590226E-14</v>
      </c>
      <c r="I98" s="18">
        <v>4.5847084288310854E-14</v>
      </c>
      <c r="L98" s="64">
        <v>91</v>
      </c>
      <c r="M98" s="68">
        <v>2.8462319950868807E-14</v>
      </c>
      <c r="N98" s="65">
        <v>1.1397881601218861E-14</v>
      </c>
    </row>
    <row r="99" spans="2:14">
      <c r="B99" s="68">
        <v>92</v>
      </c>
      <c r="C99" s="68">
        <v>6.6996898044587272E-14</v>
      </c>
      <c r="D99" s="68">
        <v>4.3113744255673846E-14</v>
      </c>
      <c r="G99" s="68">
        <v>92</v>
      </c>
      <c r="H99" s="18">
        <v>5.7151532365939602E-14</v>
      </c>
      <c r="I99" s="18">
        <v>4.6241166118779726E-14</v>
      </c>
      <c r="L99" s="64">
        <v>92</v>
      </c>
      <c r="M99" s="68">
        <v>2.8479776582214675E-14</v>
      </c>
      <c r="N99" s="65">
        <v>1.149585289240566E-14</v>
      </c>
    </row>
    <row r="100" spans="2:14">
      <c r="B100" s="68">
        <v>93</v>
      </c>
      <c r="C100" s="68">
        <v>6.7343331403896171E-14</v>
      </c>
      <c r="D100" s="68">
        <v>4.3480230009301312E-14</v>
      </c>
      <c r="G100" s="68">
        <v>93</v>
      </c>
      <c r="H100" s="18">
        <v>5.7497436273630518E-14</v>
      </c>
      <c r="I100" s="18">
        <v>4.6634236331219546E-14</v>
      </c>
      <c r="L100" s="64">
        <v>93</v>
      </c>
      <c r="M100" s="68">
        <v>2.8498797499612023E-14</v>
      </c>
      <c r="N100" s="65">
        <v>1.1593572688809317E-14</v>
      </c>
    </row>
    <row r="101" spans="2:14">
      <c r="B101" s="68">
        <v>94</v>
      </c>
      <c r="C101" s="68">
        <v>6.769044185371055E-14</v>
      </c>
      <c r="D101" s="68">
        <v>4.3845788354194197E-14</v>
      </c>
      <c r="G101" s="68">
        <v>94</v>
      </c>
      <c r="H101" s="18">
        <v>5.7842057626923878E-14</v>
      </c>
      <c r="I101" s="18">
        <v>4.7026311861752326E-14</v>
      </c>
      <c r="L101" s="64">
        <v>94</v>
      </c>
      <c r="M101" s="68">
        <v>2.8519324039471258E-14</v>
      </c>
      <c r="N101" s="65">
        <v>1.1691045200859273E-14</v>
      </c>
    </row>
    <row r="102" spans="2:14">
      <c r="B102" s="68">
        <v>95</v>
      </c>
      <c r="C102" s="68">
        <v>6.803818916424465E-14</v>
      </c>
      <c r="D102" s="68">
        <v>4.4210434679239645E-14</v>
      </c>
      <c r="G102" s="68">
        <v>95</v>
      </c>
      <c r="H102" s="18">
        <v>5.8185369678397681E-14</v>
      </c>
      <c r="I102" s="18">
        <v>4.741740921555755E-14</v>
      </c>
      <c r="L102" s="64">
        <v>95</v>
      </c>
      <c r="M102" s="68">
        <v>2.8541302223823874E-14</v>
      </c>
      <c r="N102" s="65">
        <v>1.1788274531849867E-14</v>
      </c>
    </row>
    <row r="103" spans="2:14">
      <c r="B103" s="68">
        <v>96</v>
      </c>
      <c r="C103" s="68">
        <v>6.838653667318222E-14</v>
      </c>
      <c r="D103" s="68">
        <v>4.4574183982313237E-14</v>
      </c>
      <c r="G103" s="68">
        <v>96</v>
      </c>
      <c r="H103" s="18">
        <v>5.8527352196454829E-14</v>
      </c>
      <c r="I103" s="18">
        <v>4.780754447843959E-14</v>
      </c>
      <c r="L103" s="64">
        <v>96</v>
      </c>
      <c r="M103" s="68">
        <v>2.8564681991494246E-14</v>
      </c>
      <c r="N103" s="65">
        <v>1.1885264680816082E-14</v>
      </c>
    </row>
    <row r="104" spans="2:14">
      <c r="B104" s="68">
        <v>97</v>
      </c>
      <c r="C104" s="68">
        <v>6.8735450680148985E-14</v>
      </c>
      <c r="D104" s="68">
        <v>4.4937050880773232E-14</v>
      </c>
      <c r="G104" s="68">
        <v>97</v>
      </c>
      <c r="H104" s="18">
        <v>5.8868159337335353E-14</v>
      </c>
      <c r="I104" s="18">
        <v>4.8196733328083212E-14</v>
      </c>
      <c r="L104" s="64">
        <v>97</v>
      </c>
      <c r="M104" s="68">
        <v>2.8589416583196757E-14</v>
      </c>
      <c r="N104" s="65">
        <v>1.1982019545331721E-14</v>
      </c>
    </row>
    <row r="105" spans="2:14">
      <c r="B105" s="68">
        <v>98</v>
      </c>
      <c r="C105" s="68">
        <v>6.9084899963092438E-14</v>
      </c>
      <c r="D105" s="68">
        <v>4.5299049621671417E-14</v>
      </c>
      <c r="G105" s="68">
        <v>98</v>
      </c>
      <c r="H105" s="18">
        <v>5.9207769716085532E-14</v>
      </c>
      <c r="I105" s="18">
        <v>4.8584991045005093E-14</v>
      </c>
      <c r="L105" s="64">
        <v>98</v>
      </c>
      <c r="M105" s="68">
        <v>2.8615462048793362E-14</v>
      </c>
      <c r="N105" s="65">
        <v>1.2078542924232033E-14</v>
      </c>
    </row>
    <row r="106" spans="2:14">
      <c r="B106" s="68">
        <v>99</v>
      </c>
      <c r="C106" s="68">
        <v>6.9434855391393317E-14</v>
      </c>
      <c r="D106" s="68">
        <v>4.5660194091688585E-14</v>
      </c>
      <c r="G106" s="68">
        <v>99</v>
      </c>
      <c r="H106" s="18">
        <v>5.9546167049689236E-14</v>
      </c>
      <c r="I106" s="18">
        <v>4.8972332523210041E-14</v>
      </c>
      <c r="L106" s="64">
        <v>99</v>
      </c>
      <c r="M106" s="68">
        <v>2.8642776851528884E-14</v>
      </c>
      <c r="N106" s="65">
        <v>1.2174838520262918E-14</v>
      </c>
    </row>
    <row r="107" spans="2:14" ht="15" thickBot="1">
      <c r="B107" s="68">
        <v>100</v>
      </c>
      <c r="C107" s="68">
        <v>6.9785289615748706E-14</v>
      </c>
      <c r="D107" s="68">
        <v>4.6020497826801841E-14</v>
      </c>
      <c r="G107" s="68">
        <v>100</v>
      </c>
      <c r="H107" s="18">
        <v>5.9885200710068018E-14</v>
      </c>
      <c r="I107" s="18">
        <v>4.9358772280559489E-14</v>
      </c>
      <c r="L107" s="66">
        <v>100</v>
      </c>
      <c r="M107" s="69">
        <v>2.867132154927752E-14</v>
      </c>
      <c r="N107" s="67">
        <v>1.2270909942658601E-14</v>
      </c>
    </row>
    <row r="108" spans="2:14">
      <c r="B108"/>
      <c r="C108"/>
    </row>
    <row r="109" spans="2:14">
      <c r="B109"/>
      <c r="C109"/>
    </row>
  </sheetData>
  <mergeCells count="5">
    <mergeCell ref="L3:N3"/>
    <mergeCell ref="M5:N5"/>
    <mergeCell ref="B3:D3"/>
    <mergeCell ref="C5:D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37A71-87B2-43BA-86ED-21D0DFCBDE42}">
  <dimension ref="B1:Q223"/>
  <sheetViews>
    <sheetView zoomScale="81" zoomScaleNormal="81" workbookViewId="0">
      <selection activeCell="N6" sqref="N6"/>
    </sheetView>
  </sheetViews>
  <sheetFormatPr defaultColWidth="8.81640625" defaultRowHeight="14.5"/>
  <cols>
    <col min="1" max="1" width="1.6328125" customWidth="1"/>
    <col min="2" max="2" width="5.1796875" customWidth="1"/>
    <col min="3" max="4" width="15.81640625" customWidth="1"/>
    <col min="5" max="5" width="16.453125" customWidth="1"/>
    <col min="6" max="6" width="15.81640625" customWidth="1"/>
    <col min="7" max="8" width="15.6328125" customWidth="1"/>
    <col min="9" max="9" width="16.453125" customWidth="1"/>
    <col min="10" max="11" width="15.6328125" customWidth="1"/>
    <col min="12" max="12" width="22.90625" customWidth="1"/>
    <col min="13" max="13" width="8.81640625" customWidth="1"/>
    <col min="14" max="14" width="7.81640625" customWidth="1"/>
    <col min="15" max="16" width="5.1796875" customWidth="1"/>
    <col min="17" max="17" width="29.1796875" customWidth="1"/>
    <col min="18" max="200" width="5.1796875" customWidth="1"/>
    <col min="201" max="201" width="14.81640625" customWidth="1"/>
    <col min="202" max="210" width="15.81640625" customWidth="1"/>
    <col min="211" max="215" width="13.81640625" customWidth="1"/>
    <col min="216" max="218" width="15.81640625" customWidth="1"/>
    <col min="219" max="219" width="13.81640625" customWidth="1"/>
    <col min="220" max="223" width="15.81640625" customWidth="1"/>
    <col min="224" max="224" width="14.81640625" customWidth="1"/>
    <col min="225" max="237" width="15.81640625" customWidth="1"/>
    <col min="238" max="238" width="14.81640625" customWidth="1"/>
    <col min="239" max="241" width="15.81640625" customWidth="1"/>
    <col min="242" max="242" width="14.81640625" customWidth="1"/>
    <col min="243" max="249" width="15.81640625" customWidth="1"/>
    <col min="250" max="251" width="14.81640625" customWidth="1"/>
    <col min="252" max="257" width="15.81640625" customWidth="1"/>
    <col min="258" max="258" width="13.81640625" customWidth="1"/>
    <col min="259" max="259" width="14.81640625" customWidth="1"/>
    <col min="260" max="264" width="15.81640625" customWidth="1"/>
    <col min="265" max="265" width="14.81640625" customWidth="1"/>
    <col min="266" max="271" width="15.81640625" customWidth="1"/>
    <col min="272" max="272" width="14.81640625" customWidth="1"/>
    <col min="273" max="280" width="15.81640625" customWidth="1"/>
    <col min="281" max="281" width="13.81640625" customWidth="1"/>
    <col min="282" max="283" width="15.81640625" customWidth="1"/>
    <col min="284" max="284" width="14.81640625" customWidth="1"/>
    <col min="285" max="286" width="15.81640625" customWidth="1"/>
    <col min="287" max="287" width="14.81640625" customWidth="1"/>
    <col min="288" max="290" width="15.81640625" customWidth="1"/>
    <col min="291" max="291" width="14.81640625" customWidth="1"/>
    <col min="292" max="305" width="15.81640625" customWidth="1"/>
    <col min="306" max="306" width="14.81640625" customWidth="1"/>
    <col min="307" max="313" width="15.81640625" customWidth="1"/>
    <col min="314" max="315" width="14.81640625" customWidth="1"/>
    <col min="316" max="319" width="15.81640625" customWidth="1"/>
    <col min="320" max="321" width="14.81640625" customWidth="1"/>
    <col min="322" max="327" width="15.81640625" customWidth="1"/>
    <col min="328" max="328" width="14.81640625" customWidth="1"/>
    <col min="329" max="359" width="15.81640625" customWidth="1"/>
    <col min="360" max="361" width="14.81640625" customWidth="1"/>
    <col min="362" max="364" width="15.81640625" customWidth="1"/>
    <col min="365" max="365" width="14.81640625" customWidth="1"/>
    <col min="366" max="371" width="15.81640625" customWidth="1"/>
    <col min="372" max="372" width="13.81640625" customWidth="1"/>
    <col min="373" max="374" width="15.81640625" customWidth="1"/>
    <col min="375" max="375" width="14.81640625" customWidth="1"/>
    <col min="376" max="378" width="15.81640625" customWidth="1"/>
    <col min="379" max="379" width="14.81640625" customWidth="1"/>
    <col min="380" max="392" width="15.81640625" customWidth="1"/>
    <col min="393" max="393" width="14.81640625" customWidth="1"/>
    <col min="394" max="394" width="15.81640625" customWidth="1"/>
    <col min="395" max="395" width="14.81640625" customWidth="1"/>
    <col min="396" max="399" width="15.81640625" customWidth="1"/>
    <col min="400" max="400" width="14.81640625" customWidth="1"/>
    <col min="401" max="407" width="15.81640625" customWidth="1"/>
    <col min="408" max="408" width="14.81640625" customWidth="1"/>
    <col min="409" max="416" width="15.81640625" customWidth="1"/>
    <col min="417" max="417" width="14.81640625" customWidth="1"/>
    <col min="418" max="440" width="15.81640625" customWidth="1"/>
    <col min="441" max="442" width="12.453125" customWidth="1"/>
    <col min="443" max="449" width="11.81640625" customWidth="1"/>
    <col min="450" max="461" width="16.453125" customWidth="1"/>
    <col min="462" max="462" width="15.453125" customWidth="1"/>
    <col min="463" max="468" width="16.453125" customWidth="1"/>
    <col min="469" max="470" width="15.453125" customWidth="1"/>
    <col min="471" max="477" width="16.453125" customWidth="1"/>
    <col min="478" max="478" width="15.453125" customWidth="1"/>
    <col min="479" max="485" width="16.453125" customWidth="1"/>
    <col min="486" max="486" width="15.453125" customWidth="1"/>
    <col min="487" max="494" width="16.453125" customWidth="1"/>
    <col min="495" max="495" width="15.453125" customWidth="1"/>
    <col min="496" max="496" width="16.453125" customWidth="1"/>
    <col min="497" max="497" width="15.453125" customWidth="1"/>
    <col min="498" max="498" width="16.453125" customWidth="1"/>
    <col min="499" max="499" width="15.453125" customWidth="1"/>
    <col min="500" max="510" width="16.453125" customWidth="1"/>
    <col min="511" max="511" width="15.453125" customWidth="1"/>
    <col min="512" max="523" width="16.453125" customWidth="1"/>
    <col min="524" max="524" width="15.453125" customWidth="1"/>
    <col min="525" max="528" width="16.453125" customWidth="1"/>
    <col min="529" max="529" width="15.453125" customWidth="1"/>
    <col min="530" max="532" width="16.453125" customWidth="1"/>
    <col min="533" max="533" width="15.453125" customWidth="1"/>
    <col min="534" max="544" width="16.453125" customWidth="1"/>
    <col min="545" max="545" width="15.453125" customWidth="1"/>
    <col min="546" max="549" width="16.453125" customWidth="1"/>
    <col min="550" max="550" width="14.453125" customWidth="1"/>
    <col min="551" max="552" width="16.453125" customWidth="1"/>
    <col min="553" max="553" width="15.453125" customWidth="1"/>
    <col min="554" max="554" width="14.453125" customWidth="1"/>
    <col min="555" max="560" width="16.453125" customWidth="1"/>
    <col min="561" max="584" width="15.81640625" customWidth="1"/>
    <col min="585" max="585" width="14.81640625" customWidth="1"/>
    <col min="586" max="587" width="15.81640625" customWidth="1"/>
    <col min="588" max="589" width="14.81640625" customWidth="1"/>
    <col min="590" max="590" width="15.81640625" customWidth="1"/>
    <col min="591" max="591" width="14.81640625" customWidth="1"/>
    <col min="592" max="602" width="15.81640625" customWidth="1"/>
    <col min="603" max="603" width="14.81640625" customWidth="1"/>
    <col min="604" max="604" width="15.81640625" customWidth="1"/>
    <col min="605" max="605" width="14.81640625" customWidth="1"/>
    <col min="606" max="634" width="15.81640625" customWidth="1"/>
    <col min="635" max="635" width="14.81640625" customWidth="1"/>
    <col min="636" max="640" width="15.81640625" customWidth="1"/>
    <col min="641" max="641" width="14.81640625" customWidth="1"/>
    <col min="642" max="652" width="15.81640625" customWidth="1"/>
    <col min="653" max="653" width="14.81640625" customWidth="1"/>
    <col min="654" max="654" width="15.81640625" customWidth="1"/>
    <col min="655" max="656" width="14.81640625" customWidth="1"/>
    <col min="657" max="660" width="15.81640625" customWidth="1"/>
    <col min="661" max="661" width="14.81640625" customWidth="1"/>
    <col min="662" max="675" width="15.81640625" customWidth="1"/>
    <col min="676" max="676" width="14.81640625" customWidth="1"/>
    <col min="677" max="680" width="15.81640625" customWidth="1"/>
    <col min="681" max="681" width="2.1796875" customWidth="1"/>
    <col min="682" max="682" width="15.453125" customWidth="1"/>
    <col min="683" max="683" width="15.6328125" customWidth="1"/>
    <col min="684" max="687" width="14.6328125" customWidth="1"/>
    <col min="688" max="688" width="13.6328125" customWidth="1"/>
    <col min="689" max="697" width="14.6328125" customWidth="1"/>
    <col min="698" max="704" width="13.6328125" customWidth="1"/>
    <col min="705" max="705" width="12.6328125" customWidth="1"/>
    <col min="706" max="708" width="13.6328125" customWidth="1"/>
    <col min="709" max="709" width="12.6328125" customWidth="1"/>
    <col min="710" max="720" width="13.6328125" customWidth="1"/>
    <col min="721" max="725" width="12.6328125" customWidth="1"/>
    <col min="726" max="726" width="11.6328125" customWidth="1"/>
    <col min="727" max="736" width="12.6328125" customWidth="1"/>
    <col min="737" max="737" width="11.6328125" customWidth="1"/>
    <col min="738" max="741" width="12.6328125" customWidth="1"/>
    <col min="742" max="742" width="11.6328125" customWidth="1"/>
    <col min="743" max="743" width="10.6328125" customWidth="1"/>
    <col min="744" max="756" width="12.6328125" customWidth="1"/>
    <col min="757" max="760" width="11.6328125" customWidth="1"/>
    <col min="761" max="761" width="10.6328125" customWidth="1"/>
    <col min="762" max="778" width="11.6328125" customWidth="1"/>
    <col min="779" max="779" width="10.6328125" customWidth="1"/>
    <col min="780" max="786" width="11.6328125" customWidth="1"/>
    <col min="787" max="787" width="10.6328125" customWidth="1"/>
    <col min="788" max="788" width="11.6328125" customWidth="1"/>
    <col min="789" max="789" width="10.6328125" customWidth="1"/>
    <col min="790" max="815" width="11.6328125" customWidth="1"/>
    <col min="816" max="816" width="10.6328125" customWidth="1"/>
    <col min="817" max="823" width="11.6328125" customWidth="1"/>
    <col min="824" max="824" width="10.6328125" customWidth="1"/>
    <col min="825" max="827" width="11.6328125" customWidth="1"/>
    <col min="828" max="828" width="10.6328125" customWidth="1"/>
    <col min="829" max="833" width="11.6328125" customWidth="1"/>
    <col min="834" max="834" width="10.6328125" customWidth="1"/>
    <col min="835" max="837" width="11.6328125" customWidth="1"/>
    <col min="838" max="838" width="9.6328125" customWidth="1"/>
    <col min="839" max="841" width="11.6328125" customWidth="1"/>
    <col min="842" max="842" width="10.6328125" customWidth="1"/>
    <col min="843" max="847" width="11.6328125" customWidth="1"/>
    <col min="848" max="848" width="10.6328125" customWidth="1"/>
    <col min="849" max="857" width="11.6328125" customWidth="1"/>
    <col min="858" max="858" width="10.6328125" customWidth="1"/>
    <col min="859" max="866" width="11.6328125" customWidth="1"/>
    <col min="867" max="868" width="10.6328125" customWidth="1"/>
    <col min="869" max="887" width="11.6328125" customWidth="1"/>
    <col min="888" max="888" width="10.6328125" customWidth="1"/>
    <col min="889" max="899" width="11.6328125" customWidth="1"/>
    <col min="900" max="900" width="2.1796875" customWidth="1"/>
    <col min="901" max="909" width="16.36328125" customWidth="1"/>
    <col min="910" max="910" width="15.36328125" customWidth="1"/>
    <col min="911" max="912" width="16.36328125" customWidth="1"/>
    <col min="913" max="913" width="16.453125" customWidth="1"/>
    <col min="914" max="914" width="15.453125" customWidth="1"/>
    <col min="915" max="918" width="16.453125" customWidth="1"/>
    <col min="919" max="919" width="14.453125" customWidth="1"/>
    <col min="920" max="931" width="16.453125" customWidth="1"/>
    <col min="932" max="933" width="15.453125" customWidth="1"/>
    <col min="934" max="936" width="14.453125" customWidth="1"/>
    <col min="937" max="957" width="15.453125" customWidth="1"/>
    <col min="958" max="958" width="13.453125" customWidth="1"/>
    <col min="959" max="959" width="14.453125" customWidth="1"/>
    <col min="960" max="960" width="13.453125" customWidth="1"/>
    <col min="961" max="969" width="14.453125" customWidth="1"/>
    <col min="970" max="972" width="13.453125" customWidth="1"/>
    <col min="973" max="980" width="14.453125" customWidth="1"/>
    <col min="981" max="982" width="13.453125" customWidth="1"/>
    <col min="983" max="995" width="14.453125" customWidth="1"/>
    <col min="996" max="1014" width="13.453125" customWidth="1"/>
    <col min="1015" max="1015" width="12.453125" customWidth="1"/>
    <col min="1016" max="1027" width="13.453125" customWidth="1"/>
    <col min="1028" max="1028" width="11.453125" customWidth="1"/>
    <col min="1029" max="1034" width="13.453125" customWidth="1"/>
    <col min="1035" max="1035" width="11.453125" customWidth="1"/>
    <col min="1036" max="1040" width="13.453125" customWidth="1"/>
    <col min="1041" max="1041" width="12.453125" customWidth="1"/>
    <col min="1042" max="1045" width="13.453125" customWidth="1"/>
    <col min="1046" max="1046" width="12.453125" customWidth="1"/>
    <col min="1047" max="1052" width="13.453125" customWidth="1"/>
    <col min="1053" max="1053" width="12.453125" customWidth="1"/>
    <col min="1054" max="1059" width="13.453125" customWidth="1"/>
    <col min="1060" max="1060" width="12.453125" customWidth="1"/>
    <col min="1061" max="1070" width="13.453125" customWidth="1"/>
    <col min="1071" max="1072" width="12.453125" customWidth="1"/>
    <col min="1073" max="1081" width="13.453125" customWidth="1"/>
    <col min="1082" max="1082" width="12.453125" customWidth="1"/>
    <col min="1083" max="1089" width="13.453125" customWidth="1"/>
    <col min="1090" max="1090" width="12.453125" customWidth="1"/>
    <col min="1091" max="1118" width="13.453125" customWidth="1"/>
    <col min="1119" max="1119" width="2.1796875" customWidth="1"/>
    <col min="1120" max="1120" width="15.453125" customWidth="1"/>
    <col min="1121" max="1124" width="15.6328125" customWidth="1"/>
    <col min="1125" max="1132" width="14.6328125" customWidth="1"/>
    <col min="1133" max="1133" width="13.6328125" customWidth="1"/>
    <col min="1134" max="1136" width="14.6328125" customWidth="1"/>
    <col min="1137" max="1144" width="13.6328125" customWidth="1"/>
    <col min="1145" max="1145" width="12.6328125" customWidth="1"/>
    <col min="1146" max="1147" width="13.6328125" customWidth="1"/>
    <col min="1148" max="1148" width="12.6328125" customWidth="1"/>
    <col min="1149" max="1157" width="13.6328125" customWidth="1"/>
    <col min="1158" max="1158" width="12.6328125" customWidth="1"/>
    <col min="1159" max="1159" width="13.6328125" customWidth="1"/>
    <col min="1160" max="1165" width="12.6328125" customWidth="1"/>
    <col min="1166" max="1166" width="11.6328125" customWidth="1"/>
    <col min="1167" max="1170" width="12.6328125" customWidth="1"/>
    <col min="1171" max="1171" width="11.6328125" customWidth="1"/>
    <col min="1172" max="1173" width="12.6328125" customWidth="1"/>
    <col min="1174" max="1174" width="11.6328125" customWidth="1"/>
    <col min="1175" max="1178" width="12.6328125" customWidth="1"/>
    <col min="1179" max="1179" width="11.6328125" customWidth="1"/>
    <col min="1180" max="1180" width="12.6328125" customWidth="1"/>
    <col min="1181" max="1181" width="9.6328125" customWidth="1"/>
    <col min="1182" max="1183" width="12.6328125" customWidth="1"/>
    <col min="1184" max="1185" width="11.6328125" customWidth="1"/>
    <col min="1186" max="1187" width="12.6328125" customWidth="1"/>
    <col min="1188" max="1188" width="11.6328125" customWidth="1"/>
    <col min="1189" max="1191" width="12.6328125" customWidth="1"/>
    <col min="1192" max="1192" width="10.6328125" customWidth="1"/>
    <col min="1193" max="1193" width="11.6328125" customWidth="1"/>
    <col min="1194" max="1195" width="12.6328125" customWidth="1"/>
    <col min="1196" max="1197" width="10.6328125" customWidth="1"/>
    <col min="1198" max="1201" width="11.6328125" customWidth="1"/>
    <col min="1202" max="1202" width="10.6328125" customWidth="1"/>
    <col min="1203" max="1209" width="11.6328125" customWidth="1"/>
    <col min="1210" max="1211" width="10.6328125" customWidth="1"/>
    <col min="1212" max="1215" width="11.6328125" customWidth="1"/>
    <col min="1216" max="1217" width="10.6328125" customWidth="1"/>
    <col min="1218" max="1220" width="11.6328125" customWidth="1"/>
    <col min="1221" max="1221" width="9.6328125" customWidth="1"/>
    <col min="1222" max="1223" width="11.6328125" customWidth="1"/>
    <col min="1224" max="1224" width="10.6328125" customWidth="1"/>
    <col min="1225" max="1253" width="11.6328125" customWidth="1"/>
    <col min="1254" max="1254" width="10.6328125" customWidth="1"/>
    <col min="1255" max="1259" width="11.6328125" customWidth="1"/>
    <col min="1260" max="1260" width="10.6328125" customWidth="1"/>
    <col min="1261" max="1267" width="11.6328125" customWidth="1"/>
    <col min="1268" max="1268" width="10.6328125" customWidth="1"/>
    <col min="1269" max="1280" width="11.6328125" customWidth="1"/>
    <col min="1281" max="1281" width="10.6328125" customWidth="1"/>
    <col min="1282" max="1295" width="11.6328125" customWidth="1"/>
    <col min="1296" max="1296" width="10.6328125" customWidth="1"/>
    <col min="1297" max="1301" width="11.6328125" customWidth="1"/>
    <col min="1302" max="1302" width="10.6328125" customWidth="1"/>
    <col min="1303" max="1303" width="11.6328125" customWidth="1"/>
    <col min="1304" max="1304" width="10.6328125" customWidth="1"/>
    <col min="1305" max="1321" width="11.6328125" customWidth="1"/>
    <col min="1322" max="1322" width="10.6328125" customWidth="1"/>
    <col min="1323" max="1323" width="11.6328125" customWidth="1"/>
    <col min="1324" max="1324" width="9.6328125" customWidth="1"/>
    <col min="1325" max="1326" width="11.6328125" customWidth="1"/>
    <col min="1327" max="1327" width="10.6328125" customWidth="1"/>
    <col min="1328" max="1333" width="11.6328125" customWidth="1"/>
    <col min="1334" max="1334" width="10.6328125" customWidth="1"/>
    <col min="1335" max="1335" width="11.6328125" customWidth="1"/>
    <col min="1336" max="1336" width="10.6328125" customWidth="1"/>
    <col min="1337" max="1337" width="11.6328125" customWidth="1"/>
  </cols>
  <sheetData>
    <row r="1" spans="2:17" ht="17.5">
      <c r="C1" s="105" t="s">
        <v>379</v>
      </c>
    </row>
    <row r="2" spans="2:17" ht="10" customHeight="1"/>
    <row r="3" spans="2:17" ht="20.5" customHeight="1">
      <c r="B3" s="172" t="s">
        <v>248</v>
      </c>
      <c r="C3" s="71" t="s">
        <v>249</v>
      </c>
      <c r="D3" s="172" t="s">
        <v>256</v>
      </c>
      <c r="E3" s="172"/>
      <c r="F3" s="172"/>
      <c r="G3" s="172" t="s">
        <v>250</v>
      </c>
      <c r="H3" s="172"/>
      <c r="I3" s="172"/>
      <c r="J3" s="172"/>
      <c r="K3" s="77"/>
      <c r="Q3" s="195"/>
    </row>
    <row r="4" spans="2:17" ht="91.5" customHeight="1">
      <c r="B4" s="172"/>
      <c r="C4" s="77" t="s">
        <v>251</v>
      </c>
      <c r="D4" s="71" t="s">
        <v>252</v>
      </c>
      <c r="E4" s="71" t="s">
        <v>253</v>
      </c>
      <c r="F4" s="71" t="s">
        <v>254</v>
      </c>
      <c r="G4" s="71" t="s">
        <v>252</v>
      </c>
      <c r="H4" s="71" t="s">
        <v>382</v>
      </c>
      <c r="I4" s="71" t="s">
        <v>465</v>
      </c>
      <c r="J4" s="71" t="s">
        <v>254</v>
      </c>
      <c r="K4" s="71" t="s">
        <v>383</v>
      </c>
      <c r="L4" t="s">
        <v>255</v>
      </c>
    </row>
    <row r="5" spans="2:17">
      <c r="B5">
        <v>1931</v>
      </c>
      <c r="C5">
        <v>58748225695.741997</v>
      </c>
      <c r="D5" s="5">
        <v>44296162174.589462</v>
      </c>
      <c r="E5">
        <v>-2338153569.2109299</v>
      </c>
      <c r="F5">
        <f>D5+E5</f>
        <v>41958008605.378532</v>
      </c>
      <c r="G5">
        <v>0</v>
      </c>
      <c r="H5">
        <v>0</v>
      </c>
      <c r="I5">
        <v>0</v>
      </c>
      <c r="J5">
        <v>0</v>
      </c>
      <c r="K5">
        <f>H5+I5</f>
        <v>0</v>
      </c>
      <c r="L5">
        <f>C5*0.387</f>
        <v>22735563344.252151</v>
      </c>
    </row>
    <row r="6" spans="2:17">
      <c r="B6">
        <v>1932</v>
      </c>
      <c r="C6">
        <v>46232000009.507996</v>
      </c>
      <c r="D6" s="5">
        <v>34858928007.169037</v>
      </c>
      <c r="E6">
        <v>-2808508205.7221699</v>
      </c>
      <c r="F6">
        <f t="shared" ref="F6:F69" si="0">D6+E6</f>
        <v>32050419801.446869</v>
      </c>
      <c r="G6">
        <v>7.4965951308983355E-5</v>
      </c>
      <c r="H6">
        <v>7.4965951308983355E-5</v>
      </c>
      <c r="I6">
        <v>-3.9570449902981178E-6</v>
      </c>
      <c r="J6">
        <f t="shared" ref="J6:J37" si="1">G6+I6</f>
        <v>7.100890631868523E-5</v>
      </c>
      <c r="K6">
        <f t="shared" ref="K6:K69" si="2">H6+I6</f>
        <v>7.100890631868523E-5</v>
      </c>
      <c r="L6">
        <f>L5+C6*0.387</f>
        <v>40627347347.931747</v>
      </c>
    </row>
    <row r="7" spans="2:17">
      <c r="B7">
        <v>1933</v>
      </c>
      <c r="C7">
        <v>44985000007.996994</v>
      </c>
      <c r="D7" s="5">
        <v>33918690006.029736</v>
      </c>
      <c r="E7">
        <v>-3295693981.79215</v>
      </c>
      <c r="F7">
        <f t="shared" si="0"/>
        <v>30622996024.237587</v>
      </c>
      <c r="G7">
        <v>2.0433271003574878E-4</v>
      </c>
      <c r="H7">
        <v>2.0433271003574878E-4</v>
      </c>
      <c r="I7">
        <v>-1.2424674536600443E-5</v>
      </c>
      <c r="J7">
        <f t="shared" si="1"/>
        <v>1.9190803549914835E-4</v>
      </c>
      <c r="K7">
        <f t="shared" si="2"/>
        <v>1.9190803549914835E-4</v>
      </c>
      <c r="L7">
        <f>L6+C7*0.387</f>
        <v>58036542351.026581</v>
      </c>
    </row>
    <row r="8" spans="2:17">
      <c r="B8">
        <v>1934</v>
      </c>
      <c r="C8">
        <v>53310000008.584</v>
      </c>
      <c r="D8" s="5">
        <v>40195740006.472336</v>
      </c>
      <c r="E8">
        <v>-4074646708.6641302</v>
      </c>
      <c r="F8">
        <f t="shared" si="0"/>
        <v>36121093297.808205</v>
      </c>
      <c r="G8">
        <v>3.8373214478749072E-4</v>
      </c>
      <c r="H8">
        <v>3.8373214478749072E-4</v>
      </c>
      <c r="I8">
        <v>-2.5980377019377651E-5</v>
      </c>
      <c r="J8">
        <f t="shared" si="1"/>
        <v>3.5775176776811309E-4</v>
      </c>
      <c r="K8">
        <f t="shared" si="2"/>
        <v>3.5775176776811309E-4</v>
      </c>
      <c r="L8">
        <f t="shared" ref="L6:L37" si="3">L7+C8*0.387</f>
        <v>78667512354.348587</v>
      </c>
    </row>
    <row r="9" spans="2:17">
      <c r="B9">
        <v>1935</v>
      </c>
      <c r="C9">
        <v>61651079009.729538</v>
      </c>
      <c r="D9" s="5">
        <v>46484913573.336075</v>
      </c>
      <c r="E9">
        <v>-4946572542.1052904</v>
      </c>
      <c r="F9">
        <f t="shared" si="0"/>
        <v>41538341031.230782</v>
      </c>
      <c r="G9">
        <v>6.2159671736217485E-4</v>
      </c>
      <c r="H9">
        <v>6.2159671736217485E-4</v>
      </c>
      <c r="I9">
        <v>-4.5689018712393413E-5</v>
      </c>
      <c r="J9">
        <f t="shared" si="1"/>
        <v>5.7590769864978143E-4</v>
      </c>
      <c r="K9">
        <f t="shared" si="2"/>
        <v>5.7590769864978143E-4</v>
      </c>
      <c r="L9">
        <f t="shared" si="3"/>
        <v>102526479931.11392</v>
      </c>
    </row>
    <row r="10" spans="2:17">
      <c r="B10">
        <v>1936</v>
      </c>
      <c r="C10">
        <v>74749855015.323929</v>
      </c>
      <c r="D10" s="5">
        <v>56361390681.554237</v>
      </c>
      <c r="E10">
        <v>-6078834079.6665897</v>
      </c>
      <c r="F10">
        <f t="shared" si="0"/>
        <v>50282556601.88765</v>
      </c>
      <c r="G10">
        <v>9.2610020020912165E-4</v>
      </c>
      <c r="H10">
        <v>9.2610020020912165E-4</v>
      </c>
      <c r="I10">
        <v>-7.2736399783138332E-5</v>
      </c>
      <c r="J10">
        <f t="shared" si="1"/>
        <v>8.533638004259833E-4</v>
      </c>
      <c r="K10">
        <f t="shared" si="2"/>
        <v>8.533638004259833E-4</v>
      </c>
      <c r="L10">
        <f t="shared" si="3"/>
        <v>131454673822.04428</v>
      </c>
    </row>
    <row r="11" spans="2:17">
      <c r="B11">
        <v>1937</v>
      </c>
      <c r="C11">
        <v>78692004015.442963</v>
      </c>
      <c r="D11" s="5">
        <v>59333771027.64399</v>
      </c>
      <c r="E11">
        <v>-6986822426.75774</v>
      </c>
      <c r="F11">
        <f t="shared" si="0"/>
        <v>52346948600.886246</v>
      </c>
      <c r="G11">
        <v>1.3112507403889107E-3</v>
      </c>
      <c r="H11">
        <v>1.3112507403889107E-3</v>
      </c>
      <c r="I11">
        <v>-1.0870859824619916E-4</v>
      </c>
      <c r="J11">
        <f t="shared" si="1"/>
        <v>1.2025421421427115E-3</v>
      </c>
      <c r="K11">
        <f t="shared" si="2"/>
        <v>1.2025421421427115E-3</v>
      </c>
      <c r="L11">
        <f t="shared" si="3"/>
        <v>161908479376.02072</v>
      </c>
    </row>
    <row r="12" spans="2:17">
      <c r="B12">
        <v>1938</v>
      </c>
      <c r="C12">
        <v>76510726017.185226</v>
      </c>
      <c r="D12" s="5">
        <v>57689087416.957657</v>
      </c>
      <c r="E12">
        <v>-7616627893.77878</v>
      </c>
      <c r="F12">
        <f t="shared" si="0"/>
        <v>50072459523.178879</v>
      </c>
      <c r="G12">
        <v>1.7787986628139279E-3</v>
      </c>
      <c r="H12">
        <v>1.7787986628139279E-3</v>
      </c>
      <c r="I12">
        <v>-1.5475118691705712E-4</v>
      </c>
      <c r="J12">
        <f t="shared" si="1"/>
        <v>1.6240474758968707E-3</v>
      </c>
      <c r="K12">
        <f t="shared" si="2"/>
        <v>1.6240474758968707E-3</v>
      </c>
      <c r="L12">
        <f t="shared" si="3"/>
        <v>191518130344.67142</v>
      </c>
    </row>
    <row r="13" spans="2:17">
      <c r="B13">
        <v>1939</v>
      </c>
      <c r="C13">
        <v>63648416007.035599</v>
      </c>
      <c r="D13" s="5">
        <v>47990905669.304848</v>
      </c>
      <c r="E13">
        <v>-7707816378.31814</v>
      </c>
      <c r="F13">
        <f t="shared" si="0"/>
        <v>40283089290.98671</v>
      </c>
      <c r="G13">
        <v>2.3229191669636843E-3</v>
      </c>
      <c r="H13">
        <v>2.3229191669636843E-3</v>
      </c>
      <c r="I13">
        <v>-2.1151127144639325E-4</v>
      </c>
      <c r="J13">
        <f t="shared" si="1"/>
        <v>2.111407895517291E-3</v>
      </c>
      <c r="K13">
        <f t="shared" si="2"/>
        <v>2.111407895517291E-3</v>
      </c>
      <c r="L13">
        <f t="shared" si="3"/>
        <v>216150067339.3942</v>
      </c>
    </row>
    <row r="14" spans="2:17">
      <c r="B14">
        <v>1940</v>
      </c>
      <c r="C14">
        <v>58295121007.550751</v>
      </c>
      <c r="D14" s="5">
        <v>43954521239.693268</v>
      </c>
      <c r="E14">
        <v>-7841005447.0629196</v>
      </c>
      <c r="F14">
        <f t="shared" si="0"/>
        <v>36113515792.630348</v>
      </c>
      <c r="G14">
        <v>2.9248215493183748E-3</v>
      </c>
      <c r="H14">
        <v>2.9248215493183748E-3</v>
      </c>
      <c r="I14">
        <v>-2.7872934630317165E-4</v>
      </c>
      <c r="J14">
        <f t="shared" si="1"/>
        <v>2.6460922030152032E-3</v>
      </c>
      <c r="K14">
        <f t="shared" si="2"/>
        <v>2.6460922030152032E-3</v>
      </c>
      <c r="L14">
        <f t="shared" si="3"/>
        <v>238710279169.31635</v>
      </c>
    </row>
    <row r="15" spans="2:17">
      <c r="B15">
        <v>1941</v>
      </c>
      <c r="C15">
        <v>59943272001.724022</v>
      </c>
      <c r="D15" s="5">
        <v>45197227089.299911</v>
      </c>
      <c r="E15">
        <v>-8177896947.8921299</v>
      </c>
      <c r="F15">
        <f t="shared" si="0"/>
        <v>37019330141.407784</v>
      </c>
      <c r="G15">
        <v>3.5766659534091083E-3</v>
      </c>
      <c r="H15">
        <v>3.5766659534091083E-3</v>
      </c>
      <c r="I15">
        <v>-3.5627554400600965E-4</v>
      </c>
      <c r="J15">
        <f t="shared" si="1"/>
        <v>3.2203904094030987E-3</v>
      </c>
      <c r="K15">
        <f t="shared" si="2"/>
        <v>3.2203904094030987E-3</v>
      </c>
      <c r="L15">
        <f t="shared" si="3"/>
        <v>261908325433.98355</v>
      </c>
    </row>
    <row r="16" spans="2:17">
      <c r="B16">
        <v>1942</v>
      </c>
      <c r="C16">
        <v>54543835001.619881</v>
      </c>
      <c r="D16" s="5">
        <v>41126051591.22139</v>
      </c>
      <c r="E16">
        <v>-8277968160.0608997</v>
      </c>
      <c r="F16">
        <f t="shared" si="0"/>
        <v>32848083431.160492</v>
      </c>
      <c r="G16">
        <v>4.2800729404593434E-3</v>
      </c>
      <c r="H16">
        <v>4.2800729404593434E-3</v>
      </c>
      <c r="I16">
        <v>-4.4440700755334772E-4</v>
      </c>
      <c r="J16">
        <f t="shared" si="1"/>
        <v>3.8356659329059958E-3</v>
      </c>
      <c r="K16">
        <f t="shared" si="2"/>
        <v>3.8356659329059958E-3</v>
      </c>
      <c r="L16">
        <f t="shared" si="3"/>
        <v>283016789579.61047</v>
      </c>
    </row>
    <row r="17" spans="2:12">
      <c r="B17">
        <v>1943</v>
      </c>
      <c r="C17">
        <v>47568877001.795006</v>
      </c>
      <c r="D17" s="5">
        <v>35866933259.353432</v>
      </c>
      <c r="E17">
        <v>-8222098403.2240496</v>
      </c>
      <c r="F17">
        <f t="shared" si="0"/>
        <v>27644834856.129383</v>
      </c>
      <c r="G17">
        <v>5.0275525066007026E-3</v>
      </c>
      <c r="H17">
        <v>5.0275525066007026E-3</v>
      </c>
      <c r="I17">
        <v>-5.4299256326511365E-4</v>
      </c>
      <c r="J17">
        <f t="shared" si="1"/>
        <v>4.4845599433355893E-3</v>
      </c>
      <c r="K17">
        <f t="shared" si="2"/>
        <v>4.4845599433355893E-3</v>
      </c>
      <c r="L17">
        <f t="shared" si="3"/>
        <v>301425944979.30511</v>
      </c>
    </row>
    <row r="18" spans="2:12">
      <c r="B18">
        <v>1944</v>
      </c>
      <c r="C18">
        <v>25366866000.43</v>
      </c>
      <c r="D18" s="5">
        <v>19126616964.324223</v>
      </c>
      <c r="E18">
        <v>-7459742576.8024101</v>
      </c>
      <c r="F18">
        <f t="shared" si="0"/>
        <v>11666874387.521812</v>
      </c>
      <c r="G18">
        <v>5.8100611450295596E-3</v>
      </c>
      <c r="H18">
        <v>5.8100611450295596E-3</v>
      </c>
      <c r="I18">
        <v>-6.5167113768255821E-4</v>
      </c>
      <c r="J18">
        <f t="shared" si="1"/>
        <v>5.1583900073470012E-3</v>
      </c>
      <c r="K18">
        <f t="shared" si="2"/>
        <v>5.1583900073470012E-3</v>
      </c>
      <c r="L18">
        <f t="shared" si="3"/>
        <v>311242922121.4715</v>
      </c>
    </row>
    <row r="19" spans="2:12">
      <c r="B19">
        <v>1945</v>
      </c>
      <c r="C19">
        <v>45565229003.197517</v>
      </c>
      <c r="D19" s="5">
        <v>34356182668.410923</v>
      </c>
      <c r="E19">
        <v>-8049351183.6072702</v>
      </c>
      <c r="F19">
        <f t="shared" si="0"/>
        <v>26306831484.803654</v>
      </c>
      <c r="G19">
        <v>6.5996229034903696E-3</v>
      </c>
      <c r="H19">
        <v>6.5996229034903696E-3</v>
      </c>
      <c r="I19">
        <v>-7.6892933204247913E-4</v>
      </c>
      <c r="J19">
        <f t="shared" si="1"/>
        <v>5.8306935714478904E-3</v>
      </c>
      <c r="K19">
        <f t="shared" si="2"/>
        <v>5.8306935714478904E-3</v>
      </c>
      <c r="L19">
        <f t="shared" si="3"/>
        <v>328876665745.70892</v>
      </c>
    </row>
    <row r="20" spans="2:12">
      <c r="B20">
        <v>1946</v>
      </c>
      <c r="C20">
        <v>70091551005.153076</v>
      </c>
      <c r="D20" s="5">
        <v>52849029457.885422</v>
      </c>
      <c r="E20">
        <v>-9242841555.2991905</v>
      </c>
      <c r="F20">
        <f t="shared" si="0"/>
        <v>43606187902.586227</v>
      </c>
      <c r="G20">
        <v>7.4239679695649345E-3</v>
      </c>
      <c r="H20">
        <v>7.4239679695649345E-3</v>
      </c>
      <c r="I20">
        <v>-8.9564997133472011E-4</v>
      </c>
      <c r="J20">
        <f t="shared" si="1"/>
        <v>6.5283179982302143E-3</v>
      </c>
      <c r="K20">
        <f t="shared" si="2"/>
        <v>6.5283179982302143E-3</v>
      </c>
      <c r="L20">
        <f t="shared" si="3"/>
        <v>356002095984.70319</v>
      </c>
    </row>
    <row r="21" spans="2:12">
      <c r="B21">
        <v>1947</v>
      </c>
      <c r="C21">
        <v>81982344010.955521</v>
      </c>
      <c r="D21" s="5">
        <v>61814687384.26046</v>
      </c>
      <c r="E21">
        <v>-10310998029.968599</v>
      </c>
      <c r="F21">
        <f t="shared" si="0"/>
        <v>51503689354.291862</v>
      </c>
      <c r="G21">
        <v>8.3143474765707236E-3</v>
      </c>
      <c r="H21">
        <v>8.3143474765707236E-3</v>
      </c>
      <c r="I21">
        <v>-1.0336858171210764E-3</v>
      </c>
      <c r="J21">
        <f t="shared" si="1"/>
        <v>7.2806616594496467E-3</v>
      </c>
      <c r="K21">
        <f t="shared" si="2"/>
        <v>7.2806616594496467E-3</v>
      </c>
      <c r="L21">
        <f t="shared" si="3"/>
        <v>387729263116.94299</v>
      </c>
    </row>
    <row r="22" spans="2:12">
      <c r="B22">
        <v>1948</v>
      </c>
      <c r="C22">
        <v>97626224009.231461</v>
      </c>
      <c r="D22" s="5">
        <v>73610172902.960526</v>
      </c>
      <c r="E22">
        <v>-11621673337.9613</v>
      </c>
      <c r="F22">
        <f t="shared" si="0"/>
        <v>61988499564.999222</v>
      </c>
      <c r="G22">
        <v>9.2839248543849524E-3</v>
      </c>
      <c r="H22">
        <v>9.2839248543849524E-3</v>
      </c>
      <c r="I22">
        <v>-1.1845724669526769E-3</v>
      </c>
      <c r="J22">
        <f t="shared" si="1"/>
        <v>8.0993523874322761E-3</v>
      </c>
      <c r="K22">
        <f t="shared" si="2"/>
        <v>8.0993523874322761E-3</v>
      </c>
      <c r="L22">
        <f t="shared" si="3"/>
        <v>425510611808.51556</v>
      </c>
    </row>
    <row r="23" spans="2:12">
      <c r="B23">
        <v>1949</v>
      </c>
      <c r="C23">
        <v>110793730011.74136</v>
      </c>
      <c r="D23" s="5">
        <v>83538472428.852982</v>
      </c>
      <c r="E23">
        <v>-12992918557.7651</v>
      </c>
      <c r="F23">
        <f t="shared" si="0"/>
        <v>70545553871.087875</v>
      </c>
      <c r="G23">
        <v>1.0350037477711465E-2</v>
      </c>
      <c r="H23">
        <v>1.0350037477711465E-2</v>
      </c>
      <c r="I23">
        <v>-1.35018299174594E-3</v>
      </c>
      <c r="J23">
        <f t="shared" si="1"/>
        <v>8.9998544859655246E-3</v>
      </c>
      <c r="K23">
        <f t="shared" si="2"/>
        <v>8.9998544859655246E-3</v>
      </c>
      <c r="L23">
        <f t="shared" si="3"/>
        <v>468387785323.05945</v>
      </c>
    </row>
    <row r="24" spans="2:12">
      <c r="B24">
        <v>1950</v>
      </c>
      <c r="C24">
        <v>130514746864.74913</v>
      </c>
      <c r="D24" s="5">
        <v>98408119136.020844</v>
      </c>
      <c r="E24">
        <v>-14706102763.706499</v>
      </c>
      <c r="F24">
        <f t="shared" si="0"/>
        <v>83702016372.314346</v>
      </c>
      <c r="G24">
        <v>1.152606099190874E-2</v>
      </c>
      <c r="H24">
        <v>1.152606099190874E-2</v>
      </c>
      <c r="I24">
        <v>-1.5324076880501858E-3</v>
      </c>
      <c r="J24">
        <f t="shared" si="1"/>
        <v>9.9936533038585545E-3</v>
      </c>
      <c r="K24">
        <f t="shared" si="2"/>
        <v>9.9936533038585545E-3</v>
      </c>
      <c r="L24">
        <f t="shared" si="3"/>
        <v>518896992359.71735</v>
      </c>
    </row>
    <row r="25" spans="2:12">
      <c r="B25">
        <v>1951</v>
      </c>
      <c r="C25">
        <v>150028603175.40552</v>
      </c>
      <c r="D25" s="5">
        <v>113121566794.25577</v>
      </c>
      <c r="E25">
        <v>-16623940466.2075</v>
      </c>
      <c r="F25">
        <f t="shared" si="0"/>
        <v>96497626328.048264</v>
      </c>
      <c r="G25">
        <v>1.2833264395163241E-2</v>
      </c>
      <c r="H25">
        <v>1.2833264395163241E-2</v>
      </c>
      <c r="I25">
        <v>-1.7336387955134668E-3</v>
      </c>
      <c r="J25">
        <f t="shared" si="1"/>
        <v>1.1099625599649774E-2</v>
      </c>
      <c r="K25">
        <f t="shared" si="2"/>
        <v>1.1099625599649774E-2</v>
      </c>
      <c r="L25">
        <f t="shared" si="3"/>
        <v>576958061788.59924</v>
      </c>
    </row>
    <row r="26" spans="2:12">
      <c r="B26">
        <v>1952</v>
      </c>
      <c r="C26">
        <v>160728957479.30521</v>
      </c>
      <c r="D26" s="5">
        <v>121189633939.39612</v>
      </c>
      <c r="E26">
        <v>-18363414598.598099</v>
      </c>
      <c r="F26">
        <f t="shared" si="0"/>
        <v>102826219340.79802</v>
      </c>
      <c r="G26">
        <v>1.4291745995173369E-2</v>
      </c>
      <c r="H26">
        <v>1.4291745995173369E-2</v>
      </c>
      <c r="I26">
        <v>-1.9565156575693404E-3</v>
      </c>
      <c r="J26">
        <f t="shared" si="1"/>
        <v>1.2335230337604029E-2</v>
      </c>
      <c r="K26">
        <f t="shared" si="2"/>
        <v>1.2335230337604029E-2</v>
      </c>
      <c r="L26">
        <f t="shared" si="3"/>
        <v>639160168333.09033</v>
      </c>
    </row>
    <row r="27" spans="2:12">
      <c r="B27">
        <v>1953</v>
      </c>
      <c r="C27">
        <v>179295780831.69324</v>
      </c>
      <c r="D27" s="5">
        <v>135189018747.09669</v>
      </c>
      <c r="E27">
        <v>-20423610412.1693</v>
      </c>
      <c r="F27">
        <f t="shared" si="0"/>
        <v>114765408334.9274</v>
      </c>
      <c r="G27">
        <v>1.5909621246418836E-2</v>
      </c>
      <c r="H27">
        <v>1.5909621246418836E-2</v>
      </c>
      <c r="I27">
        <v>-2.2032721041367865E-3</v>
      </c>
      <c r="J27">
        <f t="shared" si="1"/>
        <v>1.3706349142282049E-2</v>
      </c>
      <c r="K27">
        <f t="shared" si="2"/>
        <v>1.3706349142282049E-2</v>
      </c>
      <c r="L27">
        <f t="shared" si="3"/>
        <v>708547635514.95557</v>
      </c>
    </row>
    <row r="28" spans="2:12">
      <c r="B28">
        <v>1954</v>
      </c>
      <c r="C28">
        <v>195093483030.20346</v>
      </c>
      <c r="D28" s="5">
        <v>147100486204.77341</v>
      </c>
      <c r="E28">
        <v>-22532088124.627998</v>
      </c>
      <c r="F28">
        <f t="shared" si="0"/>
        <v>124568398080.14542</v>
      </c>
      <c r="G28">
        <v>1.7705116275214792E-2</v>
      </c>
      <c r="H28">
        <v>1.7705116275214792E-2</v>
      </c>
      <c r="I28">
        <v>-2.4766168868746163E-3</v>
      </c>
      <c r="J28">
        <f t="shared" si="1"/>
        <v>1.5228499388340175E-2</v>
      </c>
      <c r="K28">
        <f t="shared" si="2"/>
        <v>1.5228499388340175E-2</v>
      </c>
      <c r="L28">
        <f t="shared" si="3"/>
        <v>784048813447.64429</v>
      </c>
    </row>
    <row r="29" spans="2:12">
      <c r="B29">
        <v>1955</v>
      </c>
      <c r="C29">
        <v>217443525400.39838</v>
      </c>
      <c r="D29" s="5">
        <v>163952418151.90039</v>
      </c>
      <c r="E29">
        <v>-24993188170.040298</v>
      </c>
      <c r="F29">
        <f t="shared" si="0"/>
        <v>138959229981.86011</v>
      </c>
      <c r="G29">
        <v>1.9692351213437136E-2</v>
      </c>
      <c r="H29">
        <v>1.9692351213437136E-2</v>
      </c>
      <c r="I29">
        <v>-2.7792497858098765E-3</v>
      </c>
      <c r="J29">
        <f t="shared" si="1"/>
        <v>1.691310142762726E-2</v>
      </c>
      <c r="K29">
        <f t="shared" si="2"/>
        <v>1.691310142762726E-2</v>
      </c>
      <c r="L29">
        <f t="shared" si="3"/>
        <v>868199457777.59851</v>
      </c>
    </row>
    <row r="30" spans="2:12">
      <c r="B30">
        <v>1956</v>
      </c>
      <c r="C30">
        <v>236078125549.61554</v>
      </c>
      <c r="D30" s="5">
        <v>178002906664.41013</v>
      </c>
      <c r="E30">
        <v>-27504813240.492802</v>
      </c>
      <c r="F30">
        <f t="shared" si="0"/>
        <v>150498093423.91733</v>
      </c>
      <c r="G30">
        <v>2.1893540268404579E-2</v>
      </c>
      <c r="H30">
        <v>2.1893540268404579E-2</v>
      </c>
      <c r="I30">
        <v>-3.1143860949262602E-3</v>
      </c>
      <c r="J30">
        <f t="shared" si="1"/>
        <v>1.8779154173478318E-2</v>
      </c>
      <c r="K30">
        <f t="shared" si="2"/>
        <v>1.8779154173478318E-2</v>
      </c>
      <c r="L30">
        <f t="shared" si="3"/>
        <v>959561692365.29968</v>
      </c>
    </row>
    <row r="31" spans="2:12">
      <c r="B31">
        <v>1957</v>
      </c>
      <c r="C31">
        <v>247099687349.8251</v>
      </c>
      <c r="D31" s="5">
        <v>186313164261.76813</v>
      </c>
      <c r="E31">
        <v>-29823401329.502899</v>
      </c>
      <c r="F31">
        <f t="shared" si="0"/>
        <v>156489762932.26523</v>
      </c>
      <c r="G31">
        <v>2.4325408773607112E-2</v>
      </c>
      <c r="H31">
        <v>2.4325408773607112E-2</v>
      </c>
      <c r="I31">
        <v>-3.4852212518854788E-3</v>
      </c>
      <c r="J31">
        <f t="shared" si="1"/>
        <v>2.0840187521721634E-2</v>
      </c>
      <c r="K31">
        <f t="shared" si="2"/>
        <v>2.0840187521721634E-2</v>
      </c>
      <c r="L31">
        <f t="shared" si="3"/>
        <v>1055189271369.682</v>
      </c>
    </row>
    <row r="32" spans="2:12">
      <c r="B32">
        <v>1958</v>
      </c>
      <c r="C32">
        <v>262809408177.55579</v>
      </c>
      <c r="D32" s="5">
        <v>198158293765.87708</v>
      </c>
      <c r="E32">
        <v>-32310434499.3508</v>
      </c>
      <c r="F32">
        <f t="shared" si="0"/>
        <v>165847859266.52628</v>
      </c>
      <c r="G32">
        <v>2.6994629326879984E-2</v>
      </c>
      <c r="H32">
        <v>2.6994629326879984E-2</v>
      </c>
      <c r="I32">
        <v>-3.8945300576211871E-3</v>
      </c>
      <c r="J32">
        <f t="shared" si="1"/>
        <v>2.3100099269258798E-2</v>
      </c>
      <c r="K32">
        <f t="shared" si="2"/>
        <v>2.3100099269258798E-2</v>
      </c>
      <c r="L32">
        <f t="shared" si="3"/>
        <v>1156896512334.396</v>
      </c>
    </row>
    <row r="33" spans="2:12">
      <c r="B33">
        <v>1959</v>
      </c>
      <c r="C33">
        <v>294323548722.25098</v>
      </c>
      <c r="D33" s="5">
        <v>221919955736.57724</v>
      </c>
      <c r="E33">
        <v>-35509175238.447899</v>
      </c>
      <c r="F33">
        <f t="shared" si="0"/>
        <v>186410780498.12933</v>
      </c>
      <c r="G33">
        <v>2.9914156416948907E-2</v>
      </c>
      <c r="H33">
        <v>2.9914156416948907E-2</v>
      </c>
      <c r="I33">
        <v>-4.3453127495703759E-3</v>
      </c>
      <c r="J33">
        <f t="shared" si="1"/>
        <v>2.5568843667378532E-2</v>
      </c>
      <c r="K33">
        <f t="shared" si="2"/>
        <v>2.5568843667378532E-2</v>
      </c>
      <c r="L33">
        <f t="shared" si="3"/>
        <v>1270799725689.9072</v>
      </c>
    </row>
    <row r="34" spans="2:12">
      <c r="B34">
        <v>1960</v>
      </c>
      <c r="C34">
        <v>316876039540.1181</v>
      </c>
      <c r="D34" s="5">
        <v>238924533813.24905</v>
      </c>
      <c r="E34">
        <v>-38685052706.879402</v>
      </c>
      <c r="F34">
        <f t="shared" si="0"/>
        <v>200239481106.36966</v>
      </c>
      <c r="G34">
        <v>3.3116970415502205E-2</v>
      </c>
      <c r="H34">
        <v>3.3116970415502205E-2</v>
      </c>
      <c r="I34">
        <v>-4.8417047415831097E-3</v>
      </c>
      <c r="J34">
        <f t="shared" si="1"/>
        <v>2.8275265673919095E-2</v>
      </c>
      <c r="K34">
        <f t="shared" si="2"/>
        <v>2.8275265673919095E-2</v>
      </c>
      <c r="L34">
        <f t="shared" si="3"/>
        <v>1393430752991.9329</v>
      </c>
    </row>
    <row r="35" spans="2:12">
      <c r="B35">
        <v>1961</v>
      </c>
      <c r="C35">
        <v>333439770818.84735</v>
      </c>
      <c r="D35" s="5">
        <v>251413587197.41092</v>
      </c>
      <c r="E35">
        <v>-41750919795.2808</v>
      </c>
      <c r="F35">
        <f t="shared" si="0"/>
        <v>209662667402.13013</v>
      </c>
      <c r="G35">
        <v>3.6623247127746471E-2</v>
      </c>
      <c r="H35">
        <v>3.6623247127746471E-2</v>
      </c>
      <c r="I35">
        <v>-5.3876691263752682E-3</v>
      </c>
      <c r="J35">
        <f t="shared" si="1"/>
        <v>3.1235578001371202E-2</v>
      </c>
      <c r="K35">
        <f t="shared" si="2"/>
        <v>3.1235578001371202E-2</v>
      </c>
      <c r="L35">
        <f t="shared" si="3"/>
        <v>1522471944298.8267</v>
      </c>
    </row>
    <row r="36" spans="2:12">
      <c r="B36">
        <v>1962</v>
      </c>
      <c r="C36">
        <v>358500315179.03546</v>
      </c>
      <c r="D36" s="5">
        <v>270309237644.99271</v>
      </c>
      <c r="E36">
        <v>-45183441687.482597</v>
      </c>
      <c r="F36">
        <f t="shared" si="0"/>
        <v>225125795957.5101</v>
      </c>
      <c r="G36">
        <v>4.0445084623062288E-2</v>
      </c>
      <c r="H36">
        <v>4.0445084623062288E-2</v>
      </c>
      <c r="I36">
        <v>-5.9868726647466265E-3</v>
      </c>
      <c r="J36">
        <f t="shared" si="1"/>
        <v>3.4458211958315665E-2</v>
      </c>
      <c r="K36">
        <f t="shared" si="2"/>
        <v>3.4458211958315665E-2</v>
      </c>
      <c r="L36">
        <f t="shared" si="3"/>
        <v>1661211566273.1133</v>
      </c>
    </row>
    <row r="37" spans="2:12">
      <c r="B37">
        <v>1963</v>
      </c>
      <c r="C37">
        <v>377295419121.36243</v>
      </c>
      <c r="D37" s="5">
        <v>284480746017.50726</v>
      </c>
      <c r="E37">
        <v>-48554514451.923798</v>
      </c>
      <c r="F37">
        <f t="shared" si="0"/>
        <v>235926231565.58347</v>
      </c>
      <c r="G37">
        <v>4.4605513622995765E-2</v>
      </c>
      <c r="H37">
        <v>4.4605513622995765E-2</v>
      </c>
      <c r="I37">
        <v>-6.6435203518597566E-3</v>
      </c>
      <c r="J37">
        <f t="shared" si="1"/>
        <v>3.7961993271136009E-2</v>
      </c>
      <c r="K37">
        <f t="shared" si="2"/>
        <v>3.7961993271136009E-2</v>
      </c>
      <c r="L37">
        <f t="shared" si="3"/>
        <v>1807224893473.0806</v>
      </c>
    </row>
    <row r="38" spans="2:12">
      <c r="B38">
        <v>1964</v>
      </c>
      <c r="C38">
        <v>414156395863.27356</v>
      </c>
      <c r="D38" s="5">
        <v>312273922480.90833</v>
      </c>
      <c r="E38">
        <v>-52701330720.655701</v>
      </c>
      <c r="F38">
        <f t="shared" si="0"/>
        <v>259572591760.25262</v>
      </c>
      <c r="G38">
        <v>4.9118956767904377E-2</v>
      </c>
      <c r="H38">
        <v>4.9118956767904377E-2</v>
      </c>
      <c r="I38">
        <v>-7.3616040002167423E-3</v>
      </c>
      <c r="J38">
        <f t="shared" ref="J38:J69" si="4">G38+I38</f>
        <v>4.1757352767687633E-2</v>
      </c>
      <c r="K38">
        <f t="shared" si="2"/>
        <v>4.1757352767687633E-2</v>
      </c>
      <c r="L38">
        <f t="shared" ref="L38:L69" si="5">L37+C38*0.387</f>
        <v>1967503418672.1675</v>
      </c>
    </row>
    <row r="39" spans="2:12">
      <c r="B39">
        <v>1965</v>
      </c>
      <c r="C39">
        <v>432408783688.4032</v>
      </c>
      <c r="D39" s="5">
        <v>326036222901.05603</v>
      </c>
      <c r="E39">
        <v>-56475949417.943703</v>
      </c>
      <c r="F39">
        <f t="shared" si="0"/>
        <v>269560273483.11234</v>
      </c>
      <c r="G39">
        <v>5.4022857507092709E-2</v>
      </c>
      <c r="H39">
        <v>5.4022857507092709E-2</v>
      </c>
      <c r="I39">
        <v>-8.146341359865512E-3</v>
      </c>
      <c r="J39">
        <f t="shared" si="4"/>
        <v>4.5876516147227195E-2</v>
      </c>
      <c r="K39">
        <f t="shared" si="2"/>
        <v>4.5876516147227195E-2</v>
      </c>
      <c r="L39">
        <f t="shared" si="5"/>
        <v>2134845617959.5796</v>
      </c>
    </row>
    <row r="40" spans="2:12">
      <c r="B40">
        <v>1966</v>
      </c>
      <c r="C40">
        <v>461785326412.65533</v>
      </c>
      <c r="D40" s="5">
        <v>348186136115.14209</v>
      </c>
      <c r="E40">
        <v>-60685286401.313004</v>
      </c>
      <c r="F40">
        <f t="shared" si="0"/>
        <v>287500849713.8291</v>
      </c>
      <c r="G40">
        <v>5.9329452374445729E-2</v>
      </c>
      <c r="H40">
        <v>5.9329452374445729E-2</v>
      </c>
      <c r="I40">
        <v>-9.0021645222874303E-3</v>
      </c>
      <c r="J40">
        <f t="shared" si="4"/>
        <v>5.0327287852158301E-2</v>
      </c>
      <c r="K40">
        <f t="shared" si="2"/>
        <v>5.0327287852158301E-2</v>
      </c>
      <c r="L40">
        <f t="shared" si="5"/>
        <v>2313556539281.2773</v>
      </c>
    </row>
    <row r="41" spans="2:12">
      <c r="B41">
        <v>1967</v>
      </c>
      <c r="C41">
        <v>479469794596.62317</v>
      </c>
      <c r="D41" s="5">
        <v>361520225125.85388</v>
      </c>
      <c r="E41">
        <v>-64645438577.558601</v>
      </c>
      <c r="F41">
        <f t="shared" si="0"/>
        <v>296874786548.29529</v>
      </c>
      <c r="G41">
        <v>6.5065411932856337E-2</v>
      </c>
      <c r="H41">
        <v>6.5065411932856337E-2</v>
      </c>
      <c r="I41">
        <v>-9.9341481628145902E-3</v>
      </c>
      <c r="J41">
        <f t="shared" si="4"/>
        <v>5.5131263770041745E-2</v>
      </c>
      <c r="K41">
        <f t="shared" si="2"/>
        <v>5.5131263770041745E-2</v>
      </c>
      <c r="L41">
        <f t="shared" si="5"/>
        <v>2499111349790.1704</v>
      </c>
    </row>
    <row r="42" spans="2:12">
      <c r="B42">
        <v>1968</v>
      </c>
      <c r="C42">
        <v>514154491042.65289</v>
      </c>
      <c r="D42" s="5">
        <v>387672486246.16028</v>
      </c>
      <c r="E42">
        <v>-69274193510.728394</v>
      </c>
      <c r="F42">
        <f t="shared" si="0"/>
        <v>318398292735.43188</v>
      </c>
      <c r="G42">
        <v>7.1241786516068703E-2</v>
      </c>
      <c r="H42">
        <v>7.1241786516068703E-2</v>
      </c>
      <c r="I42">
        <v>-1.0946819245990107E-2</v>
      </c>
      <c r="J42">
        <f t="shared" si="4"/>
        <v>6.0294967270078596E-2</v>
      </c>
      <c r="K42">
        <f t="shared" si="2"/>
        <v>6.0294967270078596E-2</v>
      </c>
      <c r="L42">
        <f t="shared" si="5"/>
        <v>2698089137823.6772</v>
      </c>
    </row>
    <row r="43" spans="2:12">
      <c r="B43">
        <v>1969</v>
      </c>
      <c r="C43">
        <v>540346453201.08551</v>
      </c>
      <c r="D43" s="5">
        <v>407421225713.61847</v>
      </c>
      <c r="E43">
        <v>-73868960056.534103</v>
      </c>
      <c r="F43">
        <f t="shared" si="0"/>
        <v>333552265657.08435</v>
      </c>
      <c r="G43">
        <v>7.7891637398044153E-2</v>
      </c>
      <c r="H43">
        <v>7.7891637398044153E-2</v>
      </c>
      <c r="I43">
        <v>-1.2045754192373671E-2</v>
      </c>
      <c r="J43">
        <f t="shared" si="4"/>
        <v>6.5845883205670475E-2</v>
      </c>
      <c r="K43">
        <f t="shared" si="2"/>
        <v>6.5845883205670475E-2</v>
      </c>
      <c r="L43">
        <f t="shared" si="5"/>
        <v>2907203215212.4976</v>
      </c>
    </row>
    <row r="44" spans="2:12">
      <c r="B44">
        <v>1970</v>
      </c>
      <c r="C44">
        <v>568890691855.66504</v>
      </c>
      <c r="D44" s="5">
        <v>428943581659.17145</v>
      </c>
      <c r="E44">
        <v>-78670731273.324905</v>
      </c>
      <c r="F44">
        <f t="shared" si="0"/>
        <v>350272850385.84656</v>
      </c>
      <c r="G44">
        <v>8.503609367318761E-2</v>
      </c>
      <c r="H44">
        <v>8.503609367318761E-2</v>
      </c>
      <c r="I44">
        <v>-1.323633030227633E-2</v>
      </c>
      <c r="J44">
        <f t="shared" si="4"/>
        <v>7.1799763370911276E-2</v>
      </c>
      <c r="K44">
        <f t="shared" si="2"/>
        <v>7.1799763370911276E-2</v>
      </c>
      <c r="L44">
        <f t="shared" si="5"/>
        <v>3127363912960.6401</v>
      </c>
    </row>
    <row r="45" spans="2:12">
      <c r="B45">
        <v>1971</v>
      </c>
      <c r="C45">
        <v>616289126414.09875</v>
      </c>
      <c r="D45" s="5">
        <v>464682001316.23047</v>
      </c>
      <c r="E45">
        <v>-84370350260.604507</v>
      </c>
      <c r="F45">
        <f t="shared" si="0"/>
        <v>380311651055.62598</v>
      </c>
      <c r="G45">
        <v>9.2699032019142438E-2</v>
      </c>
      <c r="H45">
        <v>9.2699032019142438E-2</v>
      </c>
      <c r="I45">
        <v>-1.4524157737679986E-2</v>
      </c>
      <c r="J45">
        <f t="shared" si="4"/>
        <v>7.8174874281462456E-2</v>
      </c>
      <c r="K45">
        <f t="shared" si="2"/>
        <v>7.8174874281462456E-2</v>
      </c>
      <c r="L45">
        <f t="shared" si="5"/>
        <v>3365867804882.8965</v>
      </c>
    </row>
    <row r="46" spans="2:12">
      <c r="B46">
        <v>1972</v>
      </c>
      <c r="C46">
        <v>655377528022.98816</v>
      </c>
      <c r="D46" s="5">
        <v>494154656129.33307</v>
      </c>
      <c r="E46">
        <v>-90195897413.857193</v>
      </c>
      <c r="F46">
        <f t="shared" si="0"/>
        <v>403958758715.47589</v>
      </c>
      <c r="G46">
        <v>0.10092797036535424</v>
      </c>
      <c r="H46">
        <v>0.10092797036535424</v>
      </c>
      <c r="I46">
        <v>-1.5916243128127481E-2</v>
      </c>
      <c r="J46">
        <f t="shared" si="4"/>
        <v>8.5011727237226761E-2</v>
      </c>
      <c r="K46">
        <f t="shared" si="2"/>
        <v>8.5011727237226761E-2</v>
      </c>
      <c r="L46">
        <f t="shared" si="5"/>
        <v>3619498908227.793</v>
      </c>
    </row>
    <row r="47" spans="2:12">
      <c r="B47">
        <v>1973</v>
      </c>
      <c r="C47">
        <v>701879866913.9115</v>
      </c>
      <c r="D47" s="5">
        <v>529217419653.08936</v>
      </c>
      <c r="E47">
        <v>-96555739683.697006</v>
      </c>
      <c r="F47">
        <f t="shared" si="0"/>
        <v>432661679969.39233</v>
      </c>
      <c r="G47">
        <v>0.10975798096036182</v>
      </c>
      <c r="H47">
        <v>0.10975798096036182</v>
      </c>
      <c r="I47">
        <v>-1.7419606807369478E-2</v>
      </c>
      <c r="J47">
        <f t="shared" si="4"/>
        <v>9.2338374152992342E-2</v>
      </c>
      <c r="K47">
        <f t="shared" si="2"/>
        <v>9.2338374152992342E-2</v>
      </c>
      <c r="L47">
        <f t="shared" si="5"/>
        <v>3891126416723.4766</v>
      </c>
    </row>
    <row r="48" spans="2:12">
      <c r="B48">
        <v>1974</v>
      </c>
      <c r="C48">
        <v>702378126863.81433</v>
      </c>
      <c r="D48" s="5">
        <v>529593107655.3161</v>
      </c>
      <c r="E48">
        <v>-101440686689.69701</v>
      </c>
      <c r="F48">
        <f t="shared" si="0"/>
        <v>428152420965.61908</v>
      </c>
      <c r="G48">
        <v>0.1192327146300088</v>
      </c>
      <c r="H48">
        <v>0.1192327146300088</v>
      </c>
      <c r="I48">
        <v>-1.9041991330518291E-2</v>
      </c>
      <c r="J48">
        <f t="shared" si="4"/>
        <v>0.10019072329949051</v>
      </c>
      <c r="K48">
        <f t="shared" si="2"/>
        <v>0.10019072329949051</v>
      </c>
      <c r="L48">
        <f t="shared" si="5"/>
        <v>4162946751819.7725</v>
      </c>
    </row>
    <row r="49" spans="2:12">
      <c r="B49">
        <v>1975</v>
      </c>
      <c r="C49">
        <v>700609012690.19434</v>
      </c>
      <c r="D49" s="5">
        <v>528259195568.40656</v>
      </c>
      <c r="E49">
        <v>-105796709553.12199</v>
      </c>
      <c r="F49">
        <f t="shared" si="0"/>
        <v>422462486015.28455</v>
      </c>
      <c r="G49">
        <v>0.12933578553531341</v>
      </c>
      <c r="H49">
        <v>0.12933578553531341</v>
      </c>
      <c r="I49">
        <v>-2.0788432548050545E-2</v>
      </c>
      <c r="J49">
        <f t="shared" si="4"/>
        <v>0.10854735298726287</v>
      </c>
      <c r="K49">
        <f t="shared" si="2"/>
        <v>0.10854735298726287</v>
      </c>
      <c r="L49">
        <f t="shared" si="5"/>
        <v>4434082439730.8779</v>
      </c>
    </row>
    <row r="50" spans="2:12">
      <c r="B50">
        <v>1976</v>
      </c>
      <c r="C50">
        <v>758328039162.66443</v>
      </c>
      <c r="D50" s="5">
        <v>571779341528.64905</v>
      </c>
      <c r="E50">
        <v>-112178933337.14799</v>
      </c>
      <c r="F50">
        <f t="shared" si="0"/>
        <v>459600408191.50104</v>
      </c>
      <c r="G50">
        <v>0.14005038802877234</v>
      </c>
      <c r="H50">
        <v>0.14005038802877234</v>
      </c>
      <c r="I50">
        <v>-2.2663045122378756E-2</v>
      </c>
      <c r="J50">
        <f t="shared" si="4"/>
        <v>0.11738734290639359</v>
      </c>
      <c r="K50">
        <f t="shared" si="2"/>
        <v>0.11738734290639359</v>
      </c>
      <c r="L50">
        <f t="shared" si="5"/>
        <v>4727555390886.8291</v>
      </c>
    </row>
    <row r="51" spans="2:12">
      <c r="B51">
        <v>1977</v>
      </c>
      <c r="C51">
        <v>797934703717.11572</v>
      </c>
      <c r="D51" s="5">
        <v>601642766602.7052</v>
      </c>
      <c r="E51">
        <v>-118570593054.32201</v>
      </c>
      <c r="F51">
        <f t="shared" si="0"/>
        <v>483072173548.38318</v>
      </c>
      <c r="G51">
        <v>0.1514377884805139</v>
      </c>
      <c r="H51">
        <v>0.1514377884805139</v>
      </c>
      <c r="I51">
        <v>-2.4673399073826326E-2</v>
      </c>
      <c r="J51">
        <f t="shared" si="4"/>
        <v>0.12676438940668758</v>
      </c>
      <c r="K51">
        <f t="shared" si="2"/>
        <v>0.12676438940668758</v>
      </c>
      <c r="L51">
        <f t="shared" si="5"/>
        <v>5036356121225.3525</v>
      </c>
    </row>
    <row r="52" spans="2:12">
      <c r="B52">
        <v>1978</v>
      </c>
      <c r="C52">
        <v>856747489377.02954</v>
      </c>
      <c r="D52" s="5">
        <v>645987606990.28027</v>
      </c>
      <c r="E52">
        <v>-125978118353.13</v>
      </c>
      <c r="F52">
        <f t="shared" si="0"/>
        <v>520009488637.15027</v>
      </c>
      <c r="G52">
        <v>0.16353323066039924</v>
      </c>
      <c r="H52">
        <v>0.16353323066039924</v>
      </c>
      <c r="I52">
        <v>-2.6826884681384052E-2</v>
      </c>
      <c r="J52">
        <f t="shared" si="4"/>
        <v>0.13670634597901518</v>
      </c>
      <c r="K52">
        <f t="shared" si="2"/>
        <v>0.13670634597901518</v>
      </c>
      <c r="L52">
        <f t="shared" si="5"/>
        <v>5367917399614.2627</v>
      </c>
    </row>
    <row r="53" spans="2:12">
      <c r="B53">
        <v>1979</v>
      </c>
      <c r="C53">
        <v>875821843051.00879</v>
      </c>
      <c r="D53" s="5">
        <v>660369669660.46069</v>
      </c>
      <c r="E53">
        <v>-132356485406.73</v>
      </c>
      <c r="F53">
        <f t="shared" si="0"/>
        <v>528013184253.73071</v>
      </c>
      <c r="G53">
        <v>0.17639548710042405</v>
      </c>
      <c r="H53">
        <v>0.17639548710042405</v>
      </c>
      <c r="I53">
        <v>-2.9132443874234911E-2</v>
      </c>
      <c r="J53">
        <f t="shared" si="4"/>
        <v>0.14726304322618913</v>
      </c>
      <c r="K53">
        <f t="shared" si="2"/>
        <v>0.14726304322618913</v>
      </c>
      <c r="L53">
        <f t="shared" si="5"/>
        <v>5706860452875.0029</v>
      </c>
    </row>
    <row r="54" spans="2:12">
      <c r="B54">
        <v>1980</v>
      </c>
      <c r="C54">
        <v>888776357968.16309</v>
      </c>
      <c r="D54" s="5">
        <v>670137373907.995</v>
      </c>
      <c r="E54">
        <v>-138298667292.40399</v>
      </c>
      <c r="F54">
        <f t="shared" si="0"/>
        <v>531838706615.591</v>
      </c>
      <c r="G54">
        <v>0.19003029254649195</v>
      </c>
      <c r="H54">
        <v>0.19003029254649195</v>
      </c>
      <c r="I54">
        <v>-3.1597027454100785E-2</v>
      </c>
      <c r="J54">
        <f t="shared" si="4"/>
        <v>0.15843326509239117</v>
      </c>
      <c r="K54">
        <f t="shared" si="2"/>
        <v>0.15843326509239117</v>
      </c>
      <c r="L54">
        <f t="shared" si="5"/>
        <v>6050816903408.6816</v>
      </c>
    </row>
    <row r="55" spans="2:12">
      <c r="B55">
        <v>1981</v>
      </c>
      <c r="C55">
        <v>894380388981.16797</v>
      </c>
      <c r="D55" s="5">
        <v>674362813291.80066</v>
      </c>
      <c r="E55">
        <v>-145133560471.51901</v>
      </c>
      <c r="F55">
        <f t="shared" si="0"/>
        <v>529229252820.28162</v>
      </c>
      <c r="G55">
        <v>0.20443674596047517</v>
      </c>
      <c r="H55">
        <v>0.20443674596047517</v>
      </c>
      <c r="I55">
        <v>-3.4226743507574223E-2</v>
      </c>
      <c r="J55">
        <f t="shared" si="4"/>
        <v>0.17021000245290097</v>
      </c>
      <c r="K55">
        <f t="shared" si="2"/>
        <v>0.17021000245290097</v>
      </c>
      <c r="L55">
        <f t="shared" si="5"/>
        <v>6396942113944.3936</v>
      </c>
    </row>
    <row r="56" spans="2:12">
      <c r="B56">
        <v>1982</v>
      </c>
      <c r="C56">
        <v>897640977650.42944</v>
      </c>
      <c r="D56" s="5">
        <v>676821297148.42383</v>
      </c>
      <c r="E56">
        <v>-152483181131.354</v>
      </c>
      <c r="F56">
        <f t="shared" si="0"/>
        <v>524338116017.06982</v>
      </c>
      <c r="G56">
        <v>0.21960596740437691</v>
      </c>
      <c r="H56">
        <v>0.21960596740437691</v>
      </c>
      <c r="I56">
        <v>-3.7029162734252302E-2</v>
      </c>
      <c r="J56">
        <f t="shared" si="4"/>
        <v>0.1825768046701246</v>
      </c>
      <c r="K56">
        <f t="shared" si="2"/>
        <v>0.1825768046701246</v>
      </c>
      <c r="L56">
        <f t="shared" si="5"/>
        <v>6744329172295.1094</v>
      </c>
    </row>
    <row r="57" spans="2:12">
      <c r="B57">
        <v>1983</v>
      </c>
      <c r="C57">
        <v>924465403397.29541</v>
      </c>
      <c r="D57" s="5">
        <v>697046914161.56067</v>
      </c>
      <c r="E57">
        <v>-158121070577.806</v>
      </c>
      <c r="F57">
        <f t="shared" si="0"/>
        <v>538925843583.75464</v>
      </c>
      <c r="G57">
        <v>0.23552777571892419</v>
      </c>
      <c r="H57">
        <v>0.23552777571892419</v>
      </c>
      <c r="I57">
        <v>-4.0012586972026816E-2</v>
      </c>
      <c r="J57">
        <f t="shared" si="4"/>
        <v>0.19551518874689738</v>
      </c>
      <c r="K57">
        <f t="shared" si="2"/>
        <v>0.19551518874689738</v>
      </c>
      <c r="L57">
        <f t="shared" si="5"/>
        <v>7102097283409.8623</v>
      </c>
    </row>
    <row r="58" spans="2:12">
      <c r="B58">
        <v>1984</v>
      </c>
      <c r="C58">
        <v>951281182549.36523</v>
      </c>
      <c r="D58" s="5">
        <v>717266011642.22144</v>
      </c>
      <c r="E58">
        <v>-164494528133.39499</v>
      </c>
      <c r="F58">
        <f t="shared" si="0"/>
        <v>552771483508.82642</v>
      </c>
      <c r="G58">
        <v>0.25222359887471424</v>
      </c>
      <c r="H58">
        <v>0.25222359887471424</v>
      </c>
      <c r="I58">
        <v>-4.3182245545916084E-2</v>
      </c>
      <c r="J58">
        <f t="shared" si="4"/>
        <v>0.20904135332879814</v>
      </c>
      <c r="K58">
        <f t="shared" si="2"/>
        <v>0.20904135332879814</v>
      </c>
      <c r="L58">
        <f t="shared" si="5"/>
        <v>7470243101056.4668</v>
      </c>
    </row>
    <row r="59" spans="2:12">
      <c r="B59">
        <v>1985</v>
      </c>
      <c r="C59">
        <v>971149721514.46399</v>
      </c>
      <c r="D59" s="5">
        <v>732246890021.90588</v>
      </c>
      <c r="E59">
        <v>-171111837916.01501</v>
      </c>
      <c r="F59">
        <f t="shared" si="0"/>
        <v>561135052105.89087</v>
      </c>
      <c r="G59">
        <v>0.269714254538448</v>
      </c>
      <c r="H59">
        <v>0.269714254538448</v>
      </c>
      <c r="I59">
        <v>-4.6544638621851903E-2</v>
      </c>
      <c r="J59">
        <f t="shared" si="4"/>
        <v>0.22316961591659609</v>
      </c>
      <c r="K59">
        <f t="shared" si="2"/>
        <v>0.22316961591659609</v>
      </c>
      <c r="L59">
        <f t="shared" si="5"/>
        <v>7846078043282.5645</v>
      </c>
    </row>
    <row r="60" spans="2:12">
      <c r="B60">
        <v>1986</v>
      </c>
      <c r="C60">
        <v>1019244828699.9259</v>
      </c>
      <c r="D60" s="5">
        <v>768510600839.74414</v>
      </c>
      <c r="E60">
        <v>-179016292539.61801</v>
      </c>
      <c r="F60">
        <f t="shared" si="0"/>
        <v>589494308300.1261</v>
      </c>
      <c r="G60">
        <v>0.28801119680023579</v>
      </c>
      <c r="H60">
        <v>0.28801119680023579</v>
      </c>
      <c r="I60">
        <v>-5.0106615747828126E-2</v>
      </c>
      <c r="J60">
        <f t="shared" si="4"/>
        <v>0.23790458105240767</v>
      </c>
      <c r="K60">
        <f t="shared" si="2"/>
        <v>0.23790458105240767</v>
      </c>
      <c r="L60">
        <f t="shared" si="5"/>
        <v>8240525791989.4355</v>
      </c>
    </row>
    <row r="61" spans="2:12">
      <c r="B61">
        <v>1987</v>
      </c>
      <c r="C61">
        <v>1063548132205.4779</v>
      </c>
      <c r="D61" s="5">
        <v>801915291682.93042</v>
      </c>
      <c r="E61">
        <v>-187276636327.05301</v>
      </c>
      <c r="F61">
        <f t="shared" si="0"/>
        <v>614638655355.87744</v>
      </c>
      <c r="G61">
        <v>0.30716202287492683</v>
      </c>
      <c r="H61">
        <v>0.30716202287492683</v>
      </c>
      <c r="I61">
        <v>-5.3877120001215625E-2</v>
      </c>
      <c r="J61">
        <f t="shared" si="4"/>
        <v>0.25328490287371119</v>
      </c>
      <c r="K61">
        <f t="shared" si="2"/>
        <v>0.25328490287371119</v>
      </c>
      <c r="L61">
        <f t="shared" si="5"/>
        <v>8652118919152.9551</v>
      </c>
    </row>
    <row r="62" spans="2:12">
      <c r="B62">
        <v>1988</v>
      </c>
      <c r="C62">
        <v>1129475700197.9944</v>
      </c>
      <c r="D62" s="5">
        <v>851624677949.28784</v>
      </c>
      <c r="E62">
        <v>-196222058845.81699</v>
      </c>
      <c r="F62">
        <f t="shared" si="0"/>
        <v>655402619103.47083</v>
      </c>
      <c r="G62">
        <v>0.32720737341548423</v>
      </c>
      <c r="H62">
        <v>0.32720737341548423</v>
      </c>
      <c r="I62">
        <v>-5.7865486305381152E-2</v>
      </c>
      <c r="J62">
        <f t="shared" si="4"/>
        <v>0.2693418871101031</v>
      </c>
      <c r="K62">
        <f t="shared" si="2"/>
        <v>0.2693418871101031</v>
      </c>
      <c r="L62">
        <f t="shared" si="5"/>
        <v>9089226015129.5781</v>
      </c>
    </row>
    <row r="63" spans="2:12">
      <c r="B63">
        <v>1989</v>
      </c>
      <c r="C63">
        <v>1162123340387.3208</v>
      </c>
      <c r="D63" s="5">
        <v>876240998652.03979</v>
      </c>
      <c r="E63">
        <v>-203949894405.80301</v>
      </c>
      <c r="F63">
        <f t="shared" si="0"/>
        <v>672291104246.23682</v>
      </c>
      <c r="G63">
        <v>0.34821403619053426</v>
      </c>
      <c r="H63">
        <v>0.34821403619053426</v>
      </c>
      <c r="I63">
        <v>-6.2081992437466156E-2</v>
      </c>
      <c r="J63">
        <f t="shared" si="4"/>
        <v>0.28613204375306811</v>
      </c>
      <c r="K63">
        <f t="shared" si="2"/>
        <v>0.28613204375306811</v>
      </c>
      <c r="L63">
        <f t="shared" si="5"/>
        <v>9538967747859.4707</v>
      </c>
    </row>
    <row r="64" spans="2:12">
      <c r="B64">
        <v>1990</v>
      </c>
      <c r="C64">
        <v>1167790130651.5374</v>
      </c>
      <c r="D64" s="5">
        <v>880513758511.25903</v>
      </c>
      <c r="E64">
        <v>-210281593715.802</v>
      </c>
      <c r="F64">
        <f t="shared" si="0"/>
        <v>670232164795.45703</v>
      </c>
      <c r="G64">
        <v>0.37020343907181147</v>
      </c>
      <c r="H64">
        <v>0.37020343907181147</v>
      </c>
      <c r="I64">
        <v>-6.6534599406935541E-2</v>
      </c>
      <c r="J64">
        <f t="shared" si="4"/>
        <v>0.3036688396648759</v>
      </c>
      <c r="K64">
        <f t="shared" si="2"/>
        <v>0.3036688396648759</v>
      </c>
      <c r="L64">
        <f t="shared" si="5"/>
        <v>9990902528421.6152</v>
      </c>
    </row>
    <row r="65" spans="2:12">
      <c r="B65">
        <v>1991</v>
      </c>
      <c r="C65">
        <v>1195377543841.7754</v>
      </c>
      <c r="D65" s="5">
        <v>901314668056.69873</v>
      </c>
      <c r="E65">
        <v>-217497680014.45599</v>
      </c>
      <c r="F65">
        <f t="shared" si="0"/>
        <v>683816988042.24268</v>
      </c>
      <c r="G65">
        <v>0.3931627940541928</v>
      </c>
      <c r="H65">
        <v>0.3931627940541928</v>
      </c>
      <c r="I65">
        <v>-7.1228813776325214E-2</v>
      </c>
      <c r="J65">
        <f t="shared" si="4"/>
        <v>0.32193398027786757</v>
      </c>
      <c r="K65">
        <f t="shared" si="2"/>
        <v>0.32193398027786757</v>
      </c>
      <c r="L65">
        <f t="shared" si="5"/>
        <v>10453513637888.383</v>
      </c>
    </row>
    <row r="66" spans="2:12">
      <c r="B66">
        <v>1992</v>
      </c>
      <c r="C66">
        <v>1242654476775.8433</v>
      </c>
      <c r="D66" s="5">
        <v>936961475488.98584</v>
      </c>
      <c r="E66">
        <v>-225715890213.76801</v>
      </c>
      <c r="F66">
        <f t="shared" si="0"/>
        <v>711245585275.21777</v>
      </c>
      <c r="G66">
        <v>0.41710953481480711</v>
      </c>
      <c r="H66">
        <v>0.41710953481480711</v>
      </c>
      <c r="I66">
        <v>-7.6171699580077079E-2</v>
      </c>
      <c r="J66">
        <f t="shared" si="4"/>
        <v>0.34093783523473004</v>
      </c>
      <c r="K66">
        <f t="shared" si="2"/>
        <v>0.34093783523473004</v>
      </c>
      <c r="L66">
        <f t="shared" si="5"/>
        <v>10934420920400.635</v>
      </c>
    </row>
    <row r="67" spans="2:12">
      <c r="B67">
        <v>1993</v>
      </c>
      <c r="C67">
        <v>1300694482880.7478</v>
      </c>
      <c r="D67" s="5">
        <v>980723640092.08374</v>
      </c>
      <c r="E67">
        <v>-234446154761.30099</v>
      </c>
      <c r="F67">
        <f t="shared" si="0"/>
        <v>746277485330.78271</v>
      </c>
      <c r="G67">
        <v>0.44208631339966192</v>
      </c>
      <c r="H67">
        <v>0.44208631339966192</v>
      </c>
      <c r="I67">
        <v>-8.1371965757597406E-2</v>
      </c>
      <c r="J67">
        <f t="shared" si="4"/>
        <v>0.3607143476420645</v>
      </c>
      <c r="K67">
        <f t="shared" si="2"/>
        <v>0.3607143476420645</v>
      </c>
      <c r="L67">
        <f t="shared" si="5"/>
        <v>11437789685275.484</v>
      </c>
    </row>
    <row r="68" spans="2:12">
      <c r="B68">
        <v>1994</v>
      </c>
      <c r="C68">
        <v>1383149527558.864</v>
      </c>
      <c r="D68" s="5">
        <v>1042894743779.3835</v>
      </c>
      <c r="E68">
        <v>-244198861258.01599</v>
      </c>
      <c r="F68">
        <f t="shared" si="0"/>
        <v>798695882521.36755</v>
      </c>
      <c r="G68">
        <v>0.4681480315140612</v>
      </c>
      <c r="H68">
        <v>0.4681480315140612</v>
      </c>
      <c r="I68">
        <v>-8.6839033813421646E-2</v>
      </c>
      <c r="J68">
        <f t="shared" si="4"/>
        <v>0.38130899770063953</v>
      </c>
      <c r="K68">
        <f t="shared" si="2"/>
        <v>0.38130899770063953</v>
      </c>
      <c r="L68">
        <f t="shared" si="5"/>
        <v>11973068552440.766</v>
      </c>
    </row>
    <row r="69" spans="2:12">
      <c r="B69">
        <v>1995</v>
      </c>
      <c r="C69">
        <v>1455016130479.1367</v>
      </c>
      <c r="D69" s="5">
        <v>1097082162381.2692</v>
      </c>
      <c r="E69">
        <v>-238634794973.673</v>
      </c>
      <c r="F69">
        <f t="shared" si="0"/>
        <v>858447367407.59619</v>
      </c>
      <c r="G69">
        <v>0.49537867040940309</v>
      </c>
      <c r="H69">
        <v>0.49537867040940309</v>
      </c>
      <c r="I69">
        <v>-9.2583868441610928E-2</v>
      </c>
      <c r="J69">
        <f t="shared" si="4"/>
        <v>0.40279480196779216</v>
      </c>
      <c r="K69">
        <f t="shared" si="2"/>
        <v>0.40279480196779216</v>
      </c>
      <c r="L69">
        <f t="shared" si="5"/>
        <v>12536159794936.191</v>
      </c>
    </row>
    <row r="70" spans="2:12">
      <c r="B70">
        <v>1996</v>
      </c>
      <c r="C70">
        <v>1509811253603.9529</v>
      </c>
      <c r="D70" s="5">
        <v>1138397685217.3806</v>
      </c>
      <c r="E70">
        <v>-256336149906.995</v>
      </c>
      <c r="F70">
        <f t="shared" ref="F70:F124" si="6">D70+E70</f>
        <v>882061535310.38562</v>
      </c>
      <c r="G70">
        <v>0.52384506918199214</v>
      </c>
      <c r="H70">
        <v>0.52384506918199214</v>
      </c>
      <c r="I70">
        <v>-9.8591245121949708E-2</v>
      </c>
      <c r="J70">
        <f t="shared" ref="J70:J101" si="7">G70+I70</f>
        <v>0.42525382406004242</v>
      </c>
      <c r="K70">
        <f t="shared" ref="K70:K133" si="8">H70+I70</f>
        <v>0.42525382406004242</v>
      </c>
      <c r="L70">
        <f t="shared" ref="L70:L101" si="9">L69+C70*0.387</f>
        <v>13120456750080.922</v>
      </c>
    </row>
    <row r="71" spans="2:12">
      <c r="B71">
        <v>1997</v>
      </c>
      <c r="C71">
        <v>1558315546746.9502</v>
      </c>
      <c r="D71" s="5">
        <v>1174969922247.2004</v>
      </c>
      <c r="E71">
        <v>-271227373713.04999</v>
      </c>
      <c r="F71">
        <f t="shared" si="6"/>
        <v>903742548534.15039</v>
      </c>
      <c r="G71">
        <v>0.55359011062565899</v>
      </c>
      <c r="H71">
        <v>0.55359011062565899</v>
      </c>
      <c r="I71">
        <v>-0.10488667440082403</v>
      </c>
      <c r="J71">
        <f t="shared" si="7"/>
        <v>0.448703436224835</v>
      </c>
      <c r="K71">
        <f t="shared" si="8"/>
        <v>0.448703436224835</v>
      </c>
      <c r="L71">
        <f t="shared" si="9"/>
        <v>13723524866671.992</v>
      </c>
    </row>
    <row r="72" spans="2:12">
      <c r="B72">
        <v>1998</v>
      </c>
      <c r="C72">
        <v>1559754762508.9814</v>
      </c>
      <c r="D72" s="5">
        <v>1176055090931.772</v>
      </c>
      <c r="E72">
        <v>-278634579089.69098</v>
      </c>
      <c r="F72">
        <f t="shared" si="6"/>
        <v>897420511842.08105</v>
      </c>
      <c r="G72">
        <v>0.58464816462001856</v>
      </c>
      <c r="H72">
        <v>0.58464816462001856</v>
      </c>
      <c r="I72">
        <v>-0.11148960172261353</v>
      </c>
      <c r="J72">
        <f t="shared" si="7"/>
        <v>0.47315856289740504</v>
      </c>
      <c r="K72">
        <f t="shared" si="8"/>
        <v>0.47315856289740504</v>
      </c>
      <c r="L72">
        <f t="shared" si="9"/>
        <v>14327149959762.969</v>
      </c>
    </row>
    <row r="73" spans="2:12">
      <c r="B73">
        <v>1999</v>
      </c>
      <c r="C73">
        <v>1621157577438.948</v>
      </c>
      <c r="D73" s="5">
        <v>1222352813388.9668</v>
      </c>
      <c r="E73">
        <v>-288634514187.383</v>
      </c>
      <c r="F73">
        <f t="shared" si="6"/>
        <v>933718299201.58374</v>
      </c>
      <c r="G73">
        <v>0.61699358757086564</v>
      </c>
      <c r="H73">
        <v>0.61699358757086564</v>
      </c>
      <c r="I73">
        <v>-0.11840602421146247</v>
      </c>
      <c r="J73">
        <f t="shared" si="7"/>
        <v>0.49858756335940319</v>
      </c>
      <c r="K73">
        <f t="shared" si="8"/>
        <v>0.49858756335940319</v>
      </c>
      <c r="L73">
        <f t="shared" si="9"/>
        <v>14954537942231.842</v>
      </c>
    </row>
    <row r="74" spans="2:12">
      <c r="B74">
        <v>2000</v>
      </c>
      <c r="C74">
        <v>1687282161057.8088</v>
      </c>
      <c r="D74" s="5">
        <v>1272210749437.5879</v>
      </c>
      <c r="E74">
        <v>-298222149817.69202</v>
      </c>
      <c r="F74">
        <f t="shared" si="6"/>
        <v>973988599619.89587</v>
      </c>
      <c r="G74">
        <v>0.65068091870667732</v>
      </c>
      <c r="H74">
        <v>0.65068091870667732</v>
      </c>
      <c r="I74">
        <v>-0.12564645476743885</v>
      </c>
      <c r="J74">
        <f t="shared" si="7"/>
        <v>0.52503446393923847</v>
      </c>
      <c r="K74">
        <f t="shared" si="8"/>
        <v>0.52503446393923847</v>
      </c>
      <c r="L74">
        <f t="shared" si="9"/>
        <v>15607516138561.215</v>
      </c>
    </row>
    <row r="75" spans="2:12">
      <c r="B75">
        <v>2001</v>
      </c>
      <c r="C75">
        <v>1766195419387.031</v>
      </c>
      <c r="D75" s="5">
        <v>1331711346217.8215</v>
      </c>
      <c r="E75">
        <v>-311442225197.737</v>
      </c>
      <c r="F75">
        <f t="shared" si="6"/>
        <v>1020269121020.0845</v>
      </c>
      <c r="G75">
        <v>0.68576898310708678</v>
      </c>
      <c r="H75">
        <v>0.68576898310708678</v>
      </c>
      <c r="I75">
        <v>-0.1332205330401228</v>
      </c>
      <c r="J75">
        <f t="shared" si="7"/>
        <v>0.55254845006696396</v>
      </c>
      <c r="K75">
        <f t="shared" si="8"/>
        <v>0.55254845006696396</v>
      </c>
      <c r="L75">
        <f t="shared" si="9"/>
        <v>16291033765863.996</v>
      </c>
    </row>
    <row r="76" spans="2:12">
      <c r="B76">
        <v>2002</v>
      </c>
      <c r="C76">
        <v>1883502450213.4187</v>
      </c>
      <c r="D76" s="5">
        <v>1420160847460.9177</v>
      </c>
      <c r="E76">
        <v>-328851256643.75598</v>
      </c>
      <c r="F76">
        <f t="shared" si="6"/>
        <v>1091309590817.1617</v>
      </c>
      <c r="G76">
        <v>0.72233110263153522</v>
      </c>
      <c r="H76">
        <v>0.72233110263153522</v>
      </c>
      <c r="I76">
        <v>-0.14114393532207842</v>
      </c>
      <c r="J76">
        <f t="shared" si="7"/>
        <v>0.58118716730945685</v>
      </c>
      <c r="K76">
        <f t="shared" si="8"/>
        <v>0.58118716730945685</v>
      </c>
      <c r="L76">
        <f t="shared" si="9"/>
        <v>17019949214096.59</v>
      </c>
    </row>
    <row r="77" spans="2:12">
      <c r="B77">
        <v>2003</v>
      </c>
      <c r="C77">
        <v>2068947332920.4089</v>
      </c>
      <c r="D77" s="5">
        <v>1559986289021.9883</v>
      </c>
      <c r="E77">
        <v>-352328884170.867</v>
      </c>
      <c r="F77">
        <f t="shared" si="6"/>
        <v>1207657404851.1213</v>
      </c>
      <c r="G77">
        <v>0.76048706554986079</v>
      </c>
      <c r="H77">
        <v>0.76048706554986079</v>
      </c>
      <c r="I77">
        <v>-0.14943894958394924</v>
      </c>
      <c r="J77">
        <f t="shared" si="7"/>
        <v>0.61104811596591158</v>
      </c>
      <c r="K77">
        <f t="shared" si="8"/>
        <v>0.61104811596591158</v>
      </c>
      <c r="L77">
        <f t="shared" si="9"/>
        <v>17820631831936.789</v>
      </c>
    </row>
    <row r="78" spans="2:12">
      <c r="B78">
        <v>2004</v>
      </c>
      <c r="C78">
        <v>2233168786484.3833</v>
      </c>
      <c r="D78" s="5">
        <v>1683809265009.2251</v>
      </c>
      <c r="E78">
        <v>-374505156884.73401</v>
      </c>
      <c r="F78">
        <f t="shared" si="6"/>
        <v>1309304108124.4912</v>
      </c>
      <c r="G78">
        <v>0.80043849861315808</v>
      </c>
      <c r="H78">
        <v>0.80043849861315808</v>
      </c>
      <c r="I78">
        <v>-0.15813729901303086</v>
      </c>
      <c r="J78">
        <f t="shared" si="7"/>
        <v>0.64230119960012722</v>
      </c>
      <c r="K78">
        <f t="shared" si="8"/>
        <v>0.64230119960012722</v>
      </c>
      <c r="L78">
        <f t="shared" si="9"/>
        <v>18684868152306.246</v>
      </c>
    </row>
    <row r="79" spans="2:12">
      <c r="B79">
        <v>2005</v>
      </c>
      <c r="C79">
        <v>2400694880568.4482</v>
      </c>
      <c r="D79" s="5">
        <v>1810123939948.6101</v>
      </c>
      <c r="E79">
        <v>-396024385726.37799</v>
      </c>
      <c r="F79">
        <f t="shared" si="6"/>
        <v>1414099554222.2322</v>
      </c>
      <c r="G79">
        <v>0.84235039177043347</v>
      </c>
      <c r="H79">
        <v>0.84235039177043347</v>
      </c>
      <c r="I79">
        <v>-0.16726718065496088</v>
      </c>
      <c r="J79">
        <f t="shared" si="7"/>
        <v>0.67508321111547254</v>
      </c>
      <c r="K79">
        <f t="shared" si="8"/>
        <v>0.67508321111547254</v>
      </c>
      <c r="L79">
        <f t="shared" si="9"/>
        <v>19613937071086.234</v>
      </c>
    </row>
    <row r="80" spans="2:12">
      <c r="B80">
        <v>2006</v>
      </c>
      <c r="C80">
        <v>2664831033285.4448</v>
      </c>
      <c r="D80" s="5">
        <v>2009282599097.2253</v>
      </c>
      <c r="E80">
        <v>-425439680316.95898</v>
      </c>
      <c r="F80">
        <f t="shared" si="6"/>
        <v>1583842918780.2664</v>
      </c>
      <c r="G80">
        <v>0.88638573294162071</v>
      </c>
      <c r="H80">
        <v>0.88638573294162071</v>
      </c>
      <c r="I80">
        <v>-0.1768547179795264</v>
      </c>
      <c r="J80">
        <f t="shared" si="7"/>
        <v>0.70953101496209436</v>
      </c>
      <c r="K80">
        <f t="shared" si="8"/>
        <v>0.70953101496209436</v>
      </c>
      <c r="L80">
        <f t="shared" si="9"/>
        <v>20645226680967.703</v>
      </c>
    </row>
    <row r="81" spans="2:12">
      <c r="B81">
        <v>2007</v>
      </c>
      <c r="C81">
        <v>2849277545207.125</v>
      </c>
      <c r="D81" s="5">
        <v>2148355269086.1724</v>
      </c>
      <c r="E81">
        <v>-454749540585.72699</v>
      </c>
      <c r="F81">
        <f t="shared" si="6"/>
        <v>1693605728500.4453</v>
      </c>
      <c r="G81">
        <v>0.93282534576650411</v>
      </c>
      <c r="H81">
        <v>0.93282534576650411</v>
      </c>
      <c r="I81">
        <v>-0.1869386607596378</v>
      </c>
      <c r="J81">
        <f t="shared" si="7"/>
        <v>0.74588668500686628</v>
      </c>
      <c r="K81">
        <f t="shared" si="8"/>
        <v>0.74588668500686628</v>
      </c>
      <c r="L81">
        <f t="shared" si="9"/>
        <v>21747897090962.859</v>
      </c>
    </row>
    <row r="82" spans="2:12">
      <c r="B82">
        <v>2008</v>
      </c>
      <c r="C82">
        <v>2881795135435.2944</v>
      </c>
      <c r="D82" s="5">
        <v>2172873532118.2122</v>
      </c>
      <c r="E82">
        <v>-482619388216.97302</v>
      </c>
      <c r="F82">
        <f t="shared" si="6"/>
        <v>1690254143901.2393</v>
      </c>
      <c r="G82">
        <v>0.98183623977692791</v>
      </c>
      <c r="H82">
        <v>0.98183623977692791</v>
      </c>
      <c r="I82">
        <v>-0.19755613739370348</v>
      </c>
      <c r="J82">
        <f t="shared" si="7"/>
        <v>0.78428010238322443</v>
      </c>
      <c r="K82">
        <f t="shared" si="8"/>
        <v>0.78428010238322443</v>
      </c>
      <c r="L82">
        <f t="shared" si="9"/>
        <v>22863151808376.32</v>
      </c>
    </row>
    <row r="83" spans="2:12">
      <c r="B83">
        <v>2009</v>
      </c>
      <c r="C83">
        <v>3109774787728.8237</v>
      </c>
      <c r="D83" s="5">
        <v>2344770189947.5332</v>
      </c>
      <c r="E83">
        <v>-505125948813.43597</v>
      </c>
      <c r="F83">
        <f t="shared" si="6"/>
        <v>1839644241134.0972</v>
      </c>
      <c r="G83">
        <v>1.0333877366806368</v>
      </c>
      <c r="H83">
        <v>1.0333877366806368</v>
      </c>
      <c r="I83">
        <v>-0.20874064700100586</v>
      </c>
      <c r="J83">
        <f t="shared" si="7"/>
        <v>0.82464708967963096</v>
      </c>
      <c r="K83">
        <f t="shared" si="8"/>
        <v>0.82464708967963096</v>
      </c>
      <c r="L83">
        <f t="shared" si="9"/>
        <v>24066634651227.375</v>
      </c>
    </row>
    <row r="84" spans="2:12">
      <c r="B84">
        <v>2010</v>
      </c>
      <c r="C84">
        <v>3339804136804.4863</v>
      </c>
      <c r="D84" s="5">
        <v>2518212319150.583</v>
      </c>
      <c r="E84">
        <v>-530141235275.65302</v>
      </c>
      <c r="F84">
        <f t="shared" si="6"/>
        <v>1988071083874.9299</v>
      </c>
      <c r="G84">
        <v>1.0877071599324215</v>
      </c>
      <c r="H84">
        <v>1.0877071599324215</v>
      </c>
      <c r="I84">
        <v>-0.22051575861712036</v>
      </c>
      <c r="J84">
        <f t="shared" si="7"/>
        <v>0.86719140131530115</v>
      </c>
      <c r="K84">
        <f t="shared" si="8"/>
        <v>0.86719140131530115</v>
      </c>
      <c r="L84">
        <f t="shared" si="9"/>
        <v>25359138852170.711</v>
      </c>
    </row>
    <row r="85" spans="2:12">
      <c r="B85">
        <v>2011</v>
      </c>
      <c r="C85">
        <v>3708236100363.5928</v>
      </c>
      <c r="D85" s="5">
        <v>2796010019674.1489</v>
      </c>
      <c r="E85">
        <v>-568960835880.71802</v>
      </c>
      <c r="F85">
        <f t="shared" si="6"/>
        <v>2227049183793.4307</v>
      </c>
      <c r="G85">
        <v>1.1450159970865501</v>
      </c>
      <c r="H85">
        <v>1.1450159970865501</v>
      </c>
      <c r="I85">
        <v>-0.23290911423940883</v>
      </c>
      <c r="J85">
        <f t="shared" si="7"/>
        <v>0.91210688284714125</v>
      </c>
      <c r="K85">
        <f t="shared" si="8"/>
        <v>0.91210688284714125</v>
      </c>
      <c r="L85">
        <f t="shared" si="9"/>
        <v>26794226223011.422</v>
      </c>
    </row>
    <row r="86" spans="2:12">
      <c r="B86">
        <v>2012</v>
      </c>
      <c r="C86">
        <v>3908636910974.2563</v>
      </c>
      <c r="D86" s="5">
        <v>2947112230874.5894</v>
      </c>
      <c r="E86">
        <v>-604529316652.14795</v>
      </c>
      <c r="F86">
        <f t="shared" si="6"/>
        <v>2342582914222.4414</v>
      </c>
      <c r="G86">
        <v>1.2057051347489272</v>
      </c>
      <c r="H86">
        <v>1.2057051347489272</v>
      </c>
      <c r="I86">
        <v>-0.24597128350178563</v>
      </c>
      <c r="J86">
        <f t="shared" si="7"/>
        <v>0.9597338512471415</v>
      </c>
      <c r="K86">
        <f t="shared" si="8"/>
        <v>0.9597338512471415</v>
      </c>
      <c r="L86">
        <f t="shared" si="9"/>
        <v>28306868707558.461</v>
      </c>
    </row>
    <row r="87" spans="2:12">
      <c r="B87">
        <v>2013</v>
      </c>
      <c r="C87">
        <v>4165039752949.2021</v>
      </c>
      <c r="D87" s="5">
        <v>3140439973723.6982</v>
      </c>
      <c r="E87">
        <v>-641284262837.05103</v>
      </c>
      <c r="F87">
        <f t="shared" si="6"/>
        <v>2499155710886.6475</v>
      </c>
      <c r="G87">
        <v>1.2699341588441078</v>
      </c>
      <c r="H87">
        <v>1.2699341588441078</v>
      </c>
      <c r="I87">
        <v>-0.25974551492692299</v>
      </c>
      <c r="J87">
        <f t="shared" si="7"/>
        <v>1.0101886439171848</v>
      </c>
      <c r="K87">
        <f t="shared" si="8"/>
        <v>1.0101886439171848</v>
      </c>
      <c r="L87">
        <f t="shared" si="9"/>
        <v>29918739091949.801</v>
      </c>
    </row>
    <row r="88" spans="2:12">
      <c r="B88">
        <v>2014</v>
      </c>
      <c r="C88">
        <v>4269480559922.4473</v>
      </c>
      <c r="D88" s="5">
        <v>3219188342181.5254</v>
      </c>
      <c r="E88">
        <v>-671798748384.26404</v>
      </c>
      <c r="F88">
        <f t="shared" si="6"/>
        <v>2547389593797.2612</v>
      </c>
      <c r="G88">
        <v>1.3379332659609979</v>
      </c>
      <c r="H88">
        <v>1.3379332659609979</v>
      </c>
      <c r="I88">
        <v>-0.27427588276074438</v>
      </c>
      <c r="J88">
        <f t="shared" si="7"/>
        <v>1.0636573832002536</v>
      </c>
      <c r="K88">
        <f t="shared" si="8"/>
        <v>1.0636573832002536</v>
      </c>
      <c r="L88">
        <f t="shared" si="9"/>
        <v>31571028068639.789</v>
      </c>
    </row>
    <row r="89" spans="2:12">
      <c r="B89">
        <v>2015</v>
      </c>
      <c r="C89">
        <v>4118554559317.1538</v>
      </c>
      <c r="D89" s="5">
        <v>3105390137725.1343</v>
      </c>
      <c r="E89">
        <v>-692387234640.16199</v>
      </c>
      <c r="F89">
        <f t="shared" si="6"/>
        <v>2413002903084.9722</v>
      </c>
      <c r="G89">
        <v>1.4097334222846221</v>
      </c>
      <c r="H89">
        <v>1.4097334222846221</v>
      </c>
      <c r="I89">
        <v>-0.28959477261544042</v>
      </c>
      <c r="J89">
        <f t="shared" si="7"/>
        <v>1.1201386496691816</v>
      </c>
      <c r="K89">
        <f t="shared" si="8"/>
        <v>1.1201386496691816</v>
      </c>
      <c r="L89">
        <f t="shared" si="9"/>
        <v>33164908683095.527</v>
      </c>
    </row>
    <row r="90" spans="2:12">
      <c r="B90">
        <v>2016</v>
      </c>
      <c r="C90">
        <v>4186998436773.8481</v>
      </c>
      <c r="D90" s="5">
        <v>3156996821327.4814</v>
      </c>
      <c r="E90">
        <v>-719761656614.01697</v>
      </c>
      <c r="F90">
        <f t="shared" si="6"/>
        <v>2437235164713.4644</v>
      </c>
      <c r="G90">
        <v>1.4850470312154762</v>
      </c>
      <c r="H90">
        <v>1.4850470312154762</v>
      </c>
      <c r="I90">
        <v>-0.30571745639434628</v>
      </c>
      <c r="J90">
        <f t="shared" si="7"/>
        <v>1.1793295748211299</v>
      </c>
      <c r="K90">
        <f t="shared" si="8"/>
        <v>1.1793295748211299</v>
      </c>
      <c r="L90">
        <f t="shared" si="9"/>
        <v>34785277078127.008</v>
      </c>
    </row>
    <row r="91" spans="2:12">
      <c r="B91">
        <v>2017</v>
      </c>
      <c r="C91">
        <v>4233366979830.6357</v>
      </c>
      <c r="D91" s="5">
        <v>3191958702792.2993</v>
      </c>
      <c r="E91">
        <v>-737667184321.71899</v>
      </c>
      <c r="F91">
        <f t="shared" si="6"/>
        <v>2454291518470.5801</v>
      </c>
      <c r="G91">
        <v>1.5638921152448397</v>
      </c>
      <c r="H91">
        <v>1.5638921152448397</v>
      </c>
      <c r="I91">
        <v>-0.32267141907872482</v>
      </c>
      <c r="J91">
        <f t="shared" si="7"/>
        <v>1.241220696166115</v>
      </c>
      <c r="K91">
        <f t="shared" si="8"/>
        <v>1.241220696166115</v>
      </c>
      <c r="L91">
        <f t="shared" si="9"/>
        <v>36423590099321.461</v>
      </c>
    </row>
    <row r="92" spans="2:12">
      <c r="B92">
        <v>2018</v>
      </c>
      <c r="C92">
        <v>4249418173790.9575</v>
      </c>
      <c r="D92" s="5">
        <v>3204061303038.3818</v>
      </c>
      <c r="E92">
        <v>-761295459996.79504</v>
      </c>
      <c r="F92">
        <f t="shared" si="6"/>
        <v>2442765843041.5869</v>
      </c>
      <c r="G92">
        <v>1.6462621737829415</v>
      </c>
      <c r="H92">
        <v>1.6462621737829415</v>
      </c>
      <c r="I92">
        <v>-0.34046797050508953</v>
      </c>
      <c r="J92">
        <f t="shared" si="7"/>
        <v>1.305794203277852</v>
      </c>
      <c r="K92">
        <f t="shared" si="8"/>
        <v>1.305794203277852</v>
      </c>
      <c r="L92">
        <f t="shared" si="9"/>
        <v>38068114932578.563</v>
      </c>
    </row>
    <row r="93" spans="2:12">
      <c r="B93">
        <v>2019</v>
      </c>
      <c r="C93">
        <v>4220226798957.2139</v>
      </c>
      <c r="D93" s="5">
        <v>3182051006413.7393</v>
      </c>
      <c r="E93">
        <v>-779666731228.01904</v>
      </c>
      <c r="F93">
        <f t="shared" si="6"/>
        <v>2402384275185.7202</v>
      </c>
      <c r="G93">
        <v>1.7321166333563291</v>
      </c>
      <c r="H93">
        <v>1.7321166333563291</v>
      </c>
      <c r="I93">
        <v>-0.35912892751420744</v>
      </c>
      <c r="J93">
        <f t="shared" si="7"/>
        <v>1.3729877058421218</v>
      </c>
      <c r="K93">
        <f t="shared" si="8"/>
        <v>1.3729877058421218</v>
      </c>
      <c r="L93">
        <f t="shared" si="9"/>
        <v>39701342703775.008</v>
      </c>
    </row>
    <row r="94" spans="2:12">
      <c r="B94">
        <v>2020</v>
      </c>
      <c r="C94">
        <v>4130840737179.9268</v>
      </c>
      <c r="D94" s="5">
        <v>3114653915833.6646</v>
      </c>
      <c r="E94">
        <v>-794009916753.72595</v>
      </c>
      <c r="F94">
        <f t="shared" si="6"/>
        <v>2320643999079.9385</v>
      </c>
      <c r="G94">
        <v>1.8213632563445672</v>
      </c>
      <c r="H94">
        <v>1.8213632563445672</v>
      </c>
      <c r="I94">
        <v>-0.37866725254501021</v>
      </c>
      <c r="J94">
        <f t="shared" si="7"/>
        <v>1.4426960037995569</v>
      </c>
      <c r="K94">
        <f t="shared" si="8"/>
        <v>1.4426960037995569</v>
      </c>
      <c r="L94">
        <f t="shared" si="9"/>
        <v>41299978069063.641</v>
      </c>
    </row>
    <row r="95" spans="2:12">
      <c r="B95">
        <v>2021</v>
      </c>
      <c r="C95">
        <v>3974792570453.2119</v>
      </c>
      <c r="D95" s="5">
        <v>2996993598121.7217</v>
      </c>
      <c r="E95">
        <v>-806711606590.75195</v>
      </c>
      <c r="F95">
        <f t="shared" si="6"/>
        <v>2190281991530.9697</v>
      </c>
      <c r="G95">
        <v>1.9138414387081972</v>
      </c>
      <c r="H95">
        <v>1.9138414387081972</v>
      </c>
      <c r="I95">
        <v>-0.39908963979417156</v>
      </c>
      <c r="J95">
        <f t="shared" si="7"/>
        <v>1.5147517989140256</v>
      </c>
      <c r="K95">
        <f t="shared" si="8"/>
        <v>1.5147517989140256</v>
      </c>
      <c r="L95">
        <f t="shared" si="9"/>
        <v>42838222793829.031</v>
      </c>
    </row>
    <row r="96" spans="2:12">
      <c r="B96">
        <v>2022</v>
      </c>
      <c r="C96">
        <v>3764174552055.5562</v>
      </c>
      <c r="D96" s="5">
        <v>2838187612249.8892</v>
      </c>
      <c r="E96">
        <v>-813016221314.59094</v>
      </c>
      <c r="F96">
        <f t="shared" si="6"/>
        <v>2025171390935.2983</v>
      </c>
      <c r="G96">
        <v>2.0093170962264364</v>
      </c>
      <c r="H96">
        <v>2.0093170962264364</v>
      </c>
      <c r="I96">
        <v>-0.42040084242698816</v>
      </c>
      <c r="J96">
        <f t="shared" si="7"/>
        <v>1.5889162537994483</v>
      </c>
      <c r="K96">
        <f t="shared" si="8"/>
        <v>1.5889162537994483</v>
      </c>
      <c r="L96">
        <f t="shared" si="9"/>
        <v>44294958345474.531</v>
      </c>
    </row>
    <row r="97" spans="2:12">
      <c r="B97">
        <v>2023</v>
      </c>
      <c r="C97">
        <v>3528977877667.9468</v>
      </c>
      <c r="D97" s="5">
        <v>2660849319761.6318</v>
      </c>
      <c r="E97">
        <v>-811435515769.76196</v>
      </c>
      <c r="F97">
        <f t="shared" si="6"/>
        <v>1849413803991.8699</v>
      </c>
      <c r="G97">
        <v>2.1075012010544873</v>
      </c>
      <c r="H97">
        <v>2.1075012010544873</v>
      </c>
      <c r="I97">
        <v>-0.44259561600017622</v>
      </c>
      <c r="J97">
        <f t="shared" si="7"/>
        <v>1.6649055850543111</v>
      </c>
      <c r="K97">
        <f t="shared" si="8"/>
        <v>1.6649055850543111</v>
      </c>
      <c r="L97">
        <f t="shared" si="9"/>
        <v>45660672784132.023</v>
      </c>
    </row>
    <row r="98" spans="2:12">
      <c r="B98">
        <v>2024</v>
      </c>
      <c r="C98">
        <v>3308134695879.0737</v>
      </c>
      <c r="D98" s="5">
        <v>1343102686526.9041</v>
      </c>
      <c r="E98">
        <v>-810369877685.15295</v>
      </c>
      <c r="F98">
        <f t="shared" si="6"/>
        <v>532732808841.7511</v>
      </c>
      <c r="G98">
        <v>2.2080896907986096</v>
      </c>
      <c r="H98">
        <v>2.2080896907986096</v>
      </c>
      <c r="I98">
        <v>-0.46565669066990323</v>
      </c>
      <c r="J98">
        <f t="shared" si="7"/>
        <v>1.7424330001287065</v>
      </c>
      <c r="K98">
        <f t="shared" si="8"/>
        <v>1.7424330001287065</v>
      </c>
      <c r="L98">
        <f t="shared" si="9"/>
        <v>46940920911437.227</v>
      </c>
    </row>
    <row r="99" spans="2:12">
      <c r="B99">
        <v>2025</v>
      </c>
      <c r="C99">
        <v>3132598174554.3013</v>
      </c>
      <c r="D99" s="5">
        <v>1271834858869.0464</v>
      </c>
      <c r="E99">
        <v>-810601090387.07898</v>
      </c>
      <c r="F99">
        <f t="shared" si="6"/>
        <v>461233768481.96741</v>
      </c>
      <c r="G99">
        <v>2.3108121973302755</v>
      </c>
      <c r="H99">
        <v>2.3088638769020191</v>
      </c>
      <c r="I99">
        <v>-0.48956954775597766</v>
      </c>
      <c r="J99">
        <f t="shared" si="7"/>
        <v>1.8212426495742979</v>
      </c>
      <c r="K99">
        <f t="shared" si="8"/>
        <v>1.8192943291460415</v>
      </c>
      <c r="L99">
        <f t="shared" si="9"/>
        <v>48153236404989.742</v>
      </c>
    </row>
    <row r="100" spans="2:12">
      <c r="B100">
        <v>2026</v>
      </c>
      <c r="C100">
        <v>2937934310899.4033</v>
      </c>
      <c r="D100" s="5">
        <v>1192801330225.158</v>
      </c>
      <c r="E100">
        <v>-807199040301.90503</v>
      </c>
      <c r="F100">
        <f t="shared" si="6"/>
        <v>385602289923.25293</v>
      </c>
      <c r="G100">
        <v>2.4154677816097934</v>
      </c>
      <c r="H100">
        <v>2.4098455912212873</v>
      </c>
      <c r="I100">
        <v>-0.51432333536756591</v>
      </c>
      <c r="J100">
        <f t="shared" si="7"/>
        <v>1.9011444462422276</v>
      </c>
      <c r="K100">
        <f t="shared" si="8"/>
        <v>1.8955222558537215</v>
      </c>
      <c r="L100">
        <f t="shared" si="9"/>
        <v>49290216983307.813</v>
      </c>
    </row>
    <row r="101" spans="2:12">
      <c r="B101">
        <v>2027</v>
      </c>
      <c r="C101">
        <v>2907187164217.4229</v>
      </c>
      <c r="D101" s="5">
        <v>1180317988672.2737</v>
      </c>
      <c r="E101">
        <v>-811207114762.85999</v>
      </c>
      <c r="F101">
        <f t="shared" si="6"/>
        <v>369110873909.4137</v>
      </c>
      <c r="G101">
        <v>2.5218372673206684</v>
      </c>
      <c r="H101">
        <v>2.5110215747653419</v>
      </c>
      <c r="I101">
        <v>-0.53990211845385683</v>
      </c>
      <c r="J101">
        <f t="shared" si="7"/>
        <v>1.9819351488668115</v>
      </c>
      <c r="K101">
        <f t="shared" si="8"/>
        <v>1.9711194563114851</v>
      </c>
      <c r="L101">
        <f t="shared" si="9"/>
        <v>50415298415859.953</v>
      </c>
    </row>
    <row r="102" spans="2:12">
      <c r="B102">
        <v>2028</v>
      </c>
      <c r="C102">
        <v>2927412928308.0771</v>
      </c>
      <c r="D102" s="5">
        <v>1188529648893.0793</v>
      </c>
      <c r="E102">
        <v>-813788611496.00098</v>
      </c>
      <c r="F102">
        <f t="shared" si="6"/>
        <v>374741037397.07837</v>
      </c>
      <c r="G102">
        <v>2.6299174364096789</v>
      </c>
      <c r="H102">
        <v>2.6124747771816965</v>
      </c>
      <c r="I102">
        <v>-0.56630375338342487</v>
      </c>
      <c r="J102">
        <f t="shared" ref="J102:J124" si="10">G102+I102</f>
        <v>2.0636136830262539</v>
      </c>
      <c r="K102">
        <f t="shared" si="8"/>
        <v>2.0461710237982715</v>
      </c>
      <c r="L102">
        <f t="shared" ref="L102:L124" si="11">L101+C102*0.387</f>
        <v>51548207219115.18</v>
      </c>
    </row>
    <row r="103" spans="2:12">
      <c r="B103">
        <v>2029</v>
      </c>
      <c r="C103">
        <v>2985895893007.2124</v>
      </c>
      <c r="D103" s="5">
        <v>1212273732560.9282</v>
      </c>
      <c r="E103">
        <v>-824974376020.32996</v>
      </c>
      <c r="F103">
        <f t="shared" si="6"/>
        <v>387299356540.59827</v>
      </c>
      <c r="G103">
        <v>2.7397631131111275</v>
      </c>
      <c r="H103">
        <v>2.7143034436013656</v>
      </c>
      <c r="I103">
        <v>-0.59352394283509258</v>
      </c>
      <c r="J103">
        <f t="shared" si="10"/>
        <v>2.1462391702760351</v>
      </c>
      <c r="K103">
        <f t="shared" si="8"/>
        <v>2.1207795007662731</v>
      </c>
      <c r="L103">
        <f t="shared" si="11"/>
        <v>52703748929708.969</v>
      </c>
    </row>
    <row r="104" spans="2:12">
      <c r="B104">
        <v>2030</v>
      </c>
      <c r="C104">
        <v>3071443136104.541</v>
      </c>
      <c r="D104" s="5">
        <v>1247005913258.4436</v>
      </c>
      <c r="E104">
        <v>-836347626729.88794</v>
      </c>
      <c r="F104">
        <f t="shared" si="6"/>
        <v>410658286528.55566</v>
      </c>
      <c r="G104">
        <v>2.8514685061449914</v>
      </c>
      <c r="H104">
        <v>2.8166143339638565</v>
      </c>
      <c r="I104">
        <v>-0.62157332333016246</v>
      </c>
      <c r="J104">
        <f t="shared" si="10"/>
        <v>2.229895182814829</v>
      </c>
      <c r="K104">
        <f t="shared" si="8"/>
        <v>2.1950410106336942</v>
      </c>
      <c r="L104">
        <f t="shared" si="11"/>
        <v>53892397423381.43</v>
      </c>
    </row>
    <row r="105" spans="2:12">
      <c r="B105">
        <v>2031</v>
      </c>
      <c r="C105">
        <v>3140661597921.7241</v>
      </c>
      <c r="D105" s="5">
        <v>1275108608756.22</v>
      </c>
      <c r="E105">
        <v>-847499428805.78894</v>
      </c>
      <c r="F105">
        <f t="shared" si="6"/>
        <v>427609179950.43103</v>
      </c>
      <c r="G105">
        <v>2.9651518908216974</v>
      </c>
      <c r="H105">
        <v>2.9195170648150772</v>
      </c>
      <c r="I105">
        <v>-0.65046227218107855</v>
      </c>
      <c r="J105">
        <f t="shared" si="10"/>
        <v>2.3146896186406187</v>
      </c>
      <c r="K105">
        <f t="shared" si="8"/>
        <v>2.2690547926339986</v>
      </c>
      <c r="L105">
        <f t="shared" si="11"/>
        <v>55107833461777.141</v>
      </c>
    </row>
    <row r="106" spans="2:12">
      <c r="B106">
        <v>2032</v>
      </c>
      <c r="C106">
        <v>3271216891866.2544</v>
      </c>
      <c r="D106" s="5">
        <v>1328114058097.6995</v>
      </c>
      <c r="E106">
        <v>-847712924370.93604</v>
      </c>
      <c r="F106">
        <f t="shared" si="6"/>
        <v>480401133726.76343</v>
      </c>
      <c r="G106">
        <v>3.0768925612920697</v>
      </c>
      <c r="H106">
        <v>3.0209383684298659</v>
      </c>
      <c r="I106">
        <v>-0.67876602223518634</v>
      </c>
      <c r="J106">
        <f t="shared" si="10"/>
        <v>2.3981265390568831</v>
      </c>
      <c r="K106">
        <f t="shared" si="8"/>
        <v>2.3421723461946797</v>
      </c>
      <c r="L106">
        <f t="shared" si="11"/>
        <v>56373794398929.383</v>
      </c>
    </row>
    <row r="107" spans="2:12">
      <c r="B107">
        <v>2033</v>
      </c>
      <c r="C107">
        <v>3408414185667.8999</v>
      </c>
      <c r="D107" s="5">
        <v>1383816159381.1675</v>
      </c>
      <c r="E107">
        <v>-862970997562.77405</v>
      </c>
      <c r="F107">
        <f t="shared" si="6"/>
        <v>520845161818.39343</v>
      </c>
      <c r="G107">
        <v>3.186927559888129</v>
      </c>
      <c r="H107">
        <v>3.1210373455984435</v>
      </c>
      <c r="I107">
        <v>-0.70656275626008036</v>
      </c>
      <c r="J107">
        <f t="shared" si="10"/>
        <v>2.4803648036280488</v>
      </c>
      <c r="K107">
        <f t="shared" si="8"/>
        <v>2.4144745893383632</v>
      </c>
      <c r="L107">
        <f t="shared" si="11"/>
        <v>57692850688782.859</v>
      </c>
    </row>
    <row r="108" spans="2:12">
      <c r="B108">
        <v>2034</v>
      </c>
      <c r="C108">
        <v>3552072676187.5498</v>
      </c>
      <c r="D108" s="5">
        <v>1442141506532.1453</v>
      </c>
      <c r="E108">
        <v>-879269444463.34595</v>
      </c>
      <c r="F108">
        <f t="shared" si="6"/>
        <v>562872062068.79932</v>
      </c>
      <c r="G108">
        <v>3.2954487659354963</v>
      </c>
      <c r="H108">
        <v>3.219943652163896</v>
      </c>
      <c r="I108">
        <v>-0.73391549104188036</v>
      </c>
      <c r="J108">
        <f t="shared" si="10"/>
        <v>2.5615332748936162</v>
      </c>
      <c r="K108">
        <f t="shared" si="8"/>
        <v>2.4860281611220154</v>
      </c>
      <c r="L108">
        <f t="shared" si="11"/>
        <v>59067502814467.438</v>
      </c>
    </row>
    <row r="109" spans="2:12">
      <c r="B109">
        <v>2035</v>
      </c>
      <c r="C109">
        <v>3701738964819.0918</v>
      </c>
      <c r="D109" s="5">
        <v>1502906019716.5513</v>
      </c>
      <c r="E109">
        <v>-890713387138.36401</v>
      </c>
      <c r="F109">
        <f t="shared" si="6"/>
        <v>612192632578.18726</v>
      </c>
      <c r="G109">
        <v>3.4026121529280031</v>
      </c>
      <c r="H109">
        <v>3.3177635092672824</v>
      </c>
      <c r="I109">
        <v>-0.76087519381613833</v>
      </c>
      <c r="J109">
        <f t="shared" si="10"/>
        <v>2.6417369591118649</v>
      </c>
      <c r="K109">
        <f t="shared" si="8"/>
        <v>2.5568883154511441</v>
      </c>
      <c r="L109">
        <f t="shared" si="11"/>
        <v>60500075793852.43</v>
      </c>
    </row>
    <row r="110" spans="2:12">
      <c r="B110">
        <v>2036</v>
      </c>
      <c r="C110">
        <v>3856741890440.356</v>
      </c>
      <c r="D110" s="5">
        <v>1565837207518.7844</v>
      </c>
      <c r="E110">
        <v>-908506282669.36499</v>
      </c>
      <c r="F110">
        <f t="shared" si="6"/>
        <v>657330924849.41943</v>
      </c>
      <c r="G110">
        <v>3.5085451293234806</v>
      </c>
      <c r="H110">
        <v>3.4145844700648551</v>
      </c>
      <c r="I110">
        <v>-0.78748325333587965</v>
      </c>
      <c r="J110">
        <f t="shared" si="10"/>
        <v>2.7210618759876009</v>
      </c>
      <c r="K110">
        <f t="shared" si="8"/>
        <v>2.6271012167289753</v>
      </c>
      <c r="L110">
        <f t="shared" si="11"/>
        <v>61992634905452.844</v>
      </c>
    </row>
    <row r="111" spans="2:12">
      <c r="B111">
        <v>2037</v>
      </c>
      <c r="C111">
        <v>4015918591751.3276</v>
      </c>
      <c r="D111" s="5">
        <v>1630462948251.0393</v>
      </c>
      <c r="E111">
        <v>-925276888809.021</v>
      </c>
      <c r="F111">
        <f t="shared" si="6"/>
        <v>705186059442.01831</v>
      </c>
      <c r="G111">
        <v>3.6133523601966266</v>
      </c>
      <c r="H111">
        <v>3.5104792006630721</v>
      </c>
      <c r="I111">
        <v>-0.81377343935636437</v>
      </c>
      <c r="J111">
        <f t="shared" si="10"/>
        <v>2.7995789208402622</v>
      </c>
      <c r="K111">
        <f t="shared" si="8"/>
        <v>2.6967057613067076</v>
      </c>
      <c r="L111">
        <f t="shared" si="11"/>
        <v>63546795400460.609</v>
      </c>
    </row>
    <row r="112" spans="2:12">
      <c r="B112">
        <v>2038</v>
      </c>
      <c r="C112">
        <v>4177355975990.7021</v>
      </c>
      <c r="D112" s="5">
        <v>1696006526252.2251</v>
      </c>
      <c r="E112">
        <v>-958122031903.88501</v>
      </c>
      <c r="F112">
        <f t="shared" si="6"/>
        <v>737884494348.34009</v>
      </c>
      <c r="G112">
        <v>3.7171203846300691</v>
      </c>
      <c r="H112">
        <v>3.6055084795818755</v>
      </c>
      <c r="I112">
        <v>-0.83977345658085545</v>
      </c>
      <c r="J112">
        <f t="shared" si="10"/>
        <v>2.8773469280492137</v>
      </c>
      <c r="K112">
        <f t="shared" si="8"/>
        <v>2.76573502300102</v>
      </c>
      <c r="L112">
        <f t="shared" si="11"/>
        <v>65163432163169.008</v>
      </c>
    </row>
    <row r="113" spans="2:12">
      <c r="B113">
        <v>2039</v>
      </c>
      <c r="C113">
        <v>4338817741314.042</v>
      </c>
      <c r="D113" s="5">
        <v>1761560002973.5012</v>
      </c>
      <c r="E113">
        <v>-991911539243.66797</v>
      </c>
      <c r="F113">
        <f t="shared" si="6"/>
        <v>769648463729.83325</v>
      </c>
      <c r="G113">
        <v>3.8199212784440162</v>
      </c>
      <c r="H113">
        <v>3.6997235776997903</v>
      </c>
      <c r="I113">
        <v>-0.86550617712657985</v>
      </c>
      <c r="J113">
        <f t="shared" si="10"/>
        <v>2.9544151013174362</v>
      </c>
      <c r="K113">
        <f t="shared" si="8"/>
        <v>2.8342174005732104</v>
      </c>
      <c r="L113">
        <f t="shared" si="11"/>
        <v>66842554629057.539</v>
      </c>
    </row>
    <row r="114" spans="2:12">
      <c r="B114">
        <v>2040</v>
      </c>
      <c r="C114">
        <v>4497464296873.1953</v>
      </c>
      <c r="D114" s="5">
        <v>1825970504530.5173</v>
      </c>
      <c r="E114">
        <v>-1008191027799.29</v>
      </c>
      <c r="F114">
        <f t="shared" si="6"/>
        <v>817779476731.22729</v>
      </c>
      <c r="G114">
        <v>3.9218155601184321</v>
      </c>
      <c r="H114">
        <v>3.7931681470591672</v>
      </c>
      <c r="I114">
        <v>-0.89099061814300617</v>
      </c>
      <c r="J114">
        <f t="shared" si="10"/>
        <v>3.0308249419754261</v>
      </c>
      <c r="K114">
        <f t="shared" si="8"/>
        <v>2.9021775289161611</v>
      </c>
      <c r="L114">
        <f t="shared" si="11"/>
        <v>68583073311947.469</v>
      </c>
    </row>
    <row r="115" spans="2:12">
      <c r="B115">
        <v>2041</v>
      </c>
      <c r="C115">
        <v>4650191204204.667</v>
      </c>
      <c r="D115" s="5">
        <v>1887977628907.095</v>
      </c>
      <c r="E115">
        <v>-1029451480589.01</v>
      </c>
      <c r="F115">
        <f t="shared" si="6"/>
        <v>858526148318.08496</v>
      </c>
      <c r="G115">
        <v>4.0228544967435509</v>
      </c>
      <c r="H115">
        <v>3.8858797202955158</v>
      </c>
      <c r="I115">
        <v>-0.91624271740056529</v>
      </c>
      <c r="J115">
        <f t="shared" si="10"/>
        <v>3.1066117793429857</v>
      </c>
      <c r="K115">
        <f t="shared" si="8"/>
        <v>2.9696370028949506</v>
      </c>
      <c r="L115">
        <f t="shared" si="11"/>
        <v>70382697307974.672</v>
      </c>
    </row>
    <row r="116" spans="2:12">
      <c r="B116">
        <v>2042</v>
      </c>
      <c r="C116">
        <v>4793590224856.1523</v>
      </c>
      <c r="D116" s="5">
        <v>1946197631291.5981</v>
      </c>
      <c r="E116">
        <v>-1048749668381.49</v>
      </c>
      <c r="F116">
        <f t="shared" si="6"/>
        <v>897447962910.10815</v>
      </c>
      <c r="G116">
        <v>4.1230819343204548</v>
      </c>
      <c r="H116">
        <v>3.9778909013584083</v>
      </c>
      <c r="I116">
        <v>-0.94127594871791531</v>
      </c>
      <c r="J116">
        <f t="shared" si="10"/>
        <v>3.1818059856025394</v>
      </c>
      <c r="K116">
        <f t="shared" si="8"/>
        <v>3.0366149526404929</v>
      </c>
      <c r="L116">
        <f t="shared" si="11"/>
        <v>72237816724994</v>
      </c>
    </row>
    <row r="117" spans="2:12">
      <c r="B117">
        <v>2043</v>
      </c>
      <c r="C117">
        <v>4924328033610.9346</v>
      </c>
      <c r="D117" s="5">
        <v>1999277181646.0398</v>
      </c>
      <c r="E117">
        <v>-1081778576968.47</v>
      </c>
      <c r="F117">
        <f t="shared" si="6"/>
        <v>917498604677.56982</v>
      </c>
      <c r="G117">
        <v>4.222535750960148</v>
      </c>
      <c r="H117">
        <v>4.0692303114685293</v>
      </c>
      <c r="I117">
        <v>-0.96610181041601562</v>
      </c>
      <c r="J117">
        <f t="shared" si="10"/>
        <v>3.2564339405441323</v>
      </c>
      <c r="K117">
        <f t="shared" si="8"/>
        <v>3.1031285010525136</v>
      </c>
      <c r="L117">
        <f t="shared" si="11"/>
        <v>74143531674001.438</v>
      </c>
    </row>
    <row r="118" spans="2:12">
      <c r="B118">
        <v>2044</v>
      </c>
      <c r="C118">
        <v>5039354689737.5674</v>
      </c>
      <c r="D118" s="5">
        <v>2045978004033.4524</v>
      </c>
      <c r="E118">
        <v>-1116809498590.96</v>
      </c>
      <c r="F118">
        <f t="shared" si="6"/>
        <v>929168505442.49243</v>
      </c>
      <c r="G118">
        <v>4.3212490110999369</v>
      </c>
      <c r="H118">
        <v>4.1599233409998817</v>
      </c>
      <c r="I118">
        <v>-0.99073021310699239</v>
      </c>
      <c r="J118">
        <f t="shared" si="10"/>
        <v>3.3305187979929443</v>
      </c>
      <c r="K118">
        <f t="shared" si="8"/>
        <v>3.1691931278928891</v>
      </c>
      <c r="L118">
        <f t="shared" si="11"/>
        <v>76093761938929.875</v>
      </c>
    </row>
    <row r="119" spans="2:12">
      <c r="B119">
        <v>2045</v>
      </c>
      <c r="C119">
        <v>5136292309929.7139</v>
      </c>
      <c r="D119" s="5">
        <v>2085334677831.4639</v>
      </c>
      <c r="E119">
        <v>-1153236302093.6799</v>
      </c>
      <c r="F119">
        <f t="shared" si="6"/>
        <v>932098375737.78394</v>
      </c>
      <c r="G119">
        <v>4.4192508826615153</v>
      </c>
      <c r="H119">
        <v>4.2499927474684478</v>
      </c>
      <c r="I119">
        <v>-1.0151697876719128</v>
      </c>
      <c r="J119">
        <f t="shared" si="10"/>
        <v>3.4040810949896025</v>
      </c>
      <c r="K119">
        <f t="shared" si="8"/>
        <v>3.234822959796535</v>
      </c>
      <c r="L119">
        <f t="shared" si="11"/>
        <v>78081507062872.672</v>
      </c>
    </row>
    <row r="120" spans="2:12">
      <c r="B120">
        <v>2046</v>
      </c>
      <c r="C120">
        <v>5213557047626.2969</v>
      </c>
      <c r="D120" s="5">
        <v>2116704161336.2766</v>
      </c>
      <c r="E120">
        <v>-1182916260395.04</v>
      </c>
      <c r="F120">
        <f t="shared" si="6"/>
        <v>933787900941.23657</v>
      </c>
      <c r="G120">
        <v>4.5165673662384291</v>
      </c>
      <c r="H120">
        <v>4.3394591314795568</v>
      </c>
      <c r="I120">
        <v>-1.0394281299584629</v>
      </c>
      <c r="J120">
        <f t="shared" si="10"/>
        <v>3.4771392362799665</v>
      </c>
      <c r="K120">
        <f t="shared" si="8"/>
        <v>3.3000310015210941</v>
      </c>
      <c r="L120">
        <f t="shared" si="11"/>
        <v>80099153640304.047</v>
      </c>
    </row>
    <row r="121" spans="2:12">
      <c r="B121">
        <v>2047</v>
      </c>
      <c r="C121">
        <v>5270173394602.4404</v>
      </c>
      <c r="D121" s="5">
        <v>2139690398208.5911</v>
      </c>
      <c r="E121">
        <v>-1198305349989.6699</v>
      </c>
      <c r="F121">
        <f t="shared" si="6"/>
        <v>941385048218.92114</v>
      </c>
      <c r="G121">
        <v>4.6132218752251664</v>
      </c>
      <c r="H121">
        <v>4.4283413158839569</v>
      </c>
      <c r="I121">
        <v>-1.06351199530264</v>
      </c>
      <c r="J121">
        <f t="shared" si="10"/>
        <v>3.5497098799225264</v>
      </c>
      <c r="K121">
        <f t="shared" si="8"/>
        <v>3.3648293205813169</v>
      </c>
      <c r="L121">
        <f t="shared" si="11"/>
        <v>82138710744015.188</v>
      </c>
    </row>
    <row r="122" spans="2:12">
      <c r="B122">
        <v>2048</v>
      </c>
      <c r="C122">
        <v>5305787765173.791</v>
      </c>
      <c r="D122" s="5">
        <v>2154149832660.5593</v>
      </c>
      <c r="E122">
        <v>-1218857923530.8101</v>
      </c>
      <c r="F122">
        <f t="shared" si="6"/>
        <v>935291909129.74927</v>
      </c>
      <c r="G122">
        <v>4.7092356977340382</v>
      </c>
      <c r="H122">
        <v>4.5166566481588672</v>
      </c>
      <c r="I122">
        <v>-1.087427453262205</v>
      </c>
      <c r="J122">
        <f t="shared" si="10"/>
        <v>3.6218082444718331</v>
      </c>
      <c r="K122">
        <f t="shared" si="8"/>
        <v>3.4292291948966622</v>
      </c>
      <c r="L122">
        <f t="shared" si="11"/>
        <v>84192050609137.438</v>
      </c>
    </row>
    <row r="123" spans="2:12">
      <c r="B123">
        <v>2049</v>
      </c>
      <c r="C123">
        <v>5321197806016.9365</v>
      </c>
      <c r="D123" s="5">
        <v>2160406309242.8765</v>
      </c>
      <c r="E123">
        <v>-1239548687197.5801</v>
      </c>
      <c r="F123">
        <f t="shared" si="6"/>
        <v>920857622045.29639</v>
      </c>
      <c r="G123">
        <v>4.8046283647526975</v>
      </c>
      <c r="H123">
        <v>4.604421241882056</v>
      </c>
      <c r="I123">
        <v>-1.111180010796381</v>
      </c>
      <c r="J123">
        <f t="shared" si="10"/>
        <v>3.6934483539563168</v>
      </c>
      <c r="K123">
        <f t="shared" si="8"/>
        <v>3.4932412310856753</v>
      </c>
      <c r="L123">
        <f t="shared" si="11"/>
        <v>86251354160065.984</v>
      </c>
    </row>
    <row r="124" spans="2:12">
      <c r="B124">
        <v>2050</v>
      </c>
      <c r="C124">
        <v>5318181210440.6416</v>
      </c>
      <c r="D124" s="5">
        <v>2159181571438.9009</v>
      </c>
      <c r="E124">
        <v>-1121261851223.3899</v>
      </c>
      <c r="F124">
        <f t="shared" si="6"/>
        <v>1037919720215.511</v>
      </c>
      <c r="G124">
        <v>4.8994179439265837</v>
      </c>
      <c r="H124">
        <v>4.691650169878181</v>
      </c>
      <c r="I124">
        <v>-1.1347747104194676</v>
      </c>
      <c r="J124">
        <f t="shared" si="10"/>
        <v>3.7646432335071163</v>
      </c>
      <c r="K124">
        <f t="shared" si="8"/>
        <v>3.5568754594587135</v>
      </c>
      <c r="L124">
        <f t="shared" si="11"/>
        <v>88309490288506.516</v>
      </c>
    </row>
    <row r="125" spans="2:12">
      <c r="B125">
        <v>2051</v>
      </c>
      <c r="D125" s="193"/>
      <c r="E125" s="193"/>
      <c r="F125" s="194"/>
      <c r="G125">
        <v>4.9936212743335142</v>
      </c>
      <c r="H125">
        <v>4.7783576190101718</v>
      </c>
      <c r="I125">
        <v>-1.1582162085030965</v>
      </c>
      <c r="J125">
        <f t="shared" ref="J125:J188" si="12">G125+I125</f>
        <v>3.8354050658304177</v>
      </c>
      <c r="K125">
        <f t="shared" si="8"/>
        <v>3.6201414105070753</v>
      </c>
    </row>
    <row r="126" spans="2:12">
      <c r="B126">
        <v>2052</v>
      </c>
      <c r="D126" s="193"/>
      <c r="E126" s="194"/>
      <c r="F126" s="194"/>
      <c r="G126">
        <v>5.087254154432876</v>
      </c>
      <c r="H126">
        <v>4.8645570145219912</v>
      </c>
      <c r="I126">
        <v>-1.1815088378293472</v>
      </c>
      <c r="J126">
        <f t="shared" si="12"/>
        <v>3.9057453166035287</v>
      </c>
      <c r="K126">
        <f t="shared" si="8"/>
        <v>3.6830481766926439</v>
      </c>
    </row>
    <row r="127" spans="2:12">
      <c r="B127">
        <v>2053</v>
      </c>
      <c r="D127" s="193"/>
      <c r="E127" s="194"/>
      <c r="F127" s="194"/>
      <c r="G127">
        <v>5.1803314928475732</v>
      </c>
      <c r="H127">
        <v>4.9502611202011275</v>
      </c>
      <c r="I127">
        <v>-1.2046566576468261</v>
      </c>
      <c r="J127">
        <f t="shared" si="12"/>
        <v>3.9756748352007474</v>
      </c>
      <c r="K127">
        <f t="shared" si="8"/>
        <v>3.7456044625543017</v>
      </c>
    </row>
    <row r="128" spans="2:12">
      <c r="B128">
        <v>2054</v>
      </c>
      <c r="D128" s="193"/>
      <c r="E128" s="193"/>
      <c r="F128" s="194"/>
      <c r="G128">
        <v>5.2728674296358804</v>
      </c>
      <c r="H128">
        <v>5.0354821193309141</v>
      </c>
      <c r="I128">
        <v>-1.2276634938079329</v>
      </c>
      <c r="J128">
        <f t="shared" si="12"/>
        <v>4.0452039358279475</v>
      </c>
      <c r="K128">
        <f t="shared" si="8"/>
        <v>3.8078186255229811</v>
      </c>
    </row>
    <row r="129" spans="2:11">
      <c r="B129">
        <v>2055</v>
      </c>
      <c r="D129" s="5"/>
      <c r="G129">
        <v>5.3648754341241389</v>
      </c>
      <c r="H129">
        <v>5.120231680373351</v>
      </c>
      <c r="I129">
        <v>-1.2505329710313309</v>
      </c>
      <c r="J129">
        <f t="shared" si="12"/>
        <v>4.1143424630928083</v>
      </c>
      <c r="K129">
        <f t="shared" si="8"/>
        <v>3.8696987093420203</v>
      </c>
    </row>
    <row r="130" spans="2:11">
      <c r="B130">
        <v>2056</v>
      </c>
      <c r="D130" s="5"/>
      <c r="G130">
        <v>5.4563683841137784</v>
      </c>
      <c r="H130">
        <v>5.2045210105073423</v>
      </c>
      <c r="I130">
        <v>-1.2732685389102094</v>
      </c>
      <c r="J130">
        <f t="shared" si="12"/>
        <v>4.1830998452035688</v>
      </c>
      <c r="K130">
        <f t="shared" si="8"/>
        <v>3.9312524715971326</v>
      </c>
    </row>
    <row r="131" spans="2:11">
      <c r="B131">
        <v>2057</v>
      </c>
      <c r="D131" s="5"/>
      <c r="G131">
        <v>5.5473586302795983</v>
      </c>
      <c r="H131">
        <v>5.2883608995004865</v>
      </c>
      <c r="I131">
        <v>-1.295873492951267</v>
      </c>
      <c r="J131">
        <f t="shared" si="12"/>
        <v>4.2514851373283316</v>
      </c>
      <c r="K131">
        <f t="shared" si="8"/>
        <v>3.9924874065492197</v>
      </c>
    </row>
    <row r="132" spans="2:11">
      <c r="B132">
        <v>2058</v>
      </c>
      <c r="D132" s="5"/>
      <c r="G132">
        <v>5.6378580487858638</v>
      </c>
      <c r="H132">
        <v>5.3717617558797786</v>
      </c>
      <c r="I132">
        <v>-1.3183509916632459</v>
      </c>
      <c r="J132">
        <f t="shared" si="12"/>
        <v>4.3195070571226175</v>
      </c>
      <c r="K132">
        <f t="shared" si="8"/>
        <v>4.0534107642165331</v>
      </c>
    </row>
    <row r="133" spans="2:11">
      <c r="B133">
        <v>2059</v>
      </c>
      <c r="D133" s="5"/>
      <c r="G133">
        <v>5.7278780845207375</v>
      </c>
      <c r="H133">
        <v>5.4547336369602437</v>
      </c>
      <c r="I133">
        <v>-1.340704070502956</v>
      </c>
      <c r="J133">
        <f t="shared" si="12"/>
        <v>4.3871740140177815</v>
      </c>
      <c r="K133">
        <f t="shared" si="8"/>
        <v>4.1140295664572877</v>
      </c>
    </row>
    <row r="134" spans="2:11">
      <c r="B134">
        <v>2060</v>
      </c>
      <c r="D134" s="5"/>
      <c r="G134">
        <v>5.817429786852796</v>
      </c>
      <c r="H134">
        <v>5.5372862739683075</v>
      </c>
      <c r="I134">
        <v>-1.3629356533194787</v>
      </c>
      <c r="J134">
        <f t="shared" si="12"/>
        <v>4.4544941335333172</v>
      </c>
      <c r="K134">
        <f t="shared" ref="K134:K197" si="13">H134+I134</f>
        <v>4.1743506206488288</v>
      </c>
    </row>
    <row r="135" spans="2:11">
      <c r="B135">
        <v>2061</v>
      </c>
      <c r="D135" s="5"/>
      <c r="G135">
        <v>5.9065238394199078</v>
      </c>
      <c r="H135">
        <v>5.6194290932411413</v>
      </c>
      <c r="I135">
        <v>-1.3850485618047546</v>
      </c>
      <c r="J135">
        <f t="shared" si="12"/>
        <v>4.5214752776151528</v>
      </c>
      <c r="K135">
        <f t="shared" si="13"/>
        <v>4.2343805314363863</v>
      </c>
    </row>
    <row r="136" spans="2:11">
      <c r="B136">
        <v>2062</v>
      </c>
      <c r="D136" s="5"/>
      <c r="G136">
        <v>5.9951705851487418</v>
      </c>
      <c r="H136">
        <v>5.7011712342810021</v>
      </c>
      <c r="I136">
        <v>-1.407045523353619</v>
      </c>
      <c r="J136">
        <f t="shared" si="12"/>
        <v>4.5881250617951226</v>
      </c>
      <c r="K136">
        <f t="shared" si="13"/>
        <v>4.2941257109273829</v>
      </c>
    </row>
    <row r="137" spans="2:11">
      <c r="B137">
        <v>2063</v>
      </c>
      <c r="D137" s="5"/>
      <c r="G137">
        <v>6.0833800474556732</v>
      </c>
      <c r="H137">
        <v>5.7825215652827442</v>
      </c>
      <c r="I137">
        <v>-1.4289291776531257</v>
      </c>
      <c r="J137">
        <f t="shared" si="12"/>
        <v>4.6544508698025471</v>
      </c>
      <c r="K137">
        <f t="shared" si="13"/>
        <v>4.3535923876296181</v>
      </c>
    </row>
    <row r="138" spans="2:11">
      <c r="B138">
        <v>2064</v>
      </c>
      <c r="D138" s="5"/>
      <c r="G138">
        <v>6.1711619483839186</v>
      </c>
      <c r="H138">
        <v>5.8634886966255992</v>
      </c>
      <c r="I138">
        <v>-1.4507020822548957</v>
      </c>
      <c r="J138">
        <f t="shared" si="12"/>
        <v>4.7204598661290227</v>
      </c>
      <c r="K138">
        <f t="shared" si="13"/>
        <v>4.4127866143707033</v>
      </c>
    </row>
    <row r="139" spans="2:11">
      <c r="B139">
        <v>2065</v>
      </c>
      <c r="D139" s="5"/>
      <c r="G139">
        <v>6.2585257242760912</v>
      </c>
      <c r="H139">
        <v>5.9440809927193454</v>
      </c>
      <c r="I139">
        <v>-1.4723667173319217</v>
      </c>
      <c r="J139">
        <f t="shared" si="12"/>
        <v>4.7861590069441693</v>
      </c>
      <c r="K139">
        <f t="shared" si="13"/>
        <v>4.4717142753874235</v>
      </c>
    </row>
    <row r="140" spans="2:11">
      <c r="B140">
        <v>2066</v>
      </c>
      <c r="D140" s="5"/>
      <c r="G140">
        <v>6.3454805394582161</v>
      </c>
      <c r="H140">
        <v>6.0243065825149449</v>
      </c>
      <c r="I140">
        <v>-1.4939254897797503</v>
      </c>
      <c r="J140">
        <f t="shared" si="12"/>
        <v>4.8515550496784661</v>
      </c>
      <c r="K140">
        <f t="shared" si="13"/>
        <v>4.5303810927351948</v>
      </c>
    </row>
    <row r="141" spans="2:11">
      <c r="B141">
        <v>2067</v>
      </c>
      <c r="D141" s="5"/>
      <c r="G141">
        <v>6.4320352983134264</v>
      </c>
      <c r="H141">
        <v>6.1041733689262987</v>
      </c>
      <c r="I141">
        <v>-1.515380736789026</v>
      </c>
      <c r="J141">
        <f t="shared" si="12"/>
        <v>4.9166545615244006</v>
      </c>
      <c r="K141">
        <f t="shared" si="13"/>
        <v>4.588792632137273</v>
      </c>
    </row>
    <row r="142" spans="2:11">
      <c r="B142">
        <v>2068</v>
      </c>
      <c r="D142" s="5"/>
      <c r="G142">
        <v>6.5181986560460796</v>
      </c>
      <c r="H142">
        <v>6.1836890373594375</v>
      </c>
      <c r="I142">
        <v>-1.5367347289903384</v>
      </c>
      <c r="J142">
        <f t="shared" si="12"/>
        <v>4.9814639270557413</v>
      </c>
      <c r="K142">
        <f t="shared" si="13"/>
        <v>4.6469543083690992</v>
      </c>
    </row>
    <row r="143" spans="2:11">
      <c r="B143">
        <v>2069</v>
      </c>
      <c r="D143" s="5"/>
      <c r="G143">
        <v>6.6039790283756536</v>
      </c>
      <c r="H143">
        <v>6.2628610635056132</v>
      </c>
      <c r="I143">
        <v>-1.5579896732515706</v>
      </c>
      <c r="J143">
        <f t="shared" si="12"/>
        <v>5.0459893551240835</v>
      </c>
      <c r="K143">
        <f t="shared" si="13"/>
        <v>4.7048713902540431</v>
      </c>
    </row>
    <row r="144" spans="2:11">
      <c r="B144">
        <v>2070</v>
      </c>
      <c r="D144" s="5"/>
      <c r="G144">
        <v>6.6893846003508557</v>
      </c>
      <c r="H144">
        <v>6.3416967205229664</v>
      </c>
      <c r="I144">
        <v>-1.5791477151916096</v>
      </c>
      <c r="J144">
        <f t="shared" si="12"/>
        <v>5.1102368851592459</v>
      </c>
      <c r="K144">
        <f t="shared" si="13"/>
        <v>4.7625490053313566</v>
      </c>
    </row>
    <row r="145" spans="2:11">
      <c r="B145">
        <v>2071</v>
      </c>
      <c r="D145" s="5"/>
      <c r="G145">
        <v>6.774423334435947</v>
      </c>
      <c r="H145">
        <v>6.4202030857065191</v>
      </c>
      <c r="I145">
        <v>-1.60021094146119</v>
      </c>
      <c r="J145">
        <f t="shared" si="12"/>
        <v>5.1742123929747574</v>
      </c>
      <c r="K145">
        <f t="shared" si="13"/>
        <v>4.8199921442453295</v>
      </c>
    </row>
    <row r="146" spans="2:11">
      <c r="B146">
        <v>2072</v>
      </c>
      <c r="D146" s="5"/>
      <c r="G146">
        <v>6.8591029779904087</v>
      </c>
      <c r="H146">
        <v>6.4983870467260942</v>
      </c>
      <c r="I146">
        <v>-1.6211813818313987</v>
      </c>
      <c r="J146">
        <f t="shared" si="12"/>
        <v>5.2379215961590102</v>
      </c>
      <c r="K146">
        <f t="shared" si="13"/>
        <v>4.8772056648946958</v>
      </c>
    </row>
    <row r="147" spans="2:11">
      <c r="B147">
        <v>2073</v>
      </c>
      <c r="D147" s="5"/>
      <c r="G147">
        <v>6.9434310702389412</v>
      </c>
      <c r="H147">
        <v>6.5762553074962229</v>
      </c>
      <c r="I147">
        <v>-1.6420610111221257</v>
      </c>
      <c r="J147">
        <f t="shared" si="12"/>
        <v>5.3013700591168158</v>
      </c>
      <c r="K147">
        <f t="shared" si="13"/>
        <v>4.9341942963740975</v>
      </c>
    </row>
    <row r="148" spans="2:11">
      <c r="B148">
        <v>2074</v>
      </c>
      <c r="D148" s="5"/>
      <c r="G148">
        <v>7.0274149488092563</v>
      </c>
      <c r="H148">
        <v>6.6538143937291894</v>
      </c>
      <c r="I148">
        <v>-1.6628517509962897</v>
      </c>
      <c r="J148">
        <f t="shared" si="12"/>
        <v>5.3645631978129664</v>
      </c>
      <c r="K148">
        <f t="shared" si="13"/>
        <v>4.9909626427328995</v>
      </c>
    </row>
    <row r="149" spans="2:11">
      <c r="B149">
        <v>2075</v>
      </c>
      <c r="D149" s="5"/>
      <c r="G149">
        <v>7.1110617559000477</v>
      </c>
      <c r="H149">
        <v>6.7310706582127873</v>
      </c>
      <c r="I149">
        <v>-1.6835554716404924</v>
      </c>
      <c r="J149">
        <f t="shared" si="12"/>
        <v>5.4275062842595556</v>
      </c>
      <c r="K149">
        <f t="shared" si="13"/>
        <v>5.0475151865722951</v>
      </c>
    </row>
    <row r="150" spans="2:11">
      <c r="B150">
        <v>2076</v>
      </c>
      <c r="D150" s="5"/>
      <c r="G150">
        <v>7.1943784441291223</v>
      </c>
      <c r="H150">
        <v>6.8080302858460788</v>
      </c>
      <c r="I150">
        <v>-1.7041739933486701</v>
      </c>
      <c r="J150">
        <f t="shared" si="12"/>
        <v>5.4902044507804524</v>
      </c>
      <c r="K150">
        <f t="shared" si="13"/>
        <v>5.1038562924974089</v>
      </c>
    </row>
    <row r="151" spans="2:11">
      <c r="B151">
        <v>2077</v>
      </c>
      <c r="D151" s="5"/>
      <c r="G151">
        <v>7.2773717821021613</v>
      </c>
      <c r="H151">
        <v>6.8846992984604345</v>
      </c>
      <c r="I151">
        <v>-1.7247090880220839</v>
      </c>
      <c r="J151">
        <f t="shared" si="12"/>
        <v>5.5526626940800776</v>
      </c>
      <c r="K151">
        <f t="shared" si="13"/>
        <v>5.1599902104383508</v>
      </c>
    </row>
    <row r="152" spans="2:11">
      <c r="B152">
        <v>2078</v>
      </c>
      <c r="D152" s="5"/>
      <c r="G152">
        <v>7.3600483597348854</v>
      </c>
      <c r="H152">
        <v>6.9610835594479328</v>
      </c>
      <c r="I152">
        <v>-1.7451624805963692</v>
      </c>
      <c r="J152">
        <f t="shared" si="12"/>
        <v>5.6148858791385159</v>
      </c>
      <c r="K152">
        <f t="shared" si="13"/>
        <v>5.2159210788515633</v>
      </c>
    </row>
    <row r="153" spans="2:11">
      <c r="B153">
        <v>2079</v>
      </c>
      <c r="D153" s="5"/>
      <c r="G153">
        <v>7.442414593355136</v>
      </c>
      <c r="H153">
        <v>7.0371887782152616</v>
      </c>
      <c r="I153">
        <v>-1.7655358504043526</v>
      </c>
      <c r="J153">
        <f t="shared" si="12"/>
        <v>5.6768787429507839</v>
      </c>
      <c r="K153">
        <f t="shared" si="13"/>
        <v>5.2716529278109086</v>
      </c>
    </row>
    <row r="154" spans="2:11">
      <c r="B154">
        <v>2080</v>
      </c>
      <c r="D154" s="5"/>
      <c r="G154">
        <v>7.5244767306067954</v>
      </c>
      <c r="H154">
        <v>7.1130205144781948</v>
      </c>
      <c r="I154">
        <v>-1.7858308324817045</v>
      </c>
      <c r="J154">
        <f t="shared" si="12"/>
        <v>5.7386458981250907</v>
      </c>
      <c r="K154">
        <f t="shared" si="13"/>
        <v>5.3271896819964901</v>
      </c>
    </row>
    <row r="155" spans="2:11">
      <c r="B155">
        <v>2081</v>
      </c>
      <c r="D155" s="5"/>
      <c r="G155">
        <v>7.6062408551733318</v>
      </c>
      <c r="H155">
        <v>7.1885841824089924</v>
      </c>
      <c r="I155">
        <v>-1.8060490188211931</v>
      </c>
      <c r="J155">
        <f t="shared" si="12"/>
        <v>5.8001918363521385</v>
      </c>
      <c r="K155">
        <f t="shared" si="13"/>
        <v>5.3825351635877992</v>
      </c>
    </row>
    <row r="156" spans="2:11">
      <c r="B156">
        <v>2082</v>
      </c>
      <c r="D156" s="5"/>
      <c r="G156">
        <v>7.6877128913358419</v>
      </c>
      <c r="H156">
        <v>7.2638850546472087</v>
      </c>
      <c r="I156">
        <v>-1.8261919595802727</v>
      </c>
      <c r="J156">
        <f t="shared" si="12"/>
        <v>5.8615209317555692</v>
      </c>
      <c r="K156">
        <f t="shared" si="13"/>
        <v>5.437693095066936</v>
      </c>
    </row>
    <row r="157" spans="2:11">
      <c r="B157">
        <v>2083</v>
      </c>
      <c r="D157" s="5"/>
      <c r="G157">
        <v>7.7688986083779197</v>
      </c>
      <c r="H157">
        <v>7.3389282661826805</v>
      </c>
      <c r="I157">
        <v>-1.8462611642459335</v>
      </c>
      <c r="J157">
        <f t="shared" si="12"/>
        <v>5.9226374441319862</v>
      </c>
      <c r="K157">
        <f t="shared" si="13"/>
        <v>5.492667101936747</v>
      </c>
    </row>
    <row r="158" spans="2:11">
      <c r="B158">
        <v>2084</v>
      </c>
      <c r="D158" s="5"/>
      <c r="G158">
        <v>7.8498036248477749</v>
      </c>
      <c r="H158">
        <v>7.4137188181182507</v>
      </c>
      <c r="I158">
        <v>-1.8662581027600598</v>
      </c>
      <c r="J158">
        <f t="shared" si="12"/>
        <v>5.9835455220877147</v>
      </c>
      <c r="K158">
        <f t="shared" si="13"/>
        <v>5.5474607153581914</v>
      </c>
    </row>
    <row r="159" spans="2:11">
      <c r="B159">
        <v>2085</v>
      </c>
      <c r="D159" s="5"/>
      <c r="G159">
        <v>7.9304334126863303</v>
      </c>
      <c r="H159">
        <v>7.4882615813185893</v>
      </c>
      <c r="I159">
        <v>-1.886184206608041</v>
      </c>
      <c r="J159">
        <f t="shared" si="12"/>
        <v>6.0442492060782893</v>
      </c>
      <c r="K159">
        <f t="shared" si="13"/>
        <v>5.6020773747105483</v>
      </c>
    </row>
    <row r="160" spans="2:11">
      <c r="B160">
        <v>2086</v>
      </c>
      <c r="D160" s="5"/>
      <c r="G160">
        <v>8.0107933012289383</v>
      </c>
      <c r="H160">
        <v>7.5625612999508611</v>
      </c>
      <c r="I160">
        <v>-1.906040869872941</v>
      </c>
      <c r="J160">
        <f t="shared" si="12"/>
        <v>6.1047524313559975</v>
      </c>
      <c r="K160">
        <f t="shared" si="13"/>
        <v>5.6565204300779204</v>
      </c>
    </row>
    <row r="161" spans="2:11">
      <c r="B161">
        <v>2087</v>
      </c>
      <c r="D161" s="5"/>
      <c r="G161">
        <v>8.0908884810871911</v>
      </c>
      <c r="H161">
        <v>7.6366225949220938</v>
      </c>
      <c r="I161">
        <v>-1.9258294502572118</v>
      </c>
      <c r="J161">
        <f t="shared" si="12"/>
        <v>6.1650590308299797</v>
      </c>
      <c r="K161">
        <f t="shared" si="13"/>
        <v>5.7107931446648816</v>
      </c>
    </row>
    <row r="162" spans="2:11">
      <c r="B162">
        <v>2088</v>
      </c>
      <c r="D162" s="5"/>
      <c r="G162">
        <v>8.1707240079165224</v>
      </c>
      <c r="H162">
        <v>7.7104499672176514</v>
      </c>
      <c r="I162">
        <v>-1.9455512700736561</v>
      </c>
      <c r="J162">
        <f t="shared" si="12"/>
        <v>6.2251727378428665</v>
      </c>
      <c r="K162">
        <f t="shared" si="13"/>
        <v>5.7648986971439955</v>
      </c>
    </row>
    <row r="163" spans="2:11">
      <c r="B163">
        <v>2089</v>
      </c>
      <c r="D163" s="5"/>
      <c r="G163">
        <v>8.2503048060746593</v>
      </c>
      <c r="H163">
        <v>7.7840478011447702</v>
      </c>
      <c r="I163">
        <v>-1.9652076172071262</v>
      </c>
      <c r="J163">
        <f t="shared" si="12"/>
        <v>6.2850971888675335</v>
      </c>
      <c r="K163">
        <f t="shared" si="13"/>
        <v>5.8188401839376436</v>
      </c>
    </row>
    <row r="164" spans="2:11">
      <c r="B164">
        <v>2090</v>
      </c>
      <c r="D164" s="5"/>
      <c r="G164">
        <v>8.3296356721754066</v>
      </c>
      <c r="H164">
        <v>7.8574203674847132</v>
      </c>
      <c r="I164">
        <v>-1.9847997460482718</v>
      </c>
      <c r="J164">
        <f t="shared" si="12"/>
        <v>6.3448359261271348</v>
      </c>
      <c r="K164">
        <f t="shared" si="13"/>
        <v>5.8726206214364414</v>
      </c>
    </row>
    <row r="165" spans="2:11">
      <c r="B165">
        <v>2091</v>
      </c>
      <c r="D165" s="5"/>
      <c r="G165">
        <v>8.408721278541865</v>
      </c>
      <c r="H165">
        <v>7.9305718265568235</v>
      </c>
      <c r="I165">
        <v>-2.0043288784005084</v>
      </c>
      <c r="J165">
        <f t="shared" si="12"/>
        <v>6.4043924001413561</v>
      </c>
      <c r="K165">
        <f t="shared" si="13"/>
        <v>5.9262429481563146</v>
      </c>
    </row>
    <row r="166" spans="2:11">
      <c r="B166">
        <v>2092</v>
      </c>
      <c r="D166" s="5"/>
      <c r="G166">
        <v>8.4875661765626713</v>
      </c>
      <c r="H166">
        <v>8.0035062311974503</v>
      </c>
      <c r="I166">
        <v>-2.0237962043612514</v>
      </c>
      <c r="J166">
        <f t="shared" si="12"/>
        <v>6.4637699722014199</v>
      </c>
      <c r="K166">
        <f t="shared" si="13"/>
        <v>5.9797100268361989</v>
      </c>
    </row>
    <row r="167" spans="2:11">
      <c r="B167">
        <v>2093</v>
      </c>
      <c r="D167" s="5"/>
      <c r="G167">
        <v>8.5661747999547835</v>
      </c>
      <c r="H167">
        <v>8.0762275296565988</v>
      </c>
      <c r="I167">
        <v>-2.0432028831783775</v>
      </c>
      <c r="J167">
        <f t="shared" si="12"/>
        <v>6.522971916776406</v>
      </c>
      <c r="K167">
        <f t="shared" si="13"/>
        <v>6.0330246464782213</v>
      </c>
    </row>
    <row r="168" spans="2:11">
      <c r="B168">
        <v>2094</v>
      </c>
      <c r="D168" s="5"/>
      <c r="G168">
        <v>8.6445514679358126</v>
      </c>
      <c r="H168">
        <v>8.1487395684148627</v>
      </c>
      <c r="I168">
        <v>-2.0625500440827831</v>
      </c>
      <c r="J168">
        <f t="shared" si="12"/>
        <v>6.5820014238530291</v>
      </c>
      <c r="K168">
        <f t="shared" si="13"/>
        <v>6.0861895243320792</v>
      </c>
    </row>
    <row r="169" spans="2:11">
      <c r="B169">
        <v>2095</v>
      </c>
      <c r="D169" s="5"/>
      <c r="G169">
        <v>8.7227003883089402</v>
      </c>
      <c r="H169">
        <v>8.2210460949231621</v>
      </c>
      <c r="I169">
        <v>-2.0818387870978512</v>
      </c>
      <c r="J169">
        <f t="shared" si="12"/>
        <v>6.640861601211089</v>
      </c>
      <c r="K169">
        <f t="shared" si="13"/>
        <v>6.1392073078253109</v>
      </c>
    </row>
    <row r="170" spans="2:11">
      <c r="B170">
        <v>2096</v>
      </c>
      <c r="D170" s="5"/>
      <c r="G170">
        <v>8.8006256604630799</v>
      </c>
      <c r="H170">
        <v>8.2931507602675953</v>
      </c>
      <c r="I170">
        <v>-2.1010701838265788</v>
      </c>
      <c r="J170">
        <f t="shared" si="12"/>
        <v>6.6995554766365011</v>
      </c>
      <c r="K170">
        <f t="shared" si="13"/>
        <v>6.1920805764410165</v>
      </c>
    </row>
    <row r="171" spans="2:11">
      <c r="B171">
        <v>2097</v>
      </c>
      <c r="D171" s="5"/>
      <c r="G171">
        <v>8.8783312782909665</v>
      </c>
      <c r="H171">
        <v>8.3650571217616054</v>
      </c>
      <c r="I171">
        <v>-2.12024527821707</v>
      </c>
      <c r="J171">
        <f t="shared" si="12"/>
        <v>6.7580860000738969</v>
      </c>
      <c r="K171">
        <f t="shared" si="13"/>
        <v>6.2448118435445359</v>
      </c>
    </row>
    <row r="172" spans="2:11">
      <c r="B172">
        <v>2098</v>
      </c>
      <c r="D172" s="5"/>
      <c r="G172">
        <v>8.9558211330275039</v>
      </c>
      <c r="H172">
        <v>8.4367686454676214</v>
      </c>
      <c r="I172">
        <v>-2.139365087307056</v>
      </c>
      <c r="J172">
        <f t="shared" si="12"/>
        <v>6.8164560457204484</v>
      </c>
      <c r="K172">
        <f t="shared" si="13"/>
        <v>6.2974035581605659</v>
      </c>
    </row>
    <row r="173" spans="2:11">
      <c r="B173">
        <v>2099</v>
      </c>
      <c r="D173" s="5"/>
      <c r="G173">
        <v>9.0330990160108566</v>
      </c>
      <c r="H173">
        <v>8.5082887086501628</v>
      </c>
      <c r="I173">
        <v>-2.1584306019480937</v>
      </c>
      <c r="J173">
        <f t="shared" si="12"/>
        <v>6.8746684140627625</v>
      </c>
      <c r="K173">
        <f t="shared" si="13"/>
        <v>6.3498581067020687</v>
      </c>
    </row>
    <row r="174" spans="2:11">
      <c r="B174">
        <v>2100</v>
      </c>
      <c r="D174" s="5"/>
      <c r="G174">
        <v>9.1101686213684108</v>
      </c>
      <c r="H174">
        <v>8.5796206021623771</v>
      </c>
      <c r="I174">
        <v>-2.1774427875100009</v>
      </c>
      <c r="J174">
        <f t="shared" si="12"/>
        <v>6.9327258338584095</v>
      </c>
      <c r="K174">
        <f t="shared" si="13"/>
        <v>6.4021778146523758</v>
      </c>
    </row>
    <row r="175" spans="2:11">
      <c r="B175">
        <v>2101</v>
      </c>
      <c r="G175">
        <v>9.1870335486298256</v>
      </c>
      <c r="H175">
        <v>8.650767532767901</v>
      </c>
      <c r="I175">
        <v>-2.1964025845661528</v>
      </c>
      <c r="J175">
        <f t="shared" si="12"/>
        <v>6.9906309640636728</v>
      </c>
      <c r="K175">
        <f t="shared" si="13"/>
        <v>6.4543649482017482</v>
      </c>
    </row>
    <row r="176" spans="2:11">
      <c r="B176">
        <v>2102</v>
      </c>
      <c r="G176">
        <v>9.26369730526919</v>
      </c>
      <c r="H176">
        <v>8.7217326253998113</v>
      </c>
      <c r="I176">
        <v>-2.2153109095601469</v>
      </c>
      <c r="J176">
        <f t="shared" si="12"/>
        <v>7.0483863957090431</v>
      </c>
      <c r="K176">
        <f t="shared" si="13"/>
        <v>6.5064217158396644</v>
      </c>
    </row>
    <row r="177" spans="2:11">
      <c r="B177">
        <v>2103</v>
      </c>
      <c r="G177">
        <v>9.3401633091783136</v>
      </c>
      <c r="H177">
        <v>8.7925189253584382</v>
      </c>
      <c r="I177">
        <v>-2.2341686554543871</v>
      </c>
      <c r="J177">
        <f t="shared" si="12"/>
        <v>7.1059946537239265</v>
      </c>
      <c r="K177">
        <f t="shared" si="13"/>
        <v>6.558350269904051</v>
      </c>
    </row>
    <row r="178" spans="2:11">
      <c r="B178">
        <v>2104</v>
      </c>
      <c r="G178">
        <v>9.4164348910730222</v>
      </c>
      <c r="H178">
        <v>8.8631294004497434</v>
      </c>
      <c r="I178">
        <v>-2.2529766923610897</v>
      </c>
      <c r="J178">
        <f t="shared" si="12"/>
        <v>7.1634581987119326</v>
      </c>
      <c r="K178">
        <f t="shared" si="13"/>
        <v>6.6101527080886537</v>
      </c>
    </row>
    <row r="179" spans="2:11">
      <c r="B179">
        <v>2105</v>
      </c>
      <c r="G179">
        <v>9.4925152968343784</v>
      </c>
      <c r="H179">
        <v>8.9335669430658449</v>
      </c>
      <c r="I179">
        <v>-2.2717358681562008</v>
      </c>
      <c r="J179">
        <f t="shared" si="12"/>
        <v>7.2207794286781777</v>
      </c>
      <c r="K179">
        <f t="shared" si="13"/>
        <v>6.6618310749096441</v>
      </c>
    </row>
    <row r="180" spans="2:11">
      <c r="B180">
        <v>2106</v>
      </c>
      <c r="G180">
        <v>9.568407689786584</v>
      </c>
      <c r="H180">
        <v>9.0038343722093952</v>
      </c>
      <c r="I180">
        <v>-2.2904470090766975</v>
      </c>
      <c r="J180">
        <f t="shared" si="12"/>
        <v>7.2779606807098869</v>
      </c>
      <c r="K180">
        <f t="shared" si="13"/>
        <v>6.7133873631326981</v>
      </c>
    </row>
    <row r="181" spans="2:11">
      <c r="B181">
        <v>2107</v>
      </c>
      <c r="G181">
        <v>9.6441151529132458</v>
      </c>
      <c r="H181">
        <v>9.0739344354631459</v>
      </c>
      <c r="I181">
        <v>-2.3091109203017415</v>
      </c>
      <c r="J181">
        <f t="shared" si="12"/>
        <v>7.3350042326115048</v>
      </c>
      <c r="K181">
        <f t="shared" si="13"/>
        <v>6.7648235151614049</v>
      </c>
    </row>
    <row r="182" spans="2:11">
      <c r="B182">
        <v>2108</v>
      </c>
      <c r="G182">
        <v>9.7196406910138631</v>
      </c>
      <c r="H182">
        <v>9.143869810906418</v>
      </c>
      <c r="I182">
        <v>-2.3277283865181091</v>
      </c>
      <c r="J182">
        <f t="shared" si="12"/>
        <v>7.3919123044957544</v>
      </c>
      <c r="K182">
        <f t="shared" si="13"/>
        <v>6.8161414243883094</v>
      </c>
    </row>
    <row r="183" spans="2:11">
      <c r="B183">
        <v>2109</v>
      </c>
      <c r="G183">
        <v>9.7949872328019474</v>
      </c>
      <c r="H183">
        <v>9.2136431089797721</v>
      </c>
      <c r="I183">
        <v>-2.3463001724703534</v>
      </c>
      <c r="J183">
        <f t="shared" si="12"/>
        <v>7.4486870603315936</v>
      </c>
      <c r="K183">
        <f t="shared" si="13"/>
        <v>6.8673429365094183</v>
      </c>
    </row>
    <row r="184" spans="2:11">
      <c r="B184">
        <v>2110</v>
      </c>
      <c r="G184">
        <v>9.8701576329465475</v>
      </c>
      <c r="H184">
        <v>9.28325687429931</v>
      </c>
      <c r="I184">
        <v>-2.3648270234960913</v>
      </c>
      <c r="J184">
        <f t="shared" si="12"/>
        <v>7.5053306094504562</v>
      </c>
      <c r="K184">
        <f t="shared" si="13"/>
        <v>6.9184298508032187</v>
      </c>
    </row>
    <row r="185" spans="2:11">
      <c r="B185">
        <v>2111</v>
      </c>
      <c r="G185">
        <v>9.945154674058621</v>
      </c>
      <c r="H185">
        <v>9.3527135874220555</v>
      </c>
      <c r="I185">
        <v>-2.3833096660468436</v>
      </c>
      <c r="J185">
        <f t="shared" si="12"/>
        <v>7.5618450080117778</v>
      </c>
      <c r="K185">
        <f t="shared" si="13"/>
        <v>6.9694039213752124</v>
      </c>
    </row>
    <row r="186" spans="2:11">
      <c r="B186">
        <v>2112</v>
      </c>
      <c r="G186">
        <v>10.019981068623778</v>
      </c>
      <c r="H186">
        <v>9.422015666563647</v>
      </c>
      <c r="I186">
        <v>-2.4017488081948022</v>
      </c>
      <c r="J186">
        <f t="shared" si="12"/>
        <v>7.6182322604289761</v>
      </c>
      <c r="K186">
        <f t="shared" si="13"/>
        <v>7.0202668583688448</v>
      </c>
    </row>
    <row r="187" spans="2:11">
      <c r="B187">
        <v>2113</v>
      </c>
      <c r="G187">
        <v>10.094639460882879</v>
      </c>
      <c r="H187">
        <v>9.4911654692696761</v>
      </c>
      <c r="I187">
        <v>-2.4201451401259186</v>
      </c>
      <c r="J187">
        <f t="shared" si="12"/>
        <v>7.6744943207569607</v>
      </c>
      <c r="K187">
        <f t="shared" si="13"/>
        <v>7.0710203291437574</v>
      </c>
    </row>
    <row r="188" spans="2:11">
      <c r="B188">
        <v>2114</v>
      </c>
      <c r="G188">
        <v>10.169132428661813</v>
      </c>
      <c r="H188">
        <v>9.5601652940418944</v>
      </c>
      <c r="I188">
        <v>-2.4384993346196797</v>
      </c>
      <c r="J188">
        <f t="shared" si="12"/>
        <v>7.7306330940421333</v>
      </c>
      <c r="K188">
        <f t="shared" si="13"/>
        <v>7.1216659594222147</v>
      </c>
    </row>
    <row r="189" spans="2:11">
      <c r="B189">
        <v>2115</v>
      </c>
      <c r="G189">
        <v>10.243462485151968</v>
      </c>
      <c r="H189">
        <v>9.6290173819206153</v>
      </c>
      <c r="I189">
        <v>-2.4568120475159345</v>
      </c>
      <c r="J189">
        <f t="shared" ref="J189:J223" si="14">G189+I189</f>
        <v>7.786650437636033</v>
      </c>
      <c r="K189">
        <f t="shared" si="13"/>
        <v>7.1722053344046808</v>
      </c>
    </row>
    <row r="190" spans="2:11">
      <c r="B190">
        <v>2116</v>
      </c>
      <c r="G190">
        <v>10.3176320806426</v>
      </c>
      <c r="H190">
        <v>9.6977239180243231</v>
      </c>
      <c r="I190">
        <v>-2.4750839181691218</v>
      </c>
      <c r="J190">
        <f t="shared" si="14"/>
        <v>7.8425481624734781</v>
      </c>
      <c r="K190">
        <f t="shared" si="13"/>
        <v>7.2226399998552013</v>
      </c>
    </row>
    <row r="191" spans="2:11">
      <c r="B191">
        <v>2117</v>
      </c>
      <c r="G191">
        <v>10.391643604206457</v>
      </c>
      <c r="H191">
        <v>9.7662870330477976</v>
      </c>
      <c r="I191">
        <v>-2.4933155698902381</v>
      </c>
      <c r="J191">
        <f t="shared" si="14"/>
        <v>7.8983280343162194</v>
      </c>
      <c r="K191">
        <f t="shared" si="13"/>
        <v>7.2729714631575595</v>
      </c>
    </row>
    <row r="192" spans="2:11">
      <c r="B192">
        <v>2118</v>
      </c>
      <c r="G192">
        <v>10.465499385339973</v>
      </c>
      <c r="H192">
        <v>9.834708804719817</v>
      </c>
      <c r="I192">
        <v>-2.511507610376877</v>
      </c>
      <c r="J192">
        <f t="shared" si="14"/>
        <v>7.9539917749630957</v>
      </c>
      <c r="K192">
        <f t="shared" si="13"/>
        <v>7.32320119434294</v>
      </c>
    </row>
    <row r="193" spans="2:11">
      <c r="B193">
        <v>2119</v>
      </c>
      <c r="G193">
        <v>10.539201695559125</v>
      </c>
      <c r="H193">
        <v>9.9029912592214941</v>
      </c>
      <c r="I193">
        <v>-2.529660632131673</v>
      </c>
      <c r="J193">
        <f t="shared" si="14"/>
        <v>8.0095410634274522</v>
      </c>
      <c r="K193">
        <f t="shared" si="13"/>
        <v>7.3733306270898211</v>
      </c>
    </row>
    <row r="194" spans="2:11">
      <c r="B194">
        <v>2120</v>
      </c>
      <c r="G194">
        <v>10.612752749952332</v>
      </c>
      <c r="H194">
        <v>9.9711363725664306</v>
      </c>
      <c r="I194">
        <v>-2.5477752128694435</v>
      </c>
      <c r="J194">
        <f t="shared" si="14"/>
        <v>8.0649775370828891</v>
      </c>
      <c r="K194">
        <f t="shared" si="13"/>
        <v>7.4233611596969871</v>
      </c>
    </row>
    <row r="195" spans="2:11">
      <c r="B195">
        <v>2121</v>
      </c>
      <c r="G195">
        <v>10.686154708691346</v>
      </c>
      <c r="H195">
        <v>10.039146071943494</v>
      </c>
      <c r="I195">
        <v>-2.5658519159133526</v>
      </c>
      <c r="J195">
        <f t="shared" si="14"/>
        <v>8.1203027927779932</v>
      </c>
      <c r="K195">
        <f t="shared" si="13"/>
        <v>7.4732941560301409</v>
      </c>
    </row>
    <row r="196" spans="2:11">
      <c r="B196">
        <v>2122</v>
      </c>
      <c r="G196">
        <v>10.759409678501477</v>
      </c>
      <c r="H196">
        <v>10.107022237023553</v>
      </c>
      <c r="I196">
        <v>-2.5838912905803877</v>
      </c>
      <c r="J196">
        <f t="shared" si="14"/>
        <v>8.1755183879210893</v>
      </c>
      <c r="K196">
        <f t="shared" si="13"/>
        <v>7.5231309464431657</v>
      </c>
    </row>
    <row r="197" spans="2:11">
      <c r="B197">
        <v>2123</v>
      </c>
      <c r="G197">
        <v>10.83251971409212</v>
      </c>
      <c r="H197">
        <v>10.174766701230812</v>
      </c>
      <c r="I197">
        <v>-2.6018938725564289</v>
      </c>
      <c r="J197">
        <f t="shared" si="14"/>
        <v>8.2306258415356908</v>
      </c>
      <c r="K197">
        <f t="shared" si="13"/>
        <v>7.5728728286743827</v>
      </c>
    </row>
    <row r="198" spans="2:11">
      <c r="B198">
        <v>2124</v>
      </c>
      <c r="G198">
        <v>10.905486819548692</v>
      </c>
      <c r="H198">
        <v>10.242381252979934</v>
      </c>
      <c r="I198">
        <v>-2.6198601842612113</v>
      </c>
      <c r="J198">
        <f t="shared" si="14"/>
        <v>8.2856266352874801</v>
      </c>
      <c r="K198">
        <f t="shared" ref="K198:K223" si="15">H198+I198</f>
        <v>7.6225210687187221</v>
      </c>
    </row>
    <row r="199" spans="2:11">
      <c r="B199">
        <v>2125</v>
      </c>
      <c r="G199">
        <v>10.978312949687011</v>
      </c>
      <c r="H199">
        <v>10.309867636879771</v>
      </c>
      <c r="I199">
        <v>-2.6377907352034304</v>
      </c>
      <c r="J199">
        <f t="shared" si="14"/>
        <v>8.3405222144835811</v>
      </c>
      <c r="K199">
        <f t="shared" si="15"/>
        <v>7.6720769016763404</v>
      </c>
    </row>
    <row r="200" spans="2:11">
      <c r="B200">
        <v>2126</v>
      </c>
      <c r="G200">
        <v>11.051000011371158</v>
      </c>
      <c r="H200">
        <v>10.377227554904614</v>
      </c>
      <c r="I200">
        <v>-2.655686022326277</v>
      </c>
      <c r="J200">
        <f t="shared" si="14"/>
        <v>8.3953139890448814</v>
      </c>
      <c r="K200">
        <f t="shared" si="15"/>
        <v>7.7215415325783372</v>
      </c>
    </row>
    <row r="201" spans="2:11">
      <c r="B201">
        <v>2127</v>
      </c>
      <c r="G201">
        <v>11.123549864795811</v>
      </c>
      <c r="H201">
        <v>10.444462667533879</v>
      </c>
      <c r="I201">
        <v>-2.6735465303436468</v>
      </c>
      <c r="J201">
        <f t="shared" si="14"/>
        <v>8.4500033344521643</v>
      </c>
      <c r="K201">
        <f t="shared" si="15"/>
        <v>7.7709161371902322</v>
      </c>
    </row>
    <row r="202" spans="2:11">
      <c r="B202">
        <v>2128</v>
      </c>
      <c r="G202">
        <v>11.195964324733913</v>
      </c>
      <c r="H202">
        <v>10.511574594861033</v>
      </c>
      <c r="I202">
        <v>-2.6913727320672747</v>
      </c>
      <c r="J202">
        <f t="shared" si="14"/>
        <v>8.5045915926666389</v>
      </c>
      <c r="K202">
        <f t="shared" si="15"/>
        <v>7.8202018627937582</v>
      </c>
    </row>
    <row r="203" spans="2:11">
      <c r="B203">
        <v>2129</v>
      </c>
      <c r="G203">
        <v>11.268245161750805</v>
      </c>
      <c r="H203">
        <v>10.578564917672612</v>
      </c>
      <c r="I203">
        <v>-2.7091650887250669</v>
      </c>
      <c r="J203">
        <f t="shared" si="14"/>
        <v>8.5590800730257381</v>
      </c>
      <c r="K203">
        <f t="shared" si="15"/>
        <v>7.8693998289475449</v>
      </c>
    </row>
    <row r="204" spans="2:11">
      <c r="B204">
        <v>2130</v>
      </c>
      <c r="G204">
        <v>11.340394103385504</v>
      </c>
      <c r="H204">
        <v>10.645435178498149</v>
      </c>
      <c r="I204">
        <v>-2.7269240502708176</v>
      </c>
      <c r="J204">
        <f t="shared" si="14"/>
        <v>8.6134700531146873</v>
      </c>
      <c r="K204">
        <f t="shared" si="15"/>
        <v>7.9185111282273315</v>
      </c>
    </row>
    <row r="205" spans="2:11">
      <c r="B205">
        <v>2131</v>
      </c>
      <c r="G205">
        <v>11.412412835300186</v>
      </c>
      <c r="H205">
        <v>10.712186882631771</v>
      </c>
      <c r="I205">
        <v>-2.7446500556855939</v>
      </c>
      <c r="J205">
        <f t="shared" si="14"/>
        <v>8.6677627796145913</v>
      </c>
      <c r="K205">
        <f t="shared" si="15"/>
        <v>7.9675368269461773</v>
      </c>
    </row>
    <row r="206" spans="2:11">
      <c r="B206">
        <v>2132</v>
      </c>
      <c r="G206">
        <v>11.484303002398638</v>
      </c>
      <c r="H206">
        <v>10.778821499126263</v>
      </c>
      <c r="I206">
        <v>-2.7623435332709829</v>
      </c>
      <c r="J206">
        <f t="shared" si="14"/>
        <v>8.7219594691276559</v>
      </c>
      <c r="K206">
        <f t="shared" si="15"/>
        <v>8.0164779658552803</v>
      </c>
    </row>
    <row r="207" spans="2:11">
      <c r="B207">
        <v>2133</v>
      </c>
      <c r="G207">
        <v>11.556066209914581</v>
      </c>
      <c r="H207">
        <v>10.845340461760319</v>
      </c>
      <c r="I207">
        <v>-2.7800049009344283</v>
      </c>
      <c r="J207">
        <f t="shared" si="14"/>
        <v>8.7760613089801538</v>
      </c>
      <c r="K207">
        <f t="shared" si="15"/>
        <v>8.0653355608258899</v>
      </c>
    </row>
    <row r="208" spans="2:11">
      <c r="B208">
        <v>2134</v>
      </c>
      <c r="G208">
        <v>11.627704024470571</v>
      </c>
      <c r="H208">
        <v>10.91174516997968</v>
      </c>
      <c r="I208">
        <v>-2.7976345664668782</v>
      </c>
      <c r="J208">
        <f t="shared" si="14"/>
        <v>8.8300694580036918</v>
      </c>
      <c r="K208">
        <f t="shared" si="15"/>
        <v>8.1141106035128026</v>
      </c>
    </row>
    <row r="209" spans="2:11">
      <c r="B209">
        <v>2135</v>
      </c>
      <c r="G209">
        <v>11.699217975108446</v>
      </c>
      <c r="H209">
        <v>10.978036989812963</v>
      </c>
      <c r="I209">
        <v>-2.8152329278129393</v>
      </c>
      <c r="J209">
        <f t="shared" si="14"/>
        <v>8.8839850472955071</v>
      </c>
      <c r="K209">
        <f t="shared" si="15"/>
        <v>8.1628040620000242</v>
      </c>
    </row>
    <row r="210" spans="2:11">
      <c r="B210">
        <v>2136</v>
      </c>
      <c r="G210">
        <v>11.77060955429188</v>
      </c>
      <c r="H210">
        <v>11.044217254762692</v>
      </c>
      <c r="I210">
        <v>-2.8328003733337477</v>
      </c>
      <c r="J210">
        <f t="shared" si="14"/>
        <v>8.9378091809581335</v>
      </c>
      <c r="K210">
        <f t="shared" si="15"/>
        <v>8.2114168814289457</v>
      </c>
    </row>
    <row r="211" spans="2:11">
      <c r="B211">
        <v>2137</v>
      </c>
      <c r="G211">
        <v>11.841880218881993</v>
      </c>
      <c r="H211">
        <v>11.110287266672405</v>
      </c>
      <c r="I211">
        <v>-2.8503372820627444</v>
      </c>
      <c r="J211">
        <f t="shared" si="14"/>
        <v>8.9915429368192488</v>
      </c>
      <c r="K211">
        <f t="shared" si="15"/>
        <v>8.2599499846096602</v>
      </c>
    </row>
    <row r="212" spans="2:11">
      <c r="B212">
        <v>2138</v>
      </c>
      <c r="G212">
        <v>11.91303139108658</v>
      </c>
      <c r="H212">
        <v>11.176248296570312</v>
      </c>
      <c r="I212">
        <v>-2.8678440239545693</v>
      </c>
      <c r="J212">
        <f t="shared" si="14"/>
        <v>9.0451873671320104</v>
      </c>
      <c r="K212">
        <f t="shared" si="15"/>
        <v>8.3084042726157428</v>
      </c>
    </row>
    <row r="213" spans="2:11">
      <c r="B213">
        <v>2139</v>
      </c>
      <c r="G213">
        <v>11.984064459383802</v>
      </c>
      <c r="H213">
        <v>11.242101585490236</v>
      </c>
      <c r="I213">
        <v>-2.8853209601272241</v>
      </c>
      <c r="J213">
        <f t="shared" si="14"/>
        <v>9.0987434992565781</v>
      </c>
      <c r="K213">
        <f t="shared" si="15"/>
        <v>8.3567806253630117</v>
      </c>
    </row>
    <row r="214" spans="2:11">
      <c r="B214">
        <v>2140</v>
      </c>
      <c r="G214">
        <v>12.054980779420919</v>
      </c>
      <c r="H214">
        <v>11.307848345270408</v>
      </c>
      <c r="I214">
        <v>-2.902768443097715</v>
      </c>
      <c r="J214">
        <f t="shared" si="14"/>
        <v>9.1522123363232044</v>
      </c>
      <c r="K214">
        <f t="shared" si="15"/>
        <v>8.4050799021726927</v>
      </c>
    </row>
    <row r="215" spans="2:11">
      <c r="B215">
        <v>2141</v>
      </c>
      <c r="G215">
        <v>12.125781674888854</v>
      </c>
      <c r="H215">
        <v>11.373489759330726</v>
      </c>
      <c r="I215">
        <v>-2.9201868170113441</v>
      </c>
      <c r="J215">
        <f t="shared" si="14"/>
        <v>9.2055948578775109</v>
      </c>
      <c r="K215">
        <f t="shared" si="15"/>
        <v>8.4533029423193824</v>
      </c>
    </row>
    <row r="216" spans="2:11">
      <c r="B216">
        <v>2142</v>
      </c>
      <c r="G216">
        <v>12.196468438373099</v>
      </c>
      <c r="H216">
        <v>11.43902698342907</v>
      </c>
      <c r="I216">
        <v>-2.9375764178648125</v>
      </c>
      <c r="J216">
        <f t="shared" si="14"/>
        <v>9.2588920205082861</v>
      </c>
      <c r="K216">
        <f t="shared" si="15"/>
        <v>8.5014505655642569</v>
      </c>
    </row>
    <row r="217" spans="2:11">
      <c r="B217">
        <v>2143</v>
      </c>
      <c r="G217">
        <v>12.267042332181756</v>
      </c>
      <c r="H217">
        <v>11.504461146397212</v>
      </c>
      <c r="I217">
        <v>-2.9549375737233072</v>
      </c>
      <c r="J217">
        <f t="shared" si="14"/>
        <v>9.3121047584584495</v>
      </c>
      <c r="K217">
        <f t="shared" si="15"/>
        <v>8.5495235726739054</v>
      </c>
    </row>
    <row r="218" spans="2:11">
      <c r="B218">
        <v>2144</v>
      </c>
      <c r="G218">
        <v>12.337504589151186</v>
      </c>
      <c r="H218">
        <v>11.569793350856891</v>
      </c>
      <c r="I218">
        <v>-2.9722706049317384</v>
      </c>
      <c r="J218">
        <f t="shared" si="14"/>
        <v>9.3652339842194472</v>
      </c>
      <c r="K218">
        <f t="shared" si="15"/>
        <v>8.5975227459251524</v>
      </c>
    </row>
    <row r="219" spans="2:11">
      <c r="B219">
        <v>2145</v>
      </c>
      <c r="G219">
        <v>12.407856413429997</v>
      </c>
      <c r="H219">
        <v>11.635024673916586</v>
      </c>
      <c r="I219">
        <v>-2.9895758243202821</v>
      </c>
      <c r="J219">
        <f t="shared" si="14"/>
        <v>9.418280589109715</v>
      </c>
      <c r="K219">
        <f t="shared" si="15"/>
        <v>8.6454488495963044</v>
      </c>
    </row>
    <row r="220" spans="2:11">
      <c r="B220">
        <v>2146</v>
      </c>
      <c r="G220">
        <v>12.478098981241846</v>
      </c>
      <c r="H220">
        <v>11.700156167849498</v>
      </c>
      <c r="I220">
        <v>-3.0068535374043801</v>
      </c>
      <c r="J220">
        <f t="shared" si="14"/>
        <v>9.471245443837466</v>
      </c>
      <c r="K220">
        <f t="shared" si="15"/>
        <v>8.6933026304451175</v>
      </c>
    </row>
    <row r="221" spans="2:11">
      <c r="B221">
        <v>2147</v>
      </c>
      <c r="G221">
        <v>12.548233441627737</v>
      </c>
      <c r="H221">
        <v>11.765188860753314</v>
      </c>
      <c r="I221">
        <v>-3.0241040425793395</v>
      </c>
      <c r="J221">
        <f t="shared" si="14"/>
        <v>9.5241293990483982</v>
      </c>
      <c r="K221">
        <f t="shared" si="15"/>
        <v>8.7410848181739738</v>
      </c>
    </row>
    <row r="222" spans="2:11">
      <c r="B222">
        <v>2148</v>
      </c>
      <c r="G222">
        <v>12.618260917168231</v>
      </c>
      <c r="H222">
        <v>11.830123757192043</v>
      </c>
      <c r="I222">
        <v>-3.0413276313097035</v>
      </c>
      <c r="J222">
        <f t="shared" si="14"/>
        <v>9.5769332858585265</v>
      </c>
      <c r="K222">
        <f t="shared" si="15"/>
        <v>8.7887961258823388</v>
      </c>
    </row>
    <row r="223" spans="2:11">
      <c r="B223">
        <v>2149</v>
      </c>
      <c r="G223">
        <v>12.688182504686262</v>
      </c>
      <c r="H223">
        <v>11.894961838820729</v>
      </c>
      <c r="I223">
        <v>-3.0585245883135022</v>
      </c>
      <c r="J223">
        <f t="shared" si="14"/>
        <v>9.6296579163727607</v>
      </c>
      <c r="K223">
        <f t="shared" si="15"/>
        <v>8.8364372505072275</v>
      </c>
    </row>
  </sheetData>
  <mergeCells count="3">
    <mergeCell ref="B3:B4"/>
    <mergeCell ref="D3:F3"/>
    <mergeCell ref="G3:J3"/>
  </mergeCells>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658B5-549F-4536-BF9A-8BB0FA63EE3C}">
  <dimension ref="B1:T26"/>
  <sheetViews>
    <sheetView zoomScaleNormal="100" workbookViewId="0">
      <selection activeCell="M17" sqref="M17"/>
    </sheetView>
  </sheetViews>
  <sheetFormatPr defaultColWidth="8.81640625" defaultRowHeight="14.5"/>
  <cols>
    <col min="13" max="13" width="15.453125" customWidth="1"/>
    <col min="17" max="17" width="16.1796875" customWidth="1"/>
  </cols>
  <sheetData>
    <row r="1" spans="2:20" ht="17.5">
      <c r="B1" s="105" t="s">
        <v>444</v>
      </c>
    </row>
    <row r="2" spans="2:20" ht="15" thickBot="1"/>
    <row r="3" spans="2:20" ht="15" thickBot="1">
      <c r="B3" s="56" t="s">
        <v>449</v>
      </c>
      <c r="C3" s="132"/>
      <c r="D3" s="132"/>
      <c r="E3" s="132"/>
      <c r="F3" s="132"/>
      <c r="G3" s="130"/>
    </row>
    <row r="4" spans="2:20">
      <c r="B4" s="57"/>
      <c r="C4" s="166" t="s">
        <v>448</v>
      </c>
      <c r="D4" s="166"/>
      <c r="E4" s="166"/>
      <c r="F4" s="166"/>
      <c r="G4" s="183"/>
      <c r="I4" s="56" t="s">
        <v>450</v>
      </c>
      <c r="J4" s="132"/>
      <c r="K4" s="132"/>
      <c r="L4" s="132"/>
      <c r="M4" s="130"/>
      <c r="O4" t="s">
        <v>451</v>
      </c>
    </row>
    <row r="5" spans="2:20" ht="14.5" customHeight="1">
      <c r="B5" s="57" t="s">
        <v>395</v>
      </c>
      <c r="C5" s="18" t="s">
        <v>396</v>
      </c>
      <c r="D5" s="18" t="s">
        <v>397</v>
      </c>
      <c r="E5" s="137" t="s">
        <v>398</v>
      </c>
      <c r="F5" s="18" t="s">
        <v>399</v>
      </c>
      <c r="G5" s="58" t="s">
        <v>400</v>
      </c>
      <c r="I5" s="57" t="s">
        <v>396</v>
      </c>
      <c r="J5" s="18" t="s">
        <v>397</v>
      </c>
      <c r="K5" s="137" t="s">
        <v>398</v>
      </c>
      <c r="L5" s="18" t="s">
        <v>399</v>
      </c>
      <c r="M5" s="58" t="s">
        <v>400</v>
      </c>
      <c r="O5" s="174" t="s">
        <v>518</v>
      </c>
      <c r="P5" s="174"/>
      <c r="Q5" s="174"/>
      <c r="R5" s="174"/>
      <c r="S5" s="174"/>
      <c r="T5" t="s">
        <v>469</v>
      </c>
    </row>
    <row r="6" spans="2:20" ht="15" thickBot="1">
      <c r="B6" s="57">
        <v>1</v>
      </c>
      <c r="C6" s="18">
        <v>1.11E-2</v>
      </c>
      <c r="D6" s="18">
        <v>1.4800000000000001E-2</v>
      </c>
      <c r="E6" s="18">
        <v>2.1899999999999999E-2</v>
      </c>
      <c r="F6" s="18">
        <v>4.2700000000000002E-2</v>
      </c>
      <c r="G6" s="58">
        <v>8.0399999999999999E-2</v>
      </c>
      <c r="I6" s="59">
        <v>0.1</v>
      </c>
      <c r="J6" s="60">
        <f>0.1625</f>
        <v>0.16250000000000001</v>
      </c>
      <c r="K6" s="60">
        <f>0.225</f>
        <v>0.22500000000000001</v>
      </c>
      <c r="L6" s="60">
        <f>0.2875</f>
        <v>0.28749999999999998</v>
      </c>
      <c r="M6" s="61">
        <f>0.31875</f>
        <v>0.31874999999999998</v>
      </c>
      <c r="O6" s="174"/>
      <c r="P6" s="174"/>
      <c r="Q6" s="174"/>
      <c r="R6" s="174"/>
      <c r="S6" s="174"/>
    </row>
    <row r="7" spans="2:20">
      <c r="B7" s="57">
        <v>10</v>
      </c>
      <c r="C7" s="18">
        <v>3.4099999999999998E-2</v>
      </c>
      <c r="D7" s="18">
        <v>4.48E-2</v>
      </c>
      <c r="E7" s="18">
        <v>6.5299999999999997E-2</v>
      </c>
      <c r="F7" s="18">
        <v>0.1195</v>
      </c>
      <c r="G7" s="58">
        <v>0.19919999999999999</v>
      </c>
      <c r="O7" s="174"/>
      <c r="P7" s="174"/>
      <c r="Q7" s="174"/>
      <c r="R7" s="174"/>
      <c r="S7" s="174"/>
    </row>
    <row r="8" spans="2:20">
      <c r="B8" s="57">
        <v>20</v>
      </c>
      <c r="C8" s="18">
        <v>4.7699999999999999E-2</v>
      </c>
      <c r="D8" s="18">
        <v>6.2300000000000001E-2</v>
      </c>
      <c r="E8" s="18">
        <v>8.9599999999999999E-2</v>
      </c>
      <c r="F8" s="18">
        <v>0.15759999999999999</v>
      </c>
      <c r="G8" s="58">
        <v>0.24360000000000001</v>
      </c>
      <c r="O8" t="s">
        <v>452</v>
      </c>
      <c r="R8" t="s">
        <v>453</v>
      </c>
    </row>
    <row r="9" spans="2:20">
      <c r="B9" s="57">
        <v>30</v>
      </c>
      <c r="C9" s="18">
        <v>5.7599999999999998E-2</v>
      </c>
      <c r="D9" s="18">
        <v>7.4899999999999994E-2</v>
      </c>
      <c r="E9" s="18">
        <v>0.1066</v>
      </c>
      <c r="F9" s="18">
        <v>0.18210000000000001</v>
      </c>
      <c r="G9" s="58">
        <v>0.26619999999999999</v>
      </c>
      <c r="O9" t="s">
        <v>519</v>
      </c>
      <c r="R9" t="s">
        <v>454</v>
      </c>
    </row>
    <row r="10" spans="2:20">
      <c r="B10" s="57">
        <v>40</v>
      </c>
      <c r="C10" s="18">
        <v>6.5699999999999995E-2</v>
      </c>
      <c r="D10" s="18">
        <v>8.5099999999999995E-2</v>
      </c>
      <c r="E10" s="18">
        <v>0.1201</v>
      </c>
      <c r="F10" s="18">
        <v>0.20030000000000001</v>
      </c>
      <c r="G10" s="58">
        <v>0.27950000000000003</v>
      </c>
      <c r="O10" t="s">
        <v>455</v>
      </c>
      <c r="R10" t="s">
        <v>456</v>
      </c>
    </row>
    <row r="11" spans="2:20">
      <c r="B11" s="57">
        <v>60</v>
      </c>
      <c r="C11" s="18">
        <v>7.8799999999999995E-2</v>
      </c>
      <c r="D11" s="18">
        <v>0.1013</v>
      </c>
      <c r="E11" s="18">
        <v>0.1411</v>
      </c>
      <c r="F11" s="18">
        <v>0.22589999999999999</v>
      </c>
      <c r="G11" s="58">
        <v>0.29320000000000002</v>
      </c>
      <c r="O11" t="s">
        <v>457</v>
      </c>
      <c r="R11" t="s">
        <v>458</v>
      </c>
    </row>
    <row r="12" spans="2:20">
      <c r="B12" s="57">
        <v>80</v>
      </c>
      <c r="C12" s="18">
        <v>8.9499999999999996E-2</v>
      </c>
      <c r="D12" s="18">
        <v>0.1144</v>
      </c>
      <c r="E12" s="18">
        <v>0.1575</v>
      </c>
      <c r="F12" s="18">
        <v>0.2437</v>
      </c>
      <c r="G12" s="58">
        <v>0.29899999999999999</v>
      </c>
      <c r="P12" t="s">
        <v>459</v>
      </c>
      <c r="Q12" t="s">
        <v>389</v>
      </c>
    </row>
    <row r="13" spans="2:20">
      <c r="B13" s="57">
        <v>100</v>
      </c>
      <c r="C13" s="18">
        <v>9.8599999999999993E-2</v>
      </c>
      <c r="D13" s="18">
        <v>0.12540000000000001</v>
      </c>
      <c r="E13" s="18">
        <v>0.1709</v>
      </c>
      <c r="F13" s="18">
        <v>0.25659999999999999</v>
      </c>
      <c r="G13" s="58">
        <v>0.30130000000000001</v>
      </c>
      <c r="P13">
        <f>-0.00625*5+0.35</f>
        <v>0.31874999999999998</v>
      </c>
      <c r="Q13" t="s">
        <v>403</v>
      </c>
    </row>
    <row r="14" spans="2:20">
      <c r="B14" s="57">
        <v>120</v>
      </c>
      <c r="C14" s="18">
        <v>0.1066</v>
      </c>
      <c r="D14" s="18">
        <v>0.13489999999999999</v>
      </c>
      <c r="E14" s="18">
        <v>0.1822</v>
      </c>
      <c r="F14" s="18">
        <v>0.26619999999999999</v>
      </c>
      <c r="G14" s="58">
        <v>0.30220000000000002</v>
      </c>
      <c r="P14">
        <f>0.00625*10+0.35</f>
        <v>0.41249999999999998</v>
      </c>
      <c r="Q14" t="s">
        <v>405</v>
      </c>
    </row>
    <row r="15" spans="2:20">
      <c r="B15" s="57">
        <v>140</v>
      </c>
      <c r="C15" s="18">
        <v>0.1137</v>
      </c>
      <c r="D15" s="18">
        <v>0.14330000000000001</v>
      </c>
      <c r="E15" s="18">
        <v>0.1918</v>
      </c>
      <c r="F15" s="18">
        <v>0.2737</v>
      </c>
      <c r="G15" s="58">
        <v>0.3024</v>
      </c>
      <c r="P15">
        <f>-0.00625*20+0.35</f>
        <v>0.22499999999999998</v>
      </c>
      <c r="Q15" t="s">
        <v>460</v>
      </c>
    </row>
    <row r="16" spans="2:20">
      <c r="B16" s="57">
        <v>160</v>
      </c>
      <c r="C16" s="18">
        <v>0.1201</v>
      </c>
      <c r="D16" s="18">
        <v>0.1507</v>
      </c>
      <c r="E16" s="18">
        <v>0.20030000000000001</v>
      </c>
      <c r="F16" s="18">
        <v>0.27950000000000003</v>
      </c>
      <c r="G16" s="58">
        <v>0.30249999999999999</v>
      </c>
      <c r="P16">
        <f>-0.00625*30+0.35</f>
        <v>0.16249999999999998</v>
      </c>
      <c r="Q16" t="s">
        <v>461</v>
      </c>
    </row>
    <row r="17" spans="2:17">
      <c r="B17" s="57">
        <v>180</v>
      </c>
      <c r="C17" s="18">
        <v>0.126</v>
      </c>
      <c r="D17" s="18">
        <v>0.15759999999999999</v>
      </c>
      <c r="E17" s="18">
        <v>0.20780000000000001</v>
      </c>
      <c r="F17" s="18">
        <v>0.28420000000000001</v>
      </c>
      <c r="G17" s="58">
        <v>0.30249999999999999</v>
      </c>
      <c r="P17">
        <v>0.1</v>
      </c>
      <c r="Q17" t="s">
        <v>404</v>
      </c>
    </row>
    <row r="18" spans="2:17">
      <c r="B18" s="57">
        <v>200</v>
      </c>
      <c r="C18" s="18">
        <v>0.13150000000000001</v>
      </c>
      <c r="D18" s="18">
        <v>0.1638</v>
      </c>
      <c r="E18" s="18">
        <v>0.21460000000000001</v>
      </c>
      <c r="F18" s="18">
        <v>0.28789999999999999</v>
      </c>
      <c r="G18" s="58">
        <v>0.30249999999999999</v>
      </c>
    </row>
    <row r="19" spans="2:17">
      <c r="B19" s="57">
        <v>220</v>
      </c>
      <c r="C19" s="18">
        <v>0.13650000000000001</v>
      </c>
      <c r="D19" s="18">
        <v>0.16950000000000001</v>
      </c>
      <c r="E19" s="18">
        <v>0.22059999999999999</v>
      </c>
      <c r="F19" s="18">
        <v>0.29089999999999999</v>
      </c>
      <c r="G19" s="58">
        <v>0.30249999999999999</v>
      </c>
    </row>
    <row r="20" spans="2:17">
      <c r="B20" s="57">
        <v>240</v>
      </c>
      <c r="C20" s="18">
        <v>0.14130000000000001</v>
      </c>
      <c r="D20" s="18">
        <v>0.1749</v>
      </c>
      <c r="E20" s="18">
        <v>0.2261</v>
      </c>
      <c r="F20" s="18">
        <v>0.29330000000000001</v>
      </c>
      <c r="G20" s="58">
        <v>0.30249999999999999</v>
      </c>
    </row>
    <row r="21" spans="2:17">
      <c r="B21" s="57">
        <v>260</v>
      </c>
      <c r="C21" s="18">
        <v>0.1457</v>
      </c>
      <c r="D21" s="18">
        <v>0.1789</v>
      </c>
      <c r="E21" s="18">
        <v>0.2311</v>
      </c>
      <c r="F21" s="18">
        <v>0.29520000000000002</v>
      </c>
      <c r="G21" s="58">
        <v>0.30249999999999999</v>
      </c>
    </row>
    <row r="22" spans="2:17">
      <c r="B22" s="57">
        <v>280</v>
      </c>
      <c r="C22" s="18">
        <v>0.14990000000000001</v>
      </c>
      <c r="D22" s="18">
        <v>0.18440000000000001</v>
      </c>
      <c r="E22" s="18">
        <v>0.23569999999999999</v>
      </c>
      <c r="F22" s="18">
        <v>0.29670000000000002</v>
      </c>
      <c r="G22" s="58">
        <v>0.30249999999999999</v>
      </c>
    </row>
    <row r="23" spans="2:17">
      <c r="B23" s="57">
        <v>300</v>
      </c>
      <c r="C23" s="18">
        <v>0.15379999999999999</v>
      </c>
      <c r="D23" s="18">
        <v>0.1888</v>
      </c>
      <c r="E23" s="18">
        <v>0.2399</v>
      </c>
      <c r="F23" s="18">
        <v>0.29799999999999999</v>
      </c>
      <c r="G23" s="58">
        <v>0.30249999999999999</v>
      </c>
    </row>
    <row r="24" spans="2:17">
      <c r="B24" s="57">
        <v>320</v>
      </c>
      <c r="C24" s="18">
        <v>0.15759999999999999</v>
      </c>
      <c r="D24" s="18">
        <v>0.1928</v>
      </c>
      <c r="E24" s="18">
        <v>0.2437</v>
      </c>
      <c r="F24" s="18">
        <v>0.29899999999999999</v>
      </c>
      <c r="G24" s="58">
        <v>0.30249999999999999</v>
      </c>
    </row>
    <row r="25" spans="2:17">
      <c r="B25" s="57">
        <v>340</v>
      </c>
      <c r="C25" s="18">
        <v>0.16120000000000001</v>
      </c>
      <c r="D25" s="18">
        <v>0.19670000000000001</v>
      </c>
      <c r="E25" s="18">
        <v>0.24729999999999999</v>
      </c>
      <c r="F25" s="18">
        <v>0.29980000000000001</v>
      </c>
      <c r="G25" s="58">
        <v>0.30249999999999999</v>
      </c>
    </row>
    <row r="26" spans="2:17" ht="15" thickBot="1">
      <c r="B26" s="59">
        <v>365</v>
      </c>
      <c r="C26" s="60">
        <v>0.16539999999999999</v>
      </c>
      <c r="D26" s="60">
        <v>0.20119999999999999</v>
      </c>
      <c r="E26" s="60">
        <v>0.25140000000000001</v>
      </c>
      <c r="F26" s="60">
        <v>0.30059999999999998</v>
      </c>
      <c r="G26" s="61">
        <v>0.30249999999999999</v>
      </c>
    </row>
  </sheetData>
  <mergeCells count="2">
    <mergeCell ref="C4:G4"/>
    <mergeCell ref="O5:S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761A4-E37F-42A3-8D95-071717CDB8F2}">
  <dimension ref="B1:W17"/>
  <sheetViews>
    <sheetView zoomScaleNormal="100" workbookViewId="0">
      <selection activeCell="I22" sqref="I22"/>
    </sheetView>
  </sheetViews>
  <sheetFormatPr defaultColWidth="8.81640625" defaultRowHeight="14.5"/>
  <cols>
    <col min="2" max="2" width="21.6328125" customWidth="1"/>
    <col min="3" max="3" width="13.81640625" bestFit="1" customWidth="1"/>
    <col min="4" max="4" width="16.36328125" bestFit="1" customWidth="1"/>
    <col min="5" max="5" width="13.6328125" customWidth="1"/>
    <col min="6" max="7" width="12.6328125" customWidth="1"/>
    <col min="8" max="8" width="14" customWidth="1"/>
    <col min="9" max="9" width="11.1796875" customWidth="1"/>
  </cols>
  <sheetData>
    <row r="1" spans="2:23" ht="17.5">
      <c r="B1" s="105" t="s">
        <v>505</v>
      </c>
    </row>
    <row r="3" spans="2:23">
      <c r="B3" t="s">
        <v>506</v>
      </c>
    </row>
    <row r="5" spans="2:23" ht="50" customHeight="1">
      <c r="B5" s="178" t="s">
        <v>511</v>
      </c>
      <c r="C5" s="184"/>
      <c r="D5" s="151" t="s">
        <v>510</v>
      </c>
      <c r="E5" s="152" t="s">
        <v>495</v>
      </c>
      <c r="F5" s="152" t="s">
        <v>496</v>
      </c>
      <c r="G5" s="152" t="s">
        <v>497</v>
      </c>
      <c r="H5" s="152" t="s">
        <v>507</v>
      </c>
      <c r="I5" s="153" t="s">
        <v>509</v>
      </c>
    </row>
    <row r="6" spans="2:23">
      <c r="B6" t="s">
        <v>512</v>
      </c>
      <c r="C6">
        <v>0.754</v>
      </c>
      <c r="D6" s="88" t="s">
        <v>240</v>
      </c>
      <c r="E6">
        <v>7.5</v>
      </c>
      <c r="F6">
        <v>-3.7345999999999997E-2</v>
      </c>
      <c r="G6">
        <f>ABS(F6/$C$6*100)</f>
        <v>4.9530503978779841</v>
      </c>
      <c r="H6">
        <f>-0.084891-F6</f>
        <v>-4.7544999999999997E-2</v>
      </c>
      <c r="I6" s="20">
        <f>ABS(H6/$C$6)*100</f>
        <v>6.3057029177718826</v>
      </c>
    </row>
    <row r="7" spans="2:23">
      <c r="D7" s="88" t="s">
        <v>239</v>
      </c>
      <c r="E7">
        <v>7.5</v>
      </c>
      <c r="F7">
        <v>-5.2963999999999997E-2</v>
      </c>
      <c r="G7">
        <f t="shared" ref="G7:G14" si="0">ABS(F7/$C$6*100)</f>
        <v>7.024403183023872</v>
      </c>
      <c r="H7">
        <f>-0.11142-F7</f>
        <v>-5.8456000000000008E-2</v>
      </c>
      <c r="I7" s="20">
        <f t="shared" ref="I7:I14" si="1">ABS(H7/$C$6)*100</f>
        <v>7.7527851458885948</v>
      </c>
    </row>
    <row r="8" spans="2:23">
      <c r="D8" s="88" t="s">
        <v>498</v>
      </c>
      <c r="E8">
        <v>15</v>
      </c>
      <c r="F8">
        <v>-4.7123999999999999E-2</v>
      </c>
      <c r="G8">
        <f t="shared" si="0"/>
        <v>6.249867374005305</v>
      </c>
      <c r="H8">
        <f>-0.099955-F8</f>
        <v>-5.2831000000000003E-2</v>
      </c>
      <c r="I8" s="20">
        <f t="shared" si="1"/>
        <v>7.0067639257294436</v>
      </c>
    </row>
    <row r="9" spans="2:23">
      <c r="D9" s="88" t="s">
        <v>499</v>
      </c>
      <c r="E9">
        <v>15</v>
      </c>
      <c r="F9">
        <v>-5.2988E-2</v>
      </c>
      <c r="G9">
        <f t="shared" si="0"/>
        <v>7.0275862068965527</v>
      </c>
      <c r="H9">
        <f>-0.10896-F9</f>
        <v>-5.5972000000000001E-2</v>
      </c>
      <c r="I9" s="20">
        <f t="shared" si="1"/>
        <v>7.4233421750663133</v>
      </c>
    </row>
    <row r="10" spans="2:23">
      <c r="D10" s="88" t="s">
        <v>500</v>
      </c>
      <c r="E10">
        <v>25</v>
      </c>
      <c r="F10">
        <v>-3.8265E-2</v>
      </c>
      <c r="G10">
        <f t="shared" si="0"/>
        <v>5.0749336870026518</v>
      </c>
      <c r="H10">
        <f>-0.082814-F10</f>
        <v>-4.4548999999999998E-2</v>
      </c>
      <c r="I10" s="20">
        <f t="shared" si="1"/>
        <v>5.9083554376657821</v>
      </c>
    </row>
    <row r="11" spans="2:23">
      <c r="D11" s="88" t="s">
        <v>501</v>
      </c>
      <c r="E11">
        <v>25</v>
      </c>
      <c r="F11">
        <v>-6.6535999999999998E-2</v>
      </c>
      <c r="G11">
        <f t="shared" si="0"/>
        <v>8.8244031830238718</v>
      </c>
      <c r="H11">
        <f>-0.12198-F11</f>
        <v>-5.5444000000000007E-2</v>
      </c>
      <c r="I11" s="20">
        <f t="shared" si="1"/>
        <v>7.3533156498673744</v>
      </c>
    </row>
    <row r="12" spans="2:23">
      <c r="D12" s="88" t="s">
        <v>502</v>
      </c>
      <c r="E12">
        <v>50</v>
      </c>
      <c r="F12">
        <v>-3.6156000000000001E-2</v>
      </c>
      <c r="G12">
        <f t="shared" si="0"/>
        <v>4.7952254641909819</v>
      </c>
      <c r="H12">
        <f>-0.071134-F12</f>
        <v>-3.4978000000000002E-2</v>
      </c>
      <c r="I12" s="20">
        <f t="shared" si="1"/>
        <v>4.6389920424403188</v>
      </c>
    </row>
    <row r="13" spans="2:23">
      <c r="D13" s="88" t="s">
        <v>503</v>
      </c>
      <c r="E13">
        <v>50</v>
      </c>
      <c r="F13">
        <v>-7.1307999999999996E-2</v>
      </c>
      <c r="G13">
        <f t="shared" si="0"/>
        <v>9.457294429708222</v>
      </c>
      <c r="H13">
        <f>-0.10584-F13</f>
        <v>-3.4532000000000007E-2</v>
      </c>
      <c r="I13" s="20">
        <f t="shared" si="1"/>
        <v>4.5798408488063673</v>
      </c>
    </row>
    <row r="14" spans="2:23">
      <c r="D14" s="149" t="s">
        <v>504</v>
      </c>
      <c r="E14" s="150">
        <v>0</v>
      </c>
      <c r="F14" s="150">
        <f>-0.040174</f>
        <v>-4.0174000000000001E-2</v>
      </c>
      <c r="G14">
        <f t="shared" si="0"/>
        <v>5.3281167108753316</v>
      </c>
      <c r="H14" s="150">
        <f>-0.091403-F14</f>
        <v>-5.1228999999999997E-2</v>
      </c>
      <c r="I14" s="20">
        <f t="shared" si="1"/>
        <v>6.7942970822281161</v>
      </c>
    </row>
    <row r="15" spans="2:23">
      <c r="D15" s="148" t="s">
        <v>508</v>
      </c>
    </row>
    <row r="16" spans="2:23">
      <c r="D16" s="186"/>
      <c r="E16" s="186"/>
      <c r="F16" s="186"/>
      <c r="G16" s="186"/>
      <c r="H16" s="185"/>
      <c r="I16" s="185"/>
      <c r="J16" s="185"/>
      <c r="K16" s="185"/>
      <c r="L16" s="185"/>
      <c r="M16" s="185"/>
      <c r="N16" s="185"/>
      <c r="O16" s="185"/>
      <c r="P16" s="185"/>
      <c r="Q16" s="185"/>
      <c r="R16" s="185"/>
      <c r="S16" s="185"/>
      <c r="T16" s="185"/>
      <c r="U16" s="185"/>
      <c r="V16" s="185"/>
      <c r="W16" s="185"/>
    </row>
    <row r="17" spans="3:3">
      <c r="C17" s="40"/>
    </row>
  </sheetData>
  <mergeCells count="8">
    <mergeCell ref="B5:C5"/>
    <mergeCell ref="O16:Q16"/>
    <mergeCell ref="R16:S16"/>
    <mergeCell ref="T16:U16"/>
    <mergeCell ref="V16:W16"/>
    <mergeCell ref="D16:G16"/>
    <mergeCell ref="H16:K16"/>
    <mergeCell ref="L16:N1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50CE1-F7FE-44F8-968D-D4F41B1FCA67}">
  <dimension ref="B1:M505"/>
  <sheetViews>
    <sheetView zoomScaleNormal="100" workbookViewId="0">
      <selection activeCell="V18" sqref="V18"/>
    </sheetView>
  </sheetViews>
  <sheetFormatPr defaultColWidth="8.81640625" defaultRowHeight="14.5"/>
  <cols>
    <col min="1" max="1" width="1.6328125" customWidth="1"/>
    <col min="2" max="2" width="5.1796875" customWidth="1"/>
    <col min="3" max="3" width="12.1796875" customWidth="1"/>
    <col min="4" max="4" width="11.6328125" customWidth="1"/>
    <col min="5" max="5" width="12.453125" customWidth="1"/>
    <col min="6" max="6" width="11.6328125" customWidth="1"/>
    <col min="7" max="7" width="15.6328125" customWidth="1"/>
    <col min="8" max="8" width="16.36328125" customWidth="1"/>
    <col min="9" max="9" width="15.6328125" customWidth="1"/>
    <col min="12" max="12" width="23.453125" customWidth="1"/>
  </cols>
  <sheetData>
    <row r="1" spans="2:13" ht="17.5">
      <c r="C1" s="105" t="s">
        <v>428</v>
      </c>
    </row>
    <row r="2" spans="2:13" ht="10" customHeight="1"/>
    <row r="3" spans="2:13" ht="29">
      <c r="B3" s="172" t="s">
        <v>248</v>
      </c>
      <c r="C3" s="71" t="s">
        <v>249</v>
      </c>
      <c r="D3" s="172" t="s">
        <v>256</v>
      </c>
      <c r="E3" s="172"/>
      <c r="F3" s="172"/>
      <c r="G3" s="172" t="s">
        <v>250</v>
      </c>
      <c r="H3" s="172"/>
      <c r="I3" s="172"/>
    </row>
    <row r="4" spans="2:13" ht="42" customHeight="1">
      <c r="B4" s="172"/>
      <c r="C4" s="77" t="s">
        <v>251</v>
      </c>
      <c r="D4" s="71" t="s">
        <v>462</v>
      </c>
      <c r="E4" s="71" t="s">
        <v>253</v>
      </c>
      <c r="F4" s="71" t="s">
        <v>254</v>
      </c>
      <c r="G4" s="71" t="s">
        <v>252</v>
      </c>
      <c r="H4" s="71" t="s">
        <v>253</v>
      </c>
      <c r="I4" s="71" t="s">
        <v>254</v>
      </c>
      <c r="L4" s="71"/>
    </row>
    <row r="5" spans="2:13">
      <c r="B5">
        <v>1900</v>
      </c>
      <c r="C5">
        <v>3074600.0000000005</v>
      </c>
      <c r="D5" s="5">
        <v>2623151.5816219472</v>
      </c>
      <c r="E5">
        <v>-67973.370367148906</v>
      </c>
      <c r="F5">
        <f>D5+E5</f>
        <v>2555178.2112547983</v>
      </c>
      <c r="G5">
        <v>0</v>
      </c>
      <c r="H5">
        <v>0</v>
      </c>
      <c r="I5">
        <v>0</v>
      </c>
    </row>
    <row r="6" spans="2:13">
      <c r="B6">
        <v>1901</v>
      </c>
      <c r="C6">
        <v>3299799.9999999995</v>
      </c>
      <c r="D6" s="5">
        <v>2798276.7571985931</v>
      </c>
      <c r="E6">
        <v>-101107.64091757699</v>
      </c>
      <c r="F6">
        <f t="shared" ref="F6:F69" si="0">D6+E6</f>
        <v>2697169.1162810163</v>
      </c>
      <c r="G6">
        <v>4.4393700061167009E-9</v>
      </c>
      <c r="H6">
        <v>-1.1503679152083121E-10</v>
      </c>
      <c r="I6">
        <f>G6+H6</f>
        <v>4.3243332145958698E-9</v>
      </c>
      <c r="L6" t="s">
        <v>463</v>
      </c>
      <c r="M6">
        <v>87.3</v>
      </c>
    </row>
    <row r="7" spans="2:13">
      <c r="B7">
        <v>1902</v>
      </c>
      <c r="C7">
        <v>4427100</v>
      </c>
      <c r="D7" s="5">
        <v>3731424.1371447877</v>
      </c>
      <c r="E7">
        <v>-149696.828679175</v>
      </c>
      <c r="F7">
        <f t="shared" si="0"/>
        <v>3581727.3084656126</v>
      </c>
      <c r="G7">
        <v>1.3342453209980662E-8</v>
      </c>
      <c r="H7">
        <v>-3.9413694939900035E-10</v>
      </c>
      <c r="I7">
        <f t="shared" ref="I7:I70" si="1">G7+H7</f>
        <v>1.2948316260581662E-8</v>
      </c>
      <c r="L7" t="s">
        <v>464</v>
      </c>
      <c r="M7">
        <v>12.7</v>
      </c>
    </row>
    <row r="8" spans="2:13">
      <c r="B8">
        <v>1903</v>
      </c>
      <c r="C8">
        <v>5237099.9999999991</v>
      </c>
      <c r="D8" s="5">
        <v>4387146.6000539185</v>
      </c>
      <c r="E8">
        <v>-197723.43671277599</v>
      </c>
      <c r="F8">
        <f t="shared" si="0"/>
        <v>4189423.1633411427</v>
      </c>
      <c r="G8">
        <v>2.8047928398020948E-8</v>
      </c>
      <c r="H8">
        <v>-9.1033263038499439E-10</v>
      </c>
      <c r="I8">
        <f t="shared" si="1"/>
        <v>2.7137595767635954E-8</v>
      </c>
    </row>
    <row r="9" spans="2:13">
      <c r="B9">
        <v>1904</v>
      </c>
      <c r="C9">
        <v>5315900</v>
      </c>
      <c r="D9" s="5">
        <v>4425757.7302780328</v>
      </c>
      <c r="E9">
        <v>-232184.78071963301</v>
      </c>
      <c r="F9">
        <f t="shared" si="0"/>
        <v>4193572.9495583996</v>
      </c>
      <c r="G9">
        <v>4.9371021271884019E-8</v>
      </c>
      <c r="H9">
        <v>-1.732315818053216E-9</v>
      </c>
      <c r="I9">
        <f t="shared" si="1"/>
        <v>4.7638705453830806E-8</v>
      </c>
    </row>
    <row r="10" spans="2:13">
      <c r="B10">
        <v>1905</v>
      </c>
      <c r="C10">
        <v>6750099.9999999991</v>
      </c>
      <c r="D10" s="5">
        <v>5585009.9094177643</v>
      </c>
      <c r="E10">
        <v>-292665.74653659901</v>
      </c>
      <c r="F10">
        <f t="shared" si="0"/>
        <v>5292344.1628811657</v>
      </c>
      <c r="G10">
        <v>7.7066350393117489E-8</v>
      </c>
      <c r="H10">
        <v>-2.9030747296263883E-9</v>
      </c>
      <c r="I10">
        <f t="shared" si="1"/>
        <v>7.4163275663491104E-8</v>
      </c>
    </row>
    <row r="11" spans="2:13">
      <c r="B11">
        <v>1906</v>
      </c>
      <c r="C11">
        <v>8934900.0000000019</v>
      </c>
      <c r="D11" s="5">
        <v>7346652.3693671664</v>
      </c>
      <c r="E11">
        <v>-379739.645840679</v>
      </c>
      <c r="F11">
        <f t="shared" si="0"/>
        <v>6966912.7235264871</v>
      </c>
      <c r="G11">
        <v>1.1283476669539625E-7</v>
      </c>
      <c r="H11">
        <v>-4.5087481783562551E-9</v>
      </c>
      <c r="I11">
        <f t="shared" si="1"/>
        <v>1.0832601851704E-7</v>
      </c>
    </row>
    <row r="12" spans="2:13">
      <c r="B12">
        <v>1907</v>
      </c>
      <c r="C12">
        <v>9092900</v>
      </c>
      <c r="D12" s="5">
        <v>7429698.5874489173</v>
      </c>
      <c r="E12">
        <v>-436725.161262876</v>
      </c>
      <c r="F12">
        <f t="shared" si="0"/>
        <v>6992973.426186041</v>
      </c>
      <c r="G12">
        <v>1.5931992780591945E-7</v>
      </c>
      <c r="H12">
        <v>-6.6770042089213395E-9</v>
      </c>
      <c r="I12">
        <f t="shared" si="1"/>
        <v>1.5264292359699812E-7</v>
      </c>
    </row>
    <row r="13" spans="2:13">
      <c r="B13">
        <v>1908</v>
      </c>
      <c r="C13">
        <v>9058199.9999999981</v>
      </c>
      <c r="D13" s="5">
        <v>7354656.4344414715</v>
      </c>
      <c r="E13">
        <v>-482949.27213638998</v>
      </c>
      <c r="F13">
        <f t="shared" si="0"/>
        <v>6871707.1623050813</v>
      </c>
      <c r="G13">
        <v>2.1619869918827807E-7</v>
      </c>
      <c r="H13">
        <v>-9.4789347823128791E-9</v>
      </c>
      <c r="I13">
        <f t="shared" si="1"/>
        <v>2.0671976440596519E-7</v>
      </c>
    </row>
    <row r="14" spans="2:13">
      <c r="B14">
        <v>1909</v>
      </c>
      <c r="C14">
        <v>11332000</v>
      </c>
      <c r="D14" s="5">
        <v>9142421.7470374927</v>
      </c>
      <c r="E14">
        <v>-574762.45344937197</v>
      </c>
      <c r="F14">
        <f t="shared" si="0"/>
        <v>8567659.2935881205</v>
      </c>
      <c r="G14">
        <v>2.829504162863559E-7</v>
      </c>
      <c r="H14">
        <v>-1.2965850275781686E-8</v>
      </c>
      <c r="I14">
        <f t="shared" si="1"/>
        <v>2.6998456601057423E-7</v>
      </c>
    </row>
    <row r="15" spans="2:13">
      <c r="B15">
        <v>1910</v>
      </c>
      <c r="C15">
        <v>12992000</v>
      </c>
      <c r="D15" s="5">
        <v>10414709.78238854</v>
      </c>
      <c r="E15">
        <v>-670334.40343045001</v>
      </c>
      <c r="F15">
        <f t="shared" si="0"/>
        <v>9744375.3789580893</v>
      </c>
      <c r="G15">
        <v>3.6227910959369342E-7</v>
      </c>
      <c r="H15">
        <v>-1.7265963139855564E-8</v>
      </c>
      <c r="I15">
        <f t="shared" si="1"/>
        <v>3.4501314645383784E-7</v>
      </c>
    </row>
    <row r="16" spans="2:13">
      <c r="B16">
        <v>1911</v>
      </c>
      <c r="C16">
        <v>13166000</v>
      </c>
      <c r="D16" s="5">
        <v>10486330.229388809</v>
      </c>
      <c r="E16">
        <v>-740738.69290518702</v>
      </c>
      <c r="F16">
        <f t="shared" si="0"/>
        <v>9745591.5364836212</v>
      </c>
      <c r="G16">
        <v>4.5588103109047901E-7</v>
      </c>
      <c r="H16">
        <v>-2.2508826221667683E-8</v>
      </c>
      <c r="I16">
        <f t="shared" si="1"/>
        <v>4.3337220486881135E-7</v>
      </c>
    </row>
    <row r="17" spans="2:9">
      <c r="B17">
        <v>1912</v>
      </c>
      <c r="C17">
        <v>13623000</v>
      </c>
      <c r="D17" s="5">
        <v>10780099.420158254</v>
      </c>
      <c r="E17">
        <v>-810806.55223827204</v>
      </c>
      <c r="F17">
        <f t="shared" si="0"/>
        <v>9969292.8679199815</v>
      </c>
      <c r="G17">
        <v>5.6336238365962235E-7</v>
      </c>
      <c r="H17">
        <v>-2.8776820822329942E-8</v>
      </c>
      <c r="I17">
        <f t="shared" si="1"/>
        <v>5.3458556283729246E-7</v>
      </c>
    </row>
    <row r="18" spans="2:9">
      <c r="B18">
        <v>1913</v>
      </c>
      <c r="C18">
        <v>15498000</v>
      </c>
      <c r="D18" s="5">
        <v>12183934.898365034</v>
      </c>
      <c r="E18">
        <v>-910830.87411093398</v>
      </c>
      <c r="F18">
        <f t="shared" si="0"/>
        <v>11273104.0242541</v>
      </c>
      <c r="G18">
        <v>6.8478105830181859E-7</v>
      </c>
      <c r="H18">
        <v>-3.6150526716653882E-8</v>
      </c>
      <c r="I18">
        <f t="shared" si="1"/>
        <v>6.4863053158516469E-7</v>
      </c>
    </row>
    <row r="19" spans="2:9">
      <c r="B19">
        <v>1914</v>
      </c>
      <c r="C19">
        <v>14974000</v>
      </c>
      <c r="D19" s="5">
        <v>11694804.786093298</v>
      </c>
      <c r="E19">
        <v>-970010.21601642796</v>
      </c>
      <c r="F19">
        <f t="shared" si="0"/>
        <v>10724794.57007687</v>
      </c>
      <c r="G19">
        <v>8.2211099174642755E-7</v>
      </c>
      <c r="H19">
        <v>-4.4760136696190662E-8</v>
      </c>
      <c r="I19">
        <f t="shared" si="1"/>
        <v>7.7735085505023688E-7</v>
      </c>
    </row>
    <row r="20" spans="2:9">
      <c r="B20">
        <v>1915</v>
      </c>
      <c r="C20">
        <v>14484000</v>
      </c>
      <c r="D20" s="5">
        <v>11237455.444066772</v>
      </c>
      <c r="E20">
        <v>-1017528.6726212</v>
      </c>
      <c r="F20">
        <f t="shared" si="0"/>
        <v>10219926.771445572</v>
      </c>
      <c r="G20">
        <v>9.7403684025378751E-7</v>
      </c>
      <c r="H20">
        <v>-5.4662613327742435E-8</v>
      </c>
      <c r="I20">
        <f t="shared" si="1"/>
        <v>9.1937422692604506E-7</v>
      </c>
    </row>
    <row r="21" spans="2:9">
      <c r="B21">
        <v>1916</v>
      </c>
      <c r="C21">
        <v>15448000</v>
      </c>
      <c r="D21" s="5">
        <v>11905753.257932469</v>
      </c>
      <c r="E21">
        <v>-1088894.1863680601</v>
      </c>
      <c r="F21">
        <f t="shared" si="0"/>
        <v>10816859.07156441</v>
      </c>
      <c r="G21">
        <v>1.1394224122128397E-6</v>
      </c>
      <c r="H21">
        <v>-6.5895954089328268E-8</v>
      </c>
      <c r="I21">
        <f t="shared" si="1"/>
        <v>1.0735264581235114E-6</v>
      </c>
    </row>
    <row r="22" spans="2:9">
      <c r="B22">
        <v>1917</v>
      </c>
      <c r="C22">
        <v>15639000</v>
      </c>
      <c r="D22" s="5">
        <v>11972347.706563795</v>
      </c>
      <c r="E22">
        <v>-1149938.8208486401</v>
      </c>
      <c r="F22">
        <f t="shared" si="0"/>
        <v>10822408.885715155</v>
      </c>
      <c r="G22">
        <v>1.3191345341140281E-6</v>
      </c>
      <c r="H22">
        <v>-7.8540232270189913E-8</v>
      </c>
      <c r="I22">
        <f t="shared" si="1"/>
        <v>1.2405943018438382E-6</v>
      </c>
    </row>
    <row r="23" spans="2:9">
      <c r="B23">
        <v>1918</v>
      </c>
      <c r="C23">
        <v>11923000</v>
      </c>
      <c r="D23" s="5">
        <v>9066129.5862939898</v>
      </c>
      <c r="E23">
        <v>-1122271.01404948</v>
      </c>
      <c r="F23">
        <f t="shared" si="0"/>
        <v>7943858.5722445101</v>
      </c>
      <c r="G23">
        <v>1.5129844485218365E-6</v>
      </c>
      <c r="H23">
        <v>-9.2656873419382632E-8</v>
      </c>
      <c r="I23">
        <f t="shared" si="1"/>
        <v>1.4203275751024539E-6</v>
      </c>
    </row>
    <row r="24" spans="2:9">
      <c r="B24">
        <v>1919</v>
      </c>
      <c r="C24">
        <v>13572000</v>
      </c>
      <c r="D24" s="5">
        <v>10250057.700705595</v>
      </c>
      <c r="E24">
        <v>-1175876.63918465</v>
      </c>
      <c r="F24">
        <f t="shared" si="0"/>
        <v>9074181.0615209453</v>
      </c>
      <c r="G24">
        <v>1.7157839591840885E-6</v>
      </c>
      <c r="H24">
        <v>-1.0815717306705232E-7</v>
      </c>
      <c r="I24">
        <f t="shared" si="1"/>
        <v>1.6076267861170363E-6</v>
      </c>
    </row>
    <row r="25" spans="2:9">
      <c r="B25">
        <v>1920</v>
      </c>
      <c r="C25">
        <v>16744000</v>
      </c>
      <c r="D25" s="5">
        <v>12559360.490941284</v>
      </c>
      <c r="E25">
        <v>-1283638.49134204</v>
      </c>
      <c r="F25">
        <f t="shared" si="0"/>
        <v>11275721.999599244</v>
      </c>
      <c r="G25">
        <v>1.9296007858342109E-6</v>
      </c>
      <c r="H25">
        <v>-1.2509907701309679E-7</v>
      </c>
      <c r="I25">
        <f t="shared" si="1"/>
        <v>1.8045017088211141E-6</v>
      </c>
    </row>
    <row r="26" spans="2:9">
      <c r="B26">
        <v>1921</v>
      </c>
      <c r="C26">
        <v>16769000</v>
      </c>
      <c r="D26" s="5">
        <v>12491679.098208616</v>
      </c>
      <c r="E26">
        <v>-1349369.33522415</v>
      </c>
      <c r="F26">
        <f t="shared" si="0"/>
        <v>11142309.762984466</v>
      </c>
      <c r="G26">
        <v>2.1582557313853519E-6</v>
      </c>
      <c r="H26">
        <v>-1.4363110438282104E-7</v>
      </c>
      <c r="I26">
        <f t="shared" si="1"/>
        <v>2.0146246270025307E-6</v>
      </c>
    </row>
    <row r="27" spans="2:9">
      <c r="B27">
        <v>1922</v>
      </c>
      <c r="C27">
        <v>19597000</v>
      </c>
      <c r="D27" s="5">
        <v>14497322.409005186</v>
      </c>
      <c r="E27">
        <v>-1469551.9073027801</v>
      </c>
      <c r="F27">
        <f t="shared" si="0"/>
        <v>13027770.501702406</v>
      </c>
      <c r="G27">
        <v>2.4013073765257943E-6</v>
      </c>
      <c r="H27">
        <v>-1.6382408860076979E-7</v>
      </c>
      <c r="I27">
        <f t="shared" si="1"/>
        <v>2.2374832879250246E-6</v>
      </c>
    </row>
    <row r="28" spans="2:9">
      <c r="B28">
        <v>1923</v>
      </c>
      <c r="C28">
        <v>23791000</v>
      </c>
      <c r="D28" s="5">
        <v>17477301.105768338</v>
      </c>
      <c r="E28">
        <v>-1641412.9788824499</v>
      </c>
      <c r="F28">
        <f t="shared" si="0"/>
        <v>15835888.126885887</v>
      </c>
      <c r="G28">
        <v>2.6618743316290347E-6</v>
      </c>
      <c r="H28">
        <v>-1.8583996147511472E-7</v>
      </c>
      <c r="I28">
        <f t="shared" si="1"/>
        <v>2.4760343701539199E-6</v>
      </c>
    </row>
    <row r="29" spans="2:9">
      <c r="B29">
        <v>1924</v>
      </c>
      <c r="C29">
        <v>25910000</v>
      </c>
      <c r="D29" s="5">
        <v>18900407.620231431</v>
      </c>
      <c r="E29">
        <v>-1796710.4592747299</v>
      </c>
      <c r="F29">
        <f t="shared" si="0"/>
        <v>17103697.160956699</v>
      </c>
      <c r="G29">
        <v>2.9445504553165876E-6</v>
      </c>
      <c r="H29">
        <v>-2.0992152643324427E-7</v>
      </c>
      <c r="I29">
        <f t="shared" si="1"/>
        <v>2.7346289288833435E-6</v>
      </c>
    </row>
    <row r="30" spans="2:9">
      <c r="B30">
        <v>1925</v>
      </c>
      <c r="C30">
        <v>28318000</v>
      </c>
      <c r="D30" s="5">
        <v>20510995.401919175</v>
      </c>
      <c r="E30">
        <v>-1963380.55947104</v>
      </c>
      <c r="F30">
        <f t="shared" si="0"/>
        <v>18547614.842448134</v>
      </c>
      <c r="G30">
        <v>3.2510514418145802E-6</v>
      </c>
      <c r="H30">
        <v>-2.3627273046755619E-7</v>
      </c>
      <c r="I30">
        <f t="shared" si="1"/>
        <v>3.0147787113470242E-6</v>
      </c>
    </row>
    <row r="31" spans="2:9">
      <c r="B31">
        <v>1926</v>
      </c>
      <c r="C31">
        <v>28807000</v>
      </c>
      <c r="D31" s="5">
        <v>20716701.147948433</v>
      </c>
      <c r="E31">
        <v>-2096608.4528952001</v>
      </c>
      <c r="F31">
        <f t="shared" si="0"/>
        <v>18620092.695053231</v>
      </c>
      <c r="G31">
        <v>3.5833718252809321E-6</v>
      </c>
      <c r="H31">
        <v>-2.6510953446332059E-7</v>
      </c>
      <c r="I31">
        <f t="shared" si="1"/>
        <v>3.3182622908176115E-6</v>
      </c>
    </row>
    <row r="32" spans="2:9">
      <c r="B32">
        <v>1927</v>
      </c>
      <c r="C32">
        <v>29540000</v>
      </c>
      <c r="D32" s="5">
        <v>21091582.114828549</v>
      </c>
      <c r="E32">
        <v>-2226228.02152419</v>
      </c>
      <c r="F32">
        <f t="shared" si="0"/>
        <v>18865354.093304358</v>
      </c>
      <c r="G32">
        <v>3.9410758011238939E-6</v>
      </c>
      <c r="H32">
        <v>-2.9658407120499873E-7</v>
      </c>
      <c r="I32">
        <f t="shared" si="1"/>
        <v>3.6444917299188952E-6</v>
      </c>
    </row>
    <row r="33" spans="2:9">
      <c r="B33">
        <v>1928</v>
      </c>
      <c r="C33">
        <v>30231000</v>
      </c>
      <c r="D33" s="5">
        <v>14662035</v>
      </c>
      <c r="E33">
        <v>-2351839.7053321898</v>
      </c>
      <c r="F33">
        <f t="shared" si="0"/>
        <v>12310195.29466781</v>
      </c>
      <c r="G33">
        <v>4.3241145213121819E-6</v>
      </c>
      <c r="H33">
        <v>-3.308397630852373E-7</v>
      </c>
      <c r="I33">
        <f t="shared" si="1"/>
        <v>3.9932747582269443E-6</v>
      </c>
    </row>
    <row r="34" spans="2:9">
      <c r="B34">
        <v>1929</v>
      </c>
      <c r="C34">
        <v>29202000</v>
      </c>
      <c r="D34" s="5">
        <v>14162970</v>
      </c>
      <c r="E34">
        <v>-2437188.4950190601</v>
      </c>
      <c r="F34">
        <f t="shared" si="0"/>
        <v>11725781.50498094</v>
      </c>
      <c r="G34">
        <v>4.7209861596669212E-6</v>
      </c>
      <c r="H34">
        <v>-3.6801131462181512E-7</v>
      </c>
      <c r="I34">
        <f t="shared" si="1"/>
        <v>4.352974845045106E-6</v>
      </c>
    </row>
    <row r="35" spans="2:9">
      <c r="B35">
        <v>1930</v>
      </c>
      <c r="C35">
        <v>27227000</v>
      </c>
      <c r="D35" s="5">
        <v>13205095</v>
      </c>
      <c r="E35">
        <v>-2484475.1419714</v>
      </c>
      <c r="F35">
        <f t="shared" si="0"/>
        <v>10720619.8580286</v>
      </c>
      <c r="G35">
        <v>5.1309808951932992E-6</v>
      </c>
      <c r="H35">
        <v>-4.0816394200143644E-7</v>
      </c>
      <c r="I35">
        <f t="shared" si="1"/>
        <v>4.722816953191863E-6</v>
      </c>
    </row>
    <row r="36" spans="2:9">
      <c r="B36">
        <v>1931</v>
      </c>
      <c r="C36">
        <v>21745000</v>
      </c>
      <c r="D36" s="5">
        <v>10546325</v>
      </c>
      <c r="E36">
        <v>-2432619.99978024</v>
      </c>
      <c r="F36">
        <f t="shared" si="0"/>
        <v>8113705.0002197605</v>
      </c>
      <c r="G36">
        <v>5.5526137292253118E-6</v>
      </c>
      <c r="H36">
        <v>-4.5130133850414089E-7</v>
      </c>
      <c r="I36">
        <f t="shared" si="1"/>
        <v>5.1013123907211707E-6</v>
      </c>
    </row>
    <row r="37" spans="2:9">
      <c r="B37">
        <v>1932</v>
      </c>
      <c r="C37">
        <v>13729000</v>
      </c>
      <c r="D37" s="5">
        <v>6658565</v>
      </c>
      <c r="E37">
        <v>-2275300.5876138899</v>
      </c>
      <c r="F37">
        <f t="shared" si="0"/>
        <v>4383264.4123861101</v>
      </c>
      <c r="G37">
        <v>5.9815715415906933E-6</v>
      </c>
      <c r="H37">
        <v>-4.9726554696323257E-7</v>
      </c>
      <c r="I37">
        <f t="shared" si="1"/>
        <v>5.4843059946274605E-6</v>
      </c>
    </row>
    <row r="38" spans="2:9">
      <c r="B38">
        <v>1933</v>
      </c>
      <c r="C38">
        <v>10860000</v>
      </c>
      <c r="D38" s="5">
        <v>5267100</v>
      </c>
      <c r="E38">
        <v>-2169117.3786250502</v>
      </c>
      <c r="F38">
        <f t="shared" si="0"/>
        <v>3097982.6213749498</v>
      </c>
      <c r="G38">
        <v>6.4116806300273492E-6</v>
      </c>
      <c r="H38">
        <v>-5.457352648202281E-7</v>
      </c>
      <c r="I38">
        <f t="shared" si="1"/>
        <v>5.8659453652071209E-6</v>
      </c>
    </row>
    <row r="39" spans="2:9">
      <c r="B39">
        <v>1934</v>
      </c>
      <c r="C39">
        <v>12877000</v>
      </c>
      <c r="D39" s="5">
        <v>6245345</v>
      </c>
      <c r="E39">
        <v>-2166426.1907340898</v>
      </c>
      <c r="F39">
        <f t="shared" si="0"/>
        <v>4078918.8092659102</v>
      </c>
      <c r="G39">
        <v>6.8413005612864351E-6</v>
      </c>
      <c r="H39">
        <v>-5.9649892104740031E-7</v>
      </c>
      <c r="I39">
        <f t="shared" si="1"/>
        <v>6.2448016402390343E-6</v>
      </c>
    </row>
    <row r="40" spans="2:9">
      <c r="B40">
        <v>1935</v>
      </c>
      <c r="C40">
        <v>12745000</v>
      </c>
      <c r="D40" s="5">
        <v>6181325</v>
      </c>
      <c r="E40">
        <v>-2152017.1392913498</v>
      </c>
      <c r="F40">
        <f t="shared" si="0"/>
        <v>4029307.8607086502</v>
      </c>
      <c r="G40">
        <v>7.2727973430145565E-6</v>
      </c>
      <c r="H40">
        <v>-6.4953368778523692E-7</v>
      </c>
      <c r="I40">
        <f t="shared" si="1"/>
        <v>6.6232636552293195E-6</v>
      </c>
    </row>
    <row r="41" spans="2:9">
      <c r="B41">
        <v>1936</v>
      </c>
      <c r="C41">
        <v>19129000</v>
      </c>
      <c r="D41" s="5">
        <v>9277565</v>
      </c>
      <c r="E41">
        <v>-2286224.95824767</v>
      </c>
      <c r="F41">
        <f t="shared" si="0"/>
        <v>6991340.04175233</v>
      </c>
      <c r="G41">
        <v>7.706527708489906E-6</v>
      </c>
      <c r="H41">
        <v>-7.0479732164354761E-7</v>
      </c>
      <c r="I41">
        <f t="shared" si="1"/>
        <v>7.0017303868463588E-6</v>
      </c>
    </row>
    <row r="42" spans="2:9">
      <c r="B42">
        <v>1937</v>
      </c>
      <c r="C42">
        <v>19469000</v>
      </c>
      <c r="D42" s="5">
        <v>9442465</v>
      </c>
      <c r="E42">
        <v>-2350003.3061162699</v>
      </c>
      <c r="F42">
        <f t="shared" si="0"/>
        <v>7092461.6938837301</v>
      </c>
      <c r="G42">
        <v>8.1481077104900909E-6</v>
      </c>
      <c r="H42">
        <v>-7.6250073531477621E-7</v>
      </c>
      <c r="I42">
        <f t="shared" si="1"/>
        <v>7.3856069751753143E-6</v>
      </c>
    </row>
    <row r="43" spans="2:9">
      <c r="B43">
        <v>1938</v>
      </c>
      <c r="C43">
        <v>18211000</v>
      </c>
      <c r="D43" s="5">
        <v>8832335</v>
      </c>
      <c r="E43">
        <v>-2371438.1780413799</v>
      </c>
      <c r="F43">
        <f t="shared" si="0"/>
        <v>6460896.8219586201</v>
      </c>
      <c r="G43">
        <v>8.597794260475216E-6</v>
      </c>
      <c r="H43">
        <v>-8.227216584103831E-7</v>
      </c>
      <c r="I43">
        <f t="shared" si="1"/>
        <v>7.7750726020648334E-6</v>
      </c>
    </row>
    <row r="44" spans="2:9">
      <c r="B44">
        <v>1939</v>
      </c>
      <c r="C44">
        <v>21046000</v>
      </c>
      <c r="D44" s="5">
        <v>10207310</v>
      </c>
      <c r="E44">
        <v>-2466698.8570181802</v>
      </c>
      <c r="F44">
        <f t="shared" si="0"/>
        <v>7740611.1429818198</v>
      </c>
      <c r="G44">
        <v>9.054512943934691E-6</v>
      </c>
      <c r="H44">
        <v>-8.8546211040516912E-7</v>
      </c>
      <c r="I44">
        <f t="shared" si="1"/>
        <v>8.1690508335295219E-6</v>
      </c>
    </row>
    <row r="45" spans="2:9">
      <c r="B45">
        <v>1940</v>
      </c>
      <c r="C45">
        <v>21793000</v>
      </c>
      <c r="D45" s="5">
        <v>10569605</v>
      </c>
      <c r="E45">
        <v>-2541591.2926052501</v>
      </c>
      <c r="F45">
        <f t="shared" si="0"/>
        <v>8028013.7073947499</v>
      </c>
      <c r="G45">
        <v>9.5206134004631664E-6</v>
      </c>
      <c r="H45">
        <v>-9.5085015845585874E-7</v>
      </c>
      <c r="I45">
        <f t="shared" si="1"/>
        <v>8.5697632420073073E-6</v>
      </c>
    </row>
    <row r="46" spans="2:9">
      <c r="B46">
        <v>1941</v>
      </c>
      <c r="C46">
        <v>28378000</v>
      </c>
      <c r="D46" s="5">
        <v>13763330</v>
      </c>
      <c r="E46">
        <v>-2745896.6624604901</v>
      </c>
      <c r="F46">
        <f t="shared" si="0"/>
        <v>11017433.337539509</v>
      </c>
      <c r="G46">
        <v>9.9965784246834393E-6</v>
      </c>
      <c r="H46">
        <v>-1.0189726552076784E-6</v>
      </c>
      <c r="I46">
        <f t="shared" si="1"/>
        <v>8.9776057694757618E-6</v>
      </c>
    </row>
    <row r="47" spans="2:9">
      <c r="B47">
        <v>1942</v>
      </c>
      <c r="C47">
        <v>31045000</v>
      </c>
      <c r="D47" s="5">
        <v>15056825</v>
      </c>
      <c r="E47">
        <v>-2918733.8185859001</v>
      </c>
      <c r="F47">
        <f t="shared" si="0"/>
        <v>12138091.181414099</v>
      </c>
      <c r="G47">
        <v>1.048766297394942E-5</v>
      </c>
      <c r="H47">
        <v>-1.090132079999123E-6</v>
      </c>
      <c r="I47">
        <f t="shared" si="1"/>
        <v>9.3975308939502968E-6</v>
      </c>
    </row>
    <row r="48" spans="2:9">
      <c r="B48">
        <v>1943</v>
      </c>
      <c r="C48">
        <v>21226000</v>
      </c>
      <c r="D48" s="5">
        <v>10294610</v>
      </c>
      <c r="E48">
        <v>-2822712.3186916299</v>
      </c>
      <c r="F48">
        <f t="shared" si="0"/>
        <v>7471897.6813083701</v>
      </c>
      <c r="G48">
        <v>1.0995596115217544E-5</v>
      </c>
      <c r="H48">
        <v>-1.1645614489629898E-6</v>
      </c>
      <c r="I48">
        <f t="shared" si="1"/>
        <v>9.8310346662545552E-6</v>
      </c>
    </row>
    <row r="49" spans="2:9">
      <c r="B49">
        <v>1944</v>
      </c>
      <c r="C49">
        <v>15497000</v>
      </c>
      <c r="D49" s="5">
        <v>7516045</v>
      </c>
      <c r="E49">
        <v>-2711952.3270930299</v>
      </c>
      <c r="F49">
        <f t="shared" si="0"/>
        <v>4804092.6729069706</v>
      </c>
      <c r="G49">
        <v>1.1511801686537896E-5</v>
      </c>
      <c r="H49">
        <v>-1.2420287526393638E-6</v>
      </c>
      <c r="I49">
        <f t="shared" si="1"/>
        <v>1.0269772933898532E-5</v>
      </c>
    </row>
    <row r="50" spans="2:9">
      <c r="B50">
        <v>1945</v>
      </c>
      <c r="C50">
        <v>17378000</v>
      </c>
      <c r="D50" s="5">
        <v>8428330</v>
      </c>
      <c r="E50">
        <v>-2823639.0925824801</v>
      </c>
      <c r="F50">
        <f t="shared" si="0"/>
        <v>5604690.9074175199</v>
      </c>
      <c r="G50">
        <v>1.2031640793935211E-5</v>
      </c>
      <c r="H50">
        <v>-1.3222966430731894E-6</v>
      </c>
      <c r="I50">
        <f t="shared" si="1"/>
        <v>1.0709344150862022E-5</v>
      </c>
    </row>
    <row r="51" spans="2:9">
      <c r="B51">
        <v>1946</v>
      </c>
      <c r="C51">
        <v>19493000</v>
      </c>
      <c r="D51" s="5">
        <v>9454105</v>
      </c>
      <c r="E51">
        <v>-3018992.2591132601</v>
      </c>
      <c r="F51">
        <f t="shared" si="0"/>
        <v>6435112.7408867404</v>
      </c>
      <c r="G51">
        <v>1.2556987815184464E-5</v>
      </c>
      <c r="H51">
        <v>-1.4055216678063814E-6</v>
      </c>
      <c r="I51">
        <f t="shared" si="1"/>
        <v>1.1151466147378083E-5</v>
      </c>
    </row>
    <row r="52" spans="2:9">
      <c r="B52">
        <v>1947</v>
      </c>
      <c r="C52">
        <v>32634000</v>
      </c>
      <c r="D52" s="5">
        <v>15827490</v>
      </c>
      <c r="E52">
        <v>-3406488.2252040301</v>
      </c>
      <c r="F52">
        <f t="shared" si="0"/>
        <v>12421001.77479597</v>
      </c>
      <c r="G52">
        <v>1.3089745376085907E-5</v>
      </c>
      <c r="H52">
        <v>-1.4919931090703376E-6</v>
      </c>
      <c r="I52">
        <f t="shared" si="1"/>
        <v>1.1597752267015569E-5</v>
      </c>
    </row>
    <row r="53" spans="2:9">
      <c r="B53">
        <v>1948</v>
      </c>
      <c r="C53">
        <v>35856000</v>
      </c>
      <c r="D53" s="5">
        <v>17390160</v>
      </c>
      <c r="E53">
        <v>-3717898.1746859602</v>
      </c>
      <c r="F53">
        <f t="shared" si="0"/>
        <v>13672261.825314039</v>
      </c>
      <c r="G53">
        <v>1.3640722301038571E-5</v>
      </c>
      <c r="H53">
        <v>-1.5823095350246265E-6</v>
      </c>
      <c r="I53">
        <f t="shared" si="1"/>
        <v>1.2058412766013943E-5</v>
      </c>
    </row>
    <row r="54" spans="2:9">
      <c r="B54">
        <v>1949</v>
      </c>
      <c r="C54">
        <v>36265000</v>
      </c>
      <c r="D54" s="5">
        <v>17588525</v>
      </c>
      <c r="E54">
        <v>-3935695.9636156401</v>
      </c>
      <c r="F54">
        <f t="shared" si="0"/>
        <v>13652829.036384359</v>
      </c>
      <c r="G54">
        <v>1.4211914541970843E-5</v>
      </c>
      <c r="H54">
        <v>-1.6769078197640619E-6</v>
      </c>
      <c r="I54">
        <f t="shared" si="1"/>
        <v>1.2535006722206782E-5</v>
      </c>
    </row>
    <row r="55" spans="2:9">
      <c r="B55">
        <v>1950</v>
      </c>
      <c r="C55">
        <v>40891000</v>
      </c>
      <c r="D55" s="5">
        <v>19832135</v>
      </c>
      <c r="E55">
        <v>-4240131.2454233402</v>
      </c>
      <c r="F55">
        <f t="shared" si="0"/>
        <v>15592003.754576661</v>
      </c>
      <c r="G55">
        <v>1.4802959568472415E-5</v>
      </c>
      <c r="H55">
        <v>-1.7760473105950757E-6</v>
      </c>
      <c r="I55">
        <f t="shared" si="1"/>
        <v>1.3026912257877339E-5</v>
      </c>
    </row>
    <row r="56" spans="2:9">
      <c r="B56">
        <v>1951</v>
      </c>
      <c r="C56">
        <v>42695000</v>
      </c>
      <c r="D56" s="5">
        <v>20707075</v>
      </c>
      <c r="E56">
        <v>-4588840.2145849904</v>
      </c>
      <c r="F56">
        <f t="shared" si="0"/>
        <v>16118234.785415009</v>
      </c>
      <c r="G56">
        <v>1.5417054874864342E-5</v>
      </c>
      <c r="H56">
        <v>-1.8801278761204802E-6</v>
      </c>
      <c r="I56">
        <f t="shared" si="1"/>
        <v>1.3536926998743862E-5</v>
      </c>
    </row>
    <row r="57" spans="2:9">
      <c r="B57">
        <v>1952</v>
      </c>
      <c r="C57">
        <v>44335000</v>
      </c>
      <c r="D57" s="5">
        <v>21502475</v>
      </c>
      <c r="E57">
        <v>-4907548.5626383899</v>
      </c>
      <c r="F57">
        <f t="shared" si="0"/>
        <v>16594926.437361609</v>
      </c>
      <c r="G57">
        <v>1.6054947869679904E-5</v>
      </c>
      <c r="H57">
        <v>-1.9896100781937888E-6</v>
      </c>
      <c r="I57">
        <f t="shared" si="1"/>
        <v>1.4065337791486116E-5</v>
      </c>
    </row>
    <row r="58" spans="2:9">
      <c r="B58">
        <v>1953</v>
      </c>
      <c r="C58">
        <v>46047000</v>
      </c>
      <c r="D58" s="5">
        <v>22332795</v>
      </c>
      <c r="E58">
        <v>-5142786.2824539999</v>
      </c>
      <c r="F58">
        <f t="shared" si="0"/>
        <v>17190008.717546001</v>
      </c>
      <c r="G58">
        <v>1.6717282066315955E-5</v>
      </c>
      <c r="H58">
        <v>-2.10488720525808E-6</v>
      </c>
      <c r="I58">
        <f t="shared" si="1"/>
        <v>1.4612394861057874E-5</v>
      </c>
    </row>
    <row r="59" spans="2:9">
      <c r="B59">
        <v>1954</v>
      </c>
      <c r="C59">
        <v>48897000</v>
      </c>
      <c r="D59" s="5">
        <v>23715045</v>
      </c>
      <c r="E59">
        <v>-5461407.0653795404</v>
      </c>
      <c r="F59">
        <f t="shared" si="0"/>
        <v>18253637.934620459</v>
      </c>
      <c r="G59">
        <v>1.7404791150493423E-5</v>
      </c>
      <c r="H59">
        <v>-2.2262005882483174E-6</v>
      </c>
      <c r="I59">
        <f t="shared" si="1"/>
        <v>1.5178590562245105E-5</v>
      </c>
    </row>
    <row r="60" spans="2:9">
      <c r="B60">
        <v>1955</v>
      </c>
      <c r="C60">
        <v>53589000</v>
      </c>
      <c r="D60" s="5">
        <v>25990665</v>
      </c>
      <c r="E60">
        <v>-5909328.1405422902</v>
      </c>
      <c r="F60">
        <f t="shared" si="0"/>
        <v>20081336.859457709</v>
      </c>
      <c r="G60">
        <v>1.8119162613234625E-5</v>
      </c>
      <c r="H60">
        <v>-2.3539322243199422E-6</v>
      </c>
      <c r="I60">
        <f t="shared" si="1"/>
        <v>1.5765230388914685E-5</v>
      </c>
    </row>
    <row r="61" spans="2:9">
      <c r="B61">
        <v>1956</v>
      </c>
      <c r="C61">
        <v>55225000</v>
      </c>
      <c r="D61" s="5">
        <v>26784125</v>
      </c>
      <c r="E61">
        <v>-6256433.7686743299</v>
      </c>
      <c r="F61">
        <f t="shared" si="0"/>
        <v>20527691.231325671</v>
      </c>
      <c r="G61">
        <v>1.8863552928683605E-5</v>
      </c>
      <c r="H61">
        <v>-2.4886735333657975E-6</v>
      </c>
      <c r="I61">
        <f t="shared" si="1"/>
        <v>1.6374879395317809E-5</v>
      </c>
    </row>
    <row r="62" spans="2:9">
      <c r="B62">
        <v>1957</v>
      </c>
      <c r="C62">
        <v>51638000</v>
      </c>
      <c r="D62" s="5">
        <v>25044430</v>
      </c>
      <c r="E62">
        <v>-6431087.5598792499</v>
      </c>
      <c r="F62">
        <f t="shared" si="0"/>
        <v>18613342.440120749</v>
      </c>
      <c r="G62">
        <v>1.9638480778024411E-5</v>
      </c>
      <c r="H62">
        <v>-2.6308238507027618E-6</v>
      </c>
      <c r="I62">
        <f t="shared" si="1"/>
        <v>1.7007656927321648E-5</v>
      </c>
    </row>
    <row r="63" spans="2:9">
      <c r="B63">
        <v>1958</v>
      </c>
      <c r="C63">
        <v>54542000</v>
      </c>
      <c r="D63" s="5">
        <v>26452870</v>
      </c>
      <c r="E63">
        <v>-6749550.7093917802</v>
      </c>
      <c r="F63">
        <f t="shared" si="0"/>
        <v>19703319.29060822</v>
      </c>
      <c r="G63">
        <v>2.0440223937747537E-5</v>
      </c>
      <c r="H63">
        <v>-2.7804831738649432E-6</v>
      </c>
      <c r="I63">
        <f t="shared" si="1"/>
        <v>1.7659740763882595E-5</v>
      </c>
    </row>
    <row r="64" spans="2:9">
      <c r="B64">
        <v>1959</v>
      </c>
      <c r="C64">
        <v>59899000</v>
      </c>
      <c r="D64" s="5">
        <v>29051015</v>
      </c>
      <c r="E64">
        <v>-7130081.6137955198</v>
      </c>
      <c r="F64">
        <f t="shared" si="0"/>
        <v>21920933.386204481</v>
      </c>
      <c r="G64">
        <v>2.127068629308449E-5</v>
      </c>
      <c r="H64">
        <v>-2.9380061924527163E-6</v>
      </c>
      <c r="I64">
        <f t="shared" si="1"/>
        <v>1.8332680100631773E-5</v>
      </c>
    </row>
    <row r="65" spans="2:9">
      <c r="B65">
        <v>1960</v>
      </c>
      <c r="C65">
        <v>55526000</v>
      </c>
      <c r="D65" s="5">
        <v>26930110</v>
      </c>
      <c r="E65">
        <v>-7282237.9376651999</v>
      </c>
      <c r="F65">
        <f t="shared" si="0"/>
        <v>19647872.062334798</v>
      </c>
      <c r="G65">
        <v>2.2133700646662063E-5</v>
      </c>
      <c r="H65">
        <v>-3.1038465114072264E-6</v>
      </c>
      <c r="I65">
        <f t="shared" si="1"/>
        <v>1.9029854135254837E-5</v>
      </c>
    </row>
    <row r="66" spans="2:9">
      <c r="B66">
        <v>1961</v>
      </c>
      <c r="C66">
        <v>56826000</v>
      </c>
      <c r="D66" s="5">
        <v>27560610</v>
      </c>
      <c r="E66">
        <v>-7553026.6452358803</v>
      </c>
      <c r="F66">
        <f t="shared" si="0"/>
        <v>20007583.354764119</v>
      </c>
      <c r="G66">
        <v>2.3024920276719506E-5</v>
      </c>
      <c r="H66">
        <v>-3.2780593990531431E-6</v>
      </c>
      <c r="I66">
        <f t="shared" si="1"/>
        <v>1.9746860877666364E-5</v>
      </c>
    </row>
    <row r="67" spans="2:9">
      <c r="B67">
        <v>1962</v>
      </c>
      <c r="C67">
        <v>58983000</v>
      </c>
      <c r="D67" s="5">
        <v>28606755</v>
      </c>
      <c r="E67">
        <v>-7853208.3478378505</v>
      </c>
      <c r="F67">
        <f t="shared" si="0"/>
        <v>20753546.65216215</v>
      </c>
      <c r="G67">
        <v>2.3944985487277374E-5</v>
      </c>
      <c r="H67">
        <v>-3.4609144998824994E-6</v>
      </c>
      <c r="I67">
        <f t="shared" si="1"/>
        <v>2.0484070987394876E-5</v>
      </c>
    </row>
    <row r="68" spans="2:9">
      <c r="B68">
        <v>1963</v>
      </c>
      <c r="C68">
        <v>63648000</v>
      </c>
      <c r="D68" s="5">
        <v>30869280</v>
      </c>
      <c r="E68">
        <v>-8082136.7076890804</v>
      </c>
      <c r="F68">
        <f t="shared" si="0"/>
        <v>22787143.29231092</v>
      </c>
      <c r="G68">
        <v>2.4895223321583781E-5</v>
      </c>
      <c r="H68">
        <v>-3.6527295965282157E-6</v>
      </c>
      <c r="I68">
        <f t="shared" si="1"/>
        <v>2.1242493725055567E-5</v>
      </c>
    </row>
    <row r="69" spans="2:9">
      <c r="B69">
        <v>1964</v>
      </c>
      <c r="C69">
        <v>66149000</v>
      </c>
      <c r="D69" s="5">
        <v>32082265</v>
      </c>
      <c r="E69">
        <v>-7864215.6279221904</v>
      </c>
      <c r="F69">
        <f t="shared" si="0"/>
        <v>24218049.372077808</v>
      </c>
      <c r="G69">
        <v>2.5878962389236878E-5</v>
      </c>
      <c r="H69">
        <v>-3.8536971708533236E-6</v>
      </c>
      <c r="I69">
        <f t="shared" si="1"/>
        <v>2.2025265218383554E-5</v>
      </c>
    </row>
    <row r="70" spans="2:9">
      <c r="B70">
        <v>1965</v>
      </c>
      <c r="C70">
        <v>67589000</v>
      </c>
      <c r="D70" s="5">
        <v>32780665</v>
      </c>
      <c r="E70">
        <v>-8265024.9336246802</v>
      </c>
      <c r="F70">
        <f t="shared" ref="F70:F124" si="2">D70+E70</f>
        <v>24515640.066375319</v>
      </c>
      <c r="G70">
        <v>2.6897582009399608E-5</v>
      </c>
      <c r="H70">
        <v>-4.0632566607528832E-6</v>
      </c>
      <c r="I70">
        <f t="shared" si="1"/>
        <v>2.2834325348646724E-5</v>
      </c>
    </row>
    <row r="71" spans="2:9">
      <c r="B71">
        <v>1966</v>
      </c>
      <c r="C71">
        <v>68490000</v>
      </c>
      <c r="D71" s="5">
        <v>33217650</v>
      </c>
      <c r="E71">
        <v>-8548709.8991300594</v>
      </c>
      <c r="F71">
        <f t="shared" si="2"/>
        <v>24668940.100869939</v>
      </c>
      <c r="G71">
        <v>2.7951557454925774E-5</v>
      </c>
      <c r="H71">
        <v>-4.2819432411811609E-6</v>
      </c>
      <c r="I71">
        <f t="shared" ref="I71:I134" si="3">G71+H71</f>
        <v>2.3669614213744613E-5</v>
      </c>
    </row>
    <row r="72" spans="2:9">
      <c r="B72">
        <v>1967</v>
      </c>
      <c r="C72">
        <v>67459000</v>
      </c>
      <c r="D72" s="5">
        <v>32717615</v>
      </c>
      <c r="E72">
        <v>-8783559.0119332094</v>
      </c>
      <c r="F72">
        <f t="shared" si="2"/>
        <v>23934055.988066792</v>
      </c>
      <c r="G72">
        <v>2.904094665316873E-5</v>
      </c>
      <c r="H72">
        <v>-4.5100691291787294E-6</v>
      </c>
      <c r="I72">
        <f t="shared" si="3"/>
        <v>2.453087752399E-5</v>
      </c>
    </row>
    <row r="73" spans="2:9">
      <c r="B73">
        <v>1968</v>
      </c>
      <c r="C73">
        <v>71220000</v>
      </c>
      <c r="D73" s="5">
        <v>34541700</v>
      </c>
      <c r="E73">
        <v>-9320785.62223031</v>
      </c>
      <c r="F73">
        <f t="shared" si="2"/>
        <v>25220914.37776969</v>
      </c>
      <c r="G73">
        <v>3.0164268091756509E-5</v>
      </c>
      <c r="H73">
        <v>-4.7478557057178431E-6</v>
      </c>
      <c r="I73">
        <f t="shared" si="3"/>
        <v>2.5416412386038666E-5</v>
      </c>
    </row>
    <row r="74" spans="2:9">
      <c r="B74">
        <v>1969</v>
      </c>
      <c r="C74">
        <v>71101000</v>
      </c>
      <c r="D74" s="5">
        <v>34483985</v>
      </c>
      <c r="E74">
        <v>-9654692.9629627503</v>
      </c>
      <c r="F74">
        <f t="shared" si="2"/>
        <v>24829292.03703725</v>
      </c>
      <c r="G74">
        <v>3.1324107532666589E-5</v>
      </c>
      <c r="H74">
        <v>-4.9960342601966246E-6</v>
      </c>
      <c r="I74">
        <f t="shared" si="3"/>
        <v>2.6328073272469963E-5</v>
      </c>
    </row>
    <row r="75" spans="2:9">
      <c r="B75">
        <v>1970</v>
      </c>
      <c r="C75">
        <v>67476000</v>
      </c>
      <c r="D75" s="5">
        <v>32725860</v>
      </c>
      <c r="E75">
        <v>-9804235.37432402</v>
      </c>
      <c r="F75">
        <f t="shared" si="2"/>
        <v>22921624.62567598</v>
      </c>
      <c r="G75">
        <v>3.251973366916049E-5</v>
      </c>
      <c r="H75">
        <v>-5.2549589117695847E-6</v>
      </c>
      <c r="I75">
        <f t="shared" si="3"/>
        <v>2.7264774757390907E-5</v>
      </c>
    </row>
    <row r="76" spans="2:9">
      <c r="B76">
        <v>1971</v>
      </c>
      <c r="C76">
        <v>72842000</v>
      </c>
      <c r="D76" s="5">
        <v>35328370</v>
      </c>
      <c r="E76">
        <v>-10329745.749152699</v>
      </c>
      <c r="F76">
        <f t="shared" si="2"/>
        <v>24998624.250847302</v>
      </c>
      <c r="G76">
        <v>3.3747624115571589E-5</v>
      </c>
      <c r="H76">
        <v>-5.5246655881889721E-6</v>
      </c>
      <c r="I76">
        <f t="shared" si="3"/>
        <v>2.8222958527382617E-5</v>
      </c>
    </row>
    <row r="77" spans="2:9">
      <c r="B77">
        <v>1972</v>
      </c>
      <c r="C77">
        <v>76768000</v>
      </c>
      <c r="D77" s="5">
        <v>37232480</v>
      </c>
      <c r="E77">
        <v>-10770507.396934301</v>
      </c>
      <c r="F77">
        <f t="shared" si="2"/>
        <v>26461972.603065699</v>
      </c>
      <c r="G77">
        <v>3.5011882732860096E-5</v>
      </c>
      <c r="H77">
        <v>-5.8058402300141751E-6</v>
      </c>
      <c r="I77">
        <f t="shared" si="3"/>
        <v>2.920604250284592E-5</v>
      </c>
    </row>
    <row r="78" spans="2:9">
      <c r="B78">
        <v>1973</v>
      </c>
      <c r="C78">
        <v>81941000</v>
      </c>
      <c r="D78" s="5">
        <v>39741385</v>
      </c>
      <c r="E78">
        <v>-10986943.456494</v>
      </c>
      <c r="F78">
        <f t="shared" si="2"/>
        <v>28754441.543506</v>
      </c>
      <c r="G78">
        <v>3.6315180218922746E-5</v>
      </c>
      <c r="H78">
        <v>-6.0989972408213277E-6</v>
      </c>
      <c r="I78">
        <f t="shared" si="3"/>
        <v>3.0216182978101417E-5</v>
      </c>
    </row>
    <row r="79" spans="2:9">
      <c r="B79">
        <v>1974</v>
      </c>
      <c r="C79">
        <v>74844000</v>
      </c>
      <c r="D79" s="5">
        <v>36299340</v>
      </c>
      <c r="E79">
        <v>-10961116.649459301</v>
      </c>
      <c r="F79">
        <f t="shared" si="2"/>
        <v>25338223.350540698</v>
      </c>
      <c r="G79">
        <v>3.7661078435818364E-5</v>
      </c>
      <c r="H79">
        <v>-6.4042569118297458E-6</v>
      </c>
      <c r="I79">
        <f t="shared" si="3"/>
        <v>3.1256821523988621E-5</v>
      </c>
    </row>
    <row r="80" spans="2:9">
      <c r="B80">
        <v>1975</v>
      </c>
      <c r="C80">
        <v>63608000</v>
      </c>
      <c r="D80" s="5">
        <v>30849880</v>
      </c>
      <c r="E80">
        <v>-10814128.1653491</v>
      </c>
      <c r="F80">
        <f t="shared" si="2"/>
        <v>20035751.8346509</v>
      </c>
      <c r="G80">
        <v>3.9042896579789188E-5</v>
      </c>
      <c r="H80">
        <v>-6.7213405959419848E-6</v>
      </c>
      <c r="I80">
        <f t="shared" si="3"/>
        <v>3.2321555983847202E-5</v>
      </c>
    </row>
    <row r="81" spans="2:9">
      <c r="B81">
        <v>1976</v>
      </c>
      <c r="C81">
        <v>67509000</v>
      </c>
      <c r="D81" s="5">
        <v>32741865</v>
      </c>
      <c r="E81">
        <v>-10751895.7888058</v>
      </c>
      <c r="F81">
        <f t="shared" si="2"/>
        <v>21989969.211194202</v>
      </c>
      <c r="G81">
        <v>4.0451032613803425E-5</v>
      </c>
      <c r="H81">
        <v>-7.0497983509729596E-6</v>
      </c>
      <c r="I81">
        <f t="shared" si="3"/>
        <v>3.3401234262830462E-5</v>
      </c>
    </row>
    <row r="82" spans="2:9">
      <c r="B82">
        <v>1977</v>
      </c>
      <c r="C82">
        <v>73427000</v>
      </c>
      <c r="D82" s="5">
        <v>35612095</v>
      </c>
      <c r="E82">
        <v>-10358093.365433</v>
      </c>
      <c r="F82">
        <f t="shared" si="2"/>
        <v>25254001.634567</v>
      </c>
      <c r="G82">
        <v>4.1888904836949443E-5</v>
      </c>
      <c r="H82">
        <v>-7.3893634884040276E-6</v>
      </c>
      <c r="I82">
        <f t="shared" si="3"/>
        <v>3.4499541348545414E-5</v>
      </c>
    </row>
    <row r="83" spans="2:9">
      <c r="B83">
        <v>1978</v>
      </c>
      <c r="C83">
        <v>79288000</v>
      </c>
      <c r="D83" s="5">
        <v>38454680</v>
      </c>
      <c r="E83">
        <v>-10247416.8362399</v>
      </c>
      <c r="F83">
        <f t="shared" si="2"/>
        <v>28207263.1637601</v>
      </c>
      <c r="G83">
        <v>4.3361313236657851E-5</v>
      </c>
      <c r="H83">
        <v>-7.7392317375310911E-6</v>
      </c>
      <c r="I83">
        <f t="shared" si="3"/>
        <v>3.5622081499126762E-5</v>
      </c>
    </row>
    <row r="84" spans="2:9">
      <c r="B84">
        <v>1979</v>
      </c>
      <c r="C84">
        <v>78964000</v>
      </c>
      <c r="D84" s="5">
        <v>38297540</v>
      </c>
      <c r="E84">
        <v>-10394279.299605601</v>
      </c>
      <c r="F84">
        <f t="shared" si="2"/>
        <v>27903260.700394399</v>
      </c>
      <c r="G84">
        <v>4.4872688340444119E-5</v>
      </c>
      <c r="H84">
        <v>-8.0991315971286883E-6</v>
      </c>
      <c r="I84">
        <f t="shared" si="3"/>
        <v>3.6773556743315433E-5</v>
      </c>
    </row>
    <row r="85" spans="2:9">
      <c r="B85">
        <v>1980</v>
      </c>
      <c r="C85">
        <v>70173000</v>
      </c>
      <c r="D85" s="5">
        <v>34033905</v>
      </c>
      <c r="E85">
        <v>-10502882.3836181</v>
      </c>
      <c r="F85">
        <f t="shared" si="2"/>
        <v>23531022.616381899</v>
      </c>
      <c r="G85">
        <v>4.6422124540021041E-5</v>
      </c>
      <c r="H85">
        <v>-8.469241947702463E-6</v>
      </c>
      <c r="I85">
        <f t="shared" si="3"/>
        <v>3.7952882592318578E-5</v>
      </c>
    </row>
    <row r="86" spans="2:9">
      <c r="B86">
        <v>1981</v>
      </c>
      <c r="C86">
        <v>66092000</v>
      </c>
      <c r="D86" s="5">
        <v>32054620</v>
      </c>
      <c r="E86">
        <v>-10575523.230692901</v>
      </c>
      <c r="F86">
        <f t="shared" si="2"/>
        <v>21479096.769307099</v>
      </c>
      <c r="G86">
        <v>4.800186557874406E-5</v>
      </c>
      <c r="H86">
        <v>-8.8496623543642197E-6</v>
      </c>
      <c r="I86">
        <f t="shared" si="3"/>
        <v>3.9152203224379837E-5</v>
      </c>
    </row>
    <row r="87" spans="2:9">
      <c r="B87">
        <v>1982</v>
      </c>
      <c r="C87">
        <v>59572000</v>
      </c>
      <c r="D87" s="5">
        <v>28892420</v>
      </c>
      <c r="E87">
        <v>-11371582.997672301</v>
      </c>
      <c r="F87">
        <f t="shared" si="2"/>
        <v>17520837.002327699</v>
      </c>
      <c r="G87">
        <v>4.9608527186239382E-5</v>
      </c>
      <c r="H87">
        <v>-9.2404238880894102E-6</v>
      </c>
      <c r="I87">
        <f t="shared" si="3"/>
        <v>4.0368103298149972E-5</v>
      </c>
    </row>
    <row r="88" spans="2:9">
      <c r="B88">
        <v>1983</v>
      </c>
      <c r="C88">
        <v>65838000</v>
      </c>
      <c r="D88" s="5">
        <v>31931430</v>
      </c>
      <c r="E88">
        <v>-11443111.6984111</v>
      </c>
      <c r="F88">
        <f t="shared" si="2"/>
        <v>20488318.3015889</v>
      </c>
      <c r="G88">
        <v>5.123689946538282E-5</v>
      </c>
      <c r="H88">
        <v>-9.6427796448001256E-6</v>
      </c>
      <c r="I88">
        <f t="shared" si="3"/>
        <v>4.1594119820582691E-5</v>
      </c>
    </row>
    <row r="89" spans="2:9">
      <c r="B89">
        <v>1984</v>
      </c>
      <c r="C89">
        <v>76186000</v>
      </c>
      <c r="D89" s="5">
        <v>36950210</v>
      </c>
      <c r="E89">
        <v>-11532378.514560601</v>
      </c>
      <c r="F89">
        <f t="shared" si="2"/>
        <v>25417831.485439397</v>
      </c>
      <c r="G89">
        <v>5.2892535687003187E-5</v>
      </c>
      <c r="H89">
        <v>-1.0056679849131899E-5</v>
      </c>
      <c r="I89">
        <f t="shared" si="3"/>
        <v>4.2835855837871288E-5</v>
      </c>
    </row>
    <row r="90" spans="2:9">
      <c r="B90">
        <v>1985</v>
      </c>
      <c r="C90">
        <v>78836000</v>
      </c>
      <c r="D90" s="5">
        <v>38235460</v>
      </c>
      <c r="E90">
        <v>-12072068.6829718</v>
      </c>
      <c r="F90">
        <f t="shared" si="2"/>
        <v>26163391.317028202</v>
      </c>
      <c r="G90">
        <v>5.4583918098001251E-5</v>
      </c>
      <c r="H90">
        <v>-1.0482117360755768E-5</v>
      </c>
      <c r="I90">
        <f t="shared" si="3"/>
        <v>4.4101800737245482E-5</v>
      </c>
    </row>
    <row r="91" spans="2:9">
      <c r="B91">
        <v>1986</v>
      </c>
      <c r="C91">
        <v>82837000</v>
      </c>
      <c r="D91" s="5">
        <v>40175945</v>
      </c>
      <c r="E91">
        <v>-12299190.5947841</v>
      </c>
      <c r="F91">
        <f t="shared" si="2"/>
        <v>27876754.4052159</v>
      </c>
      <c r="G91">
        <v>5.6312663543410036E-5</v>
      </c>
      <c r="H91">
        <v>-1.091985566581798E-5</v>
      </c>
      <c r="I91">
        <f t="shared" si="3"/>
        <v>4.5392807877592056E-5</v>
      </c>
    </row>
    <row r="92" spans="2:9">
      <c r="B92">
        <v>1987</v>
      </c>
      <c r="C92">
        <v>84204000</v>
      </c>
      <c r="D92" s="5">
        <v>40838940</v>
      </c>
      <c r="E92">
        <v>-12327446.885546001</v>
      </c>
      <c r="F92">
        <f t="shared" si="2"/>
        <v>28511493.114454001</v>
      </c>
      <c r="G92">
        <v>5.8081439181989795E-5</v>
      </c>
      <c r="H92">
        <v>-1.1370089292479785E-5</v>
      </c>
      <c r="I92">
        <f t="shared" si="3"/>
        <v>4.6711349889510012E-5</v>
      </c>
    </row>
    <row r="93" spans="2:9">
      <c r="B93">
        <v>1988</v>
      </c>
      <c r="C93">
        <v>83851000</v>
      </c>
      <c r="D93" s="5">
        <v>40667735</v>
      </c>
      <c r="E93">
        <v>-12134466.648492301</v>
      </c>
      <c r="F93">
        <f t="shared" si="2"/>
        <v>28533268.351507701</v>
      </c>
      <c r="G93">
        <v>5.9890633405625351E-5</v>
      </c>
      <c r="H93">
        <v>-1.1832675904016704E-5</v>
      </c>
      <c r="I93">
        <f t="shared" si="3"/>
        <v>4.8057957501608644E-5</v>
      </c>
    </row>
    <row r="94" spans="2:9">
      <c r="B94">
        <v>1989</v>
      </c>
      <c r="C94">
        <v>82414000</v>
      </c>
      <c r="D94" s="5">
        <v>39970790</v>
      </c>
      <c r="E94">
        <v>-11471470.1214641</v>
      </c>
      <c r="F94">
        <f t="shared" si="2"/>
        <v>28499319.8785359</v>
      </c>
      <c r="G94">
        <v>6.1739258743295005E-5</v>
      </c>
      <c r="H94">
        <v>-1.2307118920106421E-5</v>
      </c>
      <c r="I94">
        <f t="shared" si="3"/>
        <v>4.9432139823188588E-5</v>
      </c>
    </row>
    <row r="95" spans="2:9">
      <c r="B95">
        <v>1990</v>
      </c>
      <c r="C95">
        <v>80964000</v>
      </c>
      <c r="D95" s="5">
        <v>39267540</v>
      </c>
      <c r="E95">
        <v>-11305762.2702948</v>
      </c>
      <c r="F95">
        <f t="shared" si="2"/>
        <v>27961777.7297052</v>
      </c>
      <c r="G95">
        <v>6.3625552346811072E-5</v>
      </c>
      <c r="H95">
        <v>-1.2792165559322674E-5</v>
      </c>
      <c r="I95">
        <f t="shared" si="3"/>
        <v>5.0833386787488396E-5</v>
      </c>
    </row>
    <row r="96" spans="2:9">
      <c r="B96">
        <v>1991</v>
      </c>
      <c r="C96">
        <v>71800000</v>
      </c>
      <c r="D96" s="5">
        <v>34823000</v>
      </c>
      <c r="E96">
        <v>-11128174.9150146</v>
      </c>
      <c r="F96">
        <f t="shared" si="2"/>
        <v>23694825.084985398</v>
      </c>
      <c r="G96">
        <v>6.5547887436823382E-5</v>
      </c>
      <c r="H96">
        <v>-1.3287485367183738E-5</v>
      </c>
      <c r="I96">
        <f t="shared" si="3"/>
        <v>5.2260402069639645E-5</v>
      </c>
    </row>
    <row r="97" spans="2:9">
      <c r="B97">
        <v>1992</v>
      </c>
      <c r="C97">
        <v>76169000</v>
      </c>
      <c r="D97" s="5">
        <v>36941965</v>
      </c>
      <c r="E97">
        <v>-11544981.0518909</v>
      </c>
      <c r="F97">
        <f t="shared" si="2"/>
        <v>25396983.948109098</v>
      </c>
      <c r="G97">
        <v>6.7498425389191113E-5</v>
      </c>
      <c r="H97">
        <v>-1.3792742265039348E-5</v>
      </c>
      <c r="I97">
        <f t="shared" si="3"/>
        <v>5.3705683124151764E-5</v>
      </c>
    </row>
    <row r="98" spans="2:9">
      <c r="B98">
        <v>1993</v>
      </c>
      <c r="C98">
        <v>79701000</v>
      </c>
      <c r="D98" s="5">
        <v>38654985</v>
      </c>
      <c r="E98">
        <v>-12497986.7026788</v>
      </c>
      <c r="F98">
        <f t="shared" si="2"/>
        <v>26156998.2973212</v>
      </c>
      <c r="G98">
        <v>6.9480921326043078E-5</v>
      </c>
      <c r="H98">
        <v>-1.4308619552720334E-5</v>
      </c>
      <c r="I98">
        <f t="shared" si="3"/>
        <v>5.5172301773322741E-5</v>
      </c>
    </row>
    <row r="99" spans="2:9">
      <c r="B99">
        <v>1994</v>
      </c>
      <c r="C99">
        <v>86476000</v>
      </c>
      <c r="D99" s="5">
        <v>41940860</v>
      </c>
      <c r="E99">
        <v>-13250639.983092999</v>
      </c>
      <c r="F99">
        <f t="shared" si="2"/>
        <v>28690220.016906999</v>
      </c>
      <c r="G99">
        <v>7.1498160154942055E-5</v>
      </c>
      <c r="H99">
        <v>-1.4836657734470512E-5</v>
      </c>
      <c r="I99">
        <f t="shared" si="3"/>
        <v>5.6661502420471544E-5</v>
      </c>
    </row>
    <row r="100" spans="2:9">
      <c r="B100">
        <v>1995</v>
      </c>
      <c r="C100">
        <v>86003000</v>
      </c>
      <c r="D100" s="5">
        <v>41711455</v>
      </c>
      <c r="E100">
        <v>-14583147.287709201</v>
      </c>
      <c r="F100">
        <f t="shared" si="2"/>
        <v>27128307.712290801</v>
      </c>
      <c r="G100">
        <v>7.3555401415564074E-5</v>
      </c>
      <c r="H100">
        <v>-1.5377961992653948E-5</v>
      </c>
      <c r="I100">
        <f t="shared" si="3"/>
        <v>5.8177439422910123E-5</v>
      </c>
    </row>
    <row r="101" spans="2:9">
      <c r="B101">
        <v>1996</v>
      </c>
      <c r="C101">
        <v>90355000</v>
      </c>
      <c r="D101" s="5">
        <v>43822175</v>
      </c>
      <c r="E101">
        <v>-16359057.113935599</v>
      </c>
      <c r="F101">
        <f t="shared" si="2"/>
        <v>27463117.886064403</v>
      </c>
      <c r="G101">
        <v>7.5651640244266618E-5</v>
      </c>
      <c r="H101">
        <v>-1.5934561151993156E-5</v>
      </c>
      <c r="I101">
        <f t="shared" si="3"/>
        <v>5.9717079092273459E-5</v>
      </c>
    </row>
    <row r="102" spans="2:9">
      <c r="B102">
        <v>1997</v>
      </c>
      <c r="C102">
        <v>96018000</v>
      </c>
      <c r="D102" s="5">
        <v>46568730</v>
      </c>
      <c r="E102">
        <v>-17394422.011849999</v>
      </c>
      <c r="F102">
        <f t="shared" si="2"/>
        <v>29174307.988150001</v>
      </c>
      <c r="G102">
        <v>7.7789939205328537E-5</v>
      </c>
      <c r="H102">
        <v>-1.6509126975024954E-5</v>
      </c>
      <c r="I102">
        <f t="shared" si="3"/>
        <v>6.1280812230303587E-5</v>
      </c>
    </row>
    <row r="103" spans="2:9">
      <c r="B103">
        <v>1998</v>
      </c>
      <c r="C103">
        <v>103457000</v>
      </c>
      <c r="D103" s="5">
        <v>50176645</v>
      </c>
      <c r="E103">
        <v>-17658366.701420099</v>
      </c>
      <c r="F103">
        <f t="shared" si="2"/>
        <v>32518278.298579901</v>
      </c>
      <c r="G103">
        <v>7.9974280716530455E-5</v>
      </c>
      <c r="H103">
        <v>-1.7102943711179674E-5</v>
      </c>
      <c r="I103">
        <f t="shared" si="3"/>
        <v>6.2871337005350778E-5</v>
      </c>
    </row>
    <row r="104" spans="2:9">
      <c r="B104">
        <v>1999</v>
      </c>
      <c r="C104">
        <v>108862000</v>
      </c>
      <c r="D104" s="5">
        <v>52798070</v>
      </c>
      <c r="E104">
        <v>-18647349.516691901</v>
      </c>
      <c r="F104">
        <f t="shared" si="2"/>
        <v>34150720.483308099</v>
      </c>
      <c r="G104">
        <v>8.2209910705289174E-5</v>
      </c>
      <c r="H104">
        <v>-1.7715956345333138E-5</v>
      </c>
      <c r="I104">
        <f t="shared" si="3"/>
        <v>6.4493954359956033E-5</v>
      </c>
    </row>
    <row r="105" spans="2:9">
      <c r="B105">
        <v>2000</v>
      </c>
      <c r="C105">
        <v>110470000</v>
      </c>
      <c r="D105" s="5">
        <v>53577950</v>
      </c>
      <c r="E105">
        <v>-18494574.063632801</v>
      </c>
      <c r="F105">
        <f t="shared" si="2"/>
        <v>35083375.936367199</v>
      </c>
      <c r="G105">
        <v>8.4500156290609599E-5</v>
      </c>
      <c r="H105">
        <v>-1.8349388053585532E-5</v>
      </c>
      <c r="I105">
        <f t="shared" si="3"/>
        <v>6.6150768237024067E-5</v>
      </c>
    </row>
    <row r="106" spans="2:9">
      <c r="B106">
        <v>2001</v>
      </c>
      <c r="C106">
        <v>112800000</v>
      </c>
      <c r="D106" s="5">
        <v>54708000</v>
      </c>
      <c r="E106">
        <v>-18893265.321955901</v>
      </c>
      <c r="F106">
        <f t="shared" si="2"/>
        <v>35814734.678044096</v>
      </c>
      <c r="G106">
        <v>8.6754450359265902E-5</v>
      </c>
      <c r="H106">
        <v>-1.8971195153555444E-5</v>
      </c>
      <c r="I106">
        <f t="shared" si="3"/>
        <v>6.7783255205710458E-5</v>
      </c>
    </row>
    <row r="107" spans="2:9">
      <c r="B107">
        <v>2002</v>
      </c>
      <c r="C107">
        <v>110020000</v>
      </c>
      <c r="D107" s="5">
        <v>53359700</v>
      </c>
      <c r="E107">
        <v>-19310194.0254451</v>
      </c>
      <c r="F107">
        <f t="shared" si="2"/>
        <v>34049505.974554896</v>
      </c>
      <c r="G107">
        <v>8.8977240251520012E-5</v>
      </c>
      <c r="H107">
        <v>-1.9582899304135866E-5</v>
      </c>
      <c r="I107">
        <f t="shared" si="3"/>
        <v>6.9394340947384142E-5</v>
      </c>
    </row>
    <row r="108" spans="2:9">
      <c r="B108">
        <v>2003</v>
      </c>
      <c r="C108">
        <v>114090000</v>
      </c>
      <c r="D108" s="5">
        <v>55333650</v>
      </c>
      <c r="E108">
        <v>-18975840.299974602</v>
      </c>
      <c r="F108">
        <f t="shared" si="2"/>
        <v>36357809.700025395</v>
      </c>
      <c r="G108">
        <v>9.117212215224119E-5</v>
      </c>
      <c r="H108">
        <v>-2.0185727922552276E-5</v>
      </c>
      <c r="I108">
        <f t="shared" si="3"/>
        <v>7.098639422968892E-5</v>
      </c>
    </row>
    <row r="109" spans="2:9">
      <c r="B109">
        <v>2004</v>
      </c>
      <c r="C109">
        <v>121980000</v>
      </c>
      <c r="D109" s="5">
        <v>59160300</v>
      </c>
      <c r="E109">
        <v>-19181090.972054198</v>
      </c>
      <c r="F109">
        <f t="shared" si="2"/>
        <v>39979209.027945802</v>
      </c>
      <c r="G109">
        <v>9.3342015668976128E-5</v>
      </c>
      <c r="H109">
        <v>-2.0780674621681846E-5</v>
      </c>
      <c r="I109">
        <f t="shared" si="3"/>
        <v>7.2561341047294286E-5</v>
      </c>
    </row>
    <row r="110" spans="2:9">
      <c r="B110">
        <v>2005</v>
      </c>
      <c r="C110">
        <v>128250000</v>
      </c>
      <c r="D110" s="5">
        <v>62201250</v>
      </c>
      <c r="E110">
        <v>-18721108.856872398</v>
      </c>
      <c r="F110">
        <f t="shared" si="2"/>
        <v>43480141.143127605</v>
      </c>
      <c r="G110">
        <v>9.5489302266512974E-5</v>
      </c>
      <c r="H110">
        <v>-2.1368547132475427E-5</v>
      </c>
      <c r="I110">
        <f t="shared" si="3"/>
        <v>7.412075513403755E-5</v>
      </c>
    </row>
    <row r="111" spans="2:9">
      <c r="B111">
        <v>2006</v>
      </c>
      <c r="C111">
        <v>127660000</v>
      </c>
      <c r="D111" s="5">
        <v>61915100</v>
      </c>
      <c r="E111">
        <v>-18453475.463062301</v>
      </c>
      <c r="F111">
        <f t="shared" si="2"/>
        <v>43461624.536937699</v>
      </c>
      <c r="G111">
        <v>9.7615935050017794E-5</v>
      </c>
      <c r="H111">
        <v>-2.1950005305721443E-5</v>
      </c>
      <c r="I111">
        <f t="shared" si="3"/>
        <v>7.5665929744296351E-5</v>
      </c>
    </row>
    <row r="112" spans="2:9">
      <c r="B112">
        <v>2007</v>
      </c>
      <c r="C112">
        <v>116550000</v>
      </c>
      <c r="D112" s="5">
        <v>56526750</v>
      </c>
      <c r="E112">
        <v>-20339689.028202001</v>
      </c>
      <c r="F112">
        <f t="shared" si="2"/>
        <v>36187060.971798003</v>
      </c>
      <c r="G112">
        <v>9.9723525835565798E-5</v>
      </c>
      <c r="H112">
        <v>-2.2525591249551301E-5</v>
      </c>
      <c r="I112">
        <f t="shared" si="3"/>
        <v>7.7197934586014494E-5</v>
      </c>
    </row>
    <row r="113" spans="2:9">
      <c r="B113">
        <v>2008</v>
      </c>
      <c r="C113">
        <v>96760000</v>
      </c>
      <c r="D113" s="5">
        <v>46928600</v>
      </c>
      <c r="E113">
        <v>-21337033.7383084</v>
      </c>
      <c r="F113">
        <f t="shared" si="2"/>
        <v>25591566.2616916</v>
      </c>
      <c r="G113">
        <v>1.0181341421565614E-4</v>
      </c>
      <c r="H113">
        <v>-2.3095753232753708E-5</v>
      </c>
      <c r="I113">
        <f t="shared" si="3"/>
        <v>7.871766098290243E-5</v>
      </c>
    </row>
    <row r="114" spans="2:9">
      <c r="B114">
        <v>2009</v>
      </c>
      <c r="C114">
        <v>71540000</v>
      </c>
      <c r="D114" s="5">
        <v>34696900</v>
      </c>
      <c r="E114">
        <v>-20898992.147660598</v>
      </c>
      <c r="F114">
        <f t="shared" si="2"/>
        <v>13797907.852339402</v>
      </c>
      <c r="G114">
        <v>1.0388672235133756E-4</v>
      </c>
      <c r="H114">
        <v>-2.3660864646021753E-5</v>
      </c>
      <c r="I114">
        <f t="shared" si="3"/>
        <v>8.02258577053158E-5</v>
      </c>
    </row>
    <row r="115" spans="2:9">
      <c r="B115">
        <v>2010</v>
      </c>
      <c r="C115">
        <v>71190000</v>
      </c>
      <c r="D115" s="5">
        <v>34527150</v>
      </c>
      <c r="E115">
        <v>-20955863.958708301</v>
      </c>
      <c r="F115">
        <f t="shared" si="2"/>
        <v>13571286.041291699</v>
      </c>
      <c r="G115">
        <v>1.0594439844894239E-4</v>
      </c>
      <c r="H115">
        <v>-2.4221239045377664E-5</v>
      </c>
      <c r="I115">
        <f t="shared" si="3"/>
        <v>8.1723159403564733E-5</v>
      </c>
    </row>
    <row r="116" spans="2:9">
      <c r="B116">
        <v>2011</v>
      </c>
      <c r="C116">
        <v>72200000</v>
      </c>
      <c r="D116" s="5">
        <v>35017000</v>
      </c>
      <c r="E116">
        <v>-19501896.7604011</v>
      </c>
      <c r="F116">
        <f t="shared" si="2"/>
        <v>15515103.2395989</v>
      </c>
      <c r="G116">
        <v>1.0798725126619572E-4</v>
      </c>
      <c r="H116">
        <v>-2.4777142089678409E-5</v>
      </c>
      <c r="I116">
        <f t="shared" si="3"/>
        <v>8.3210109176517312E-5</v>
      </c>
    </row>
    <row r="117" spans="2:9">
      <c r="B117">
        <v>2012</v>
      </c>
      <c r="C117">
        <v>77900000</v>
      </c>
      <c r="D117" s="5">
        <v>37781500</v>
      </c>
      <c r="E117">
        <v>-19534668.029569801</v>
      </c>
      <c r="F117">
        <f t="shared" si="2"/>
        <v>18246831.970430199</v>
      </c>
      <c r="G117">
        <v>1.1001597750636804E-4</v>
      </c>
      <c r="H117">
        <v>-2.5328801015786797E-5</v>
      </c>
      <c r="I117">
        <f t="shared" si="3"/>
        <v>8.4687176490581248E-5</v>
      </c>
    </row>
    <row r="118" spans="2:9">
      <c r="B118">
        <v>2013</v>
      </c>
      <c r="C118">
        <v>81750000</v>
      </c>
      <c r="D118" s="5">
        <v>39648750</v>
      </c>
      <c r="E118">
        <v>-20173433.335014898</v>
      </c>
      <c r="F118">
        <f t="shared" si="2"/>
        <v>19475316.664985102</v>
      </c>
      <c r="G118">
        <v>1.1203118357382454E-4</v>
      </c>
      <c r="H118">
        <v>-2.5876412161571566E-5</v>
      </c>
      <c r="I118">
        <f t="shared" si="3"/>
        <v>8.615477141225298E-5</v>
      </c>
    </row>
    <row r="119" spans="2:9">
      <c r="B119">
        <v>2014</v>
      </c>
      <c r="C119">
        <v>89220000</v>
      </c>
      <c r="D119" s="5">
        <v>43271700</v>
      </c>
      <c r="E119">
        <v>-20178167.328267001</v>
      </c>
      <c r="F119">
        <f t="shared" si="2"/>
        <v>23093532.671732999</v>
      </c>
      <c r="G119">
        <v>1.1403340285889056E-4</v>
      </c>
      <c r="H119">
        <v>-2.6420146941139115E-5</v>
      </c>
      <c r="I119">
        <f t="shared" si="3"/>
        <v>8.7613255917751444E-5</v>
      </c>
    </row>
    <row r="120" spans="2:9">
      <c r="B120">
        <v>2015</v>
      </c>
      <c r="C120">
        <v>92150000</v>
      </c>
      <c r="D120" s="5">
        <v>44692750</v>
      </c>
      <c r="E120">
        <v>-19780511.649599101</v>
      </c>
      <c r="F120">
        <f t="shared" si="2"/>
        <v>24912238.350400899</v>
      </c>
      <c r="G120">
        <v>1.1602310947784344E-4</v>
      </c>
      <c r="H120">
        <v>-2.696015659286561E-5</v>
      </c>
      <c r="I120">
        <f t="shared" si="3"/>
        <v>8.9062952884977827E-5</v>
      </c>
    </row>
    <row r="121" spans="2:9">
      <c r="B121">
        <v>2016</v>
      </c>
      <c r="C121">
        <v>95150000</v>
      </c>
      <c r="D121" s="5">
        <v>46147750</v>
      </c>
      <c r="E121">
        <v>-19630605.783178098</v>
      </c>
      <c r="F121">
        <f t="shared" si="2"/>
        <v>26517144.216821902</v>
      </c>
      <c r="G121">
        <v>1.1800072920192745E-4</v>
      </c>
      <c r="H121">
        <v>-2.7496575954345424E-5</v>
      </c>
      <c r="I121">
        <f t="shared" si="3"/>
        <v>9.0504153247582023E-5</v>
      </c>
    </row>
    <row r="122" spans="2:9">
      <c r="B122">
        <v>2017</v>
      </c>
      <c r="C122">
        <v>97160000</v>
      </c>
      <c r="D122" s="5">
        <v>47122600</v>
      </c>
      <c r="E122">
        <v>-19761359.632855002</v>
      </c>
      <c r="F122">
        <f t="shared" si="2"/>
        <v>27361240.367144998</v>
      </c>
      <c r="G122">
        <v>1.1996664815716097E-4</v>
      </c>
      <c r="H122">
        <v>-2.8029526465695073E-5</v>
      </c>
      <c r="I122">
        <f t="shared" si="3"/>
        <v>9.1937121691465902E-5</v>
      </c>
    </row>
    <row r="123" spans="2:9">
      <c r="B123">
        <v>2018</v>
      </c>
      <c r="C123">
        <v>98500000</v>
      </c>
      <c r="D123" s="5">
        <v>47772500</v>
      </c>
      <c r="E123">
        <v>-19974518.625603899</v>
      </c>
      <c r="F123">
        <f t="shared" si="2"/>
        <v>27797981.374396101</v>
      </c>
      <c r="G123">
        <v>1.219212197561168E-4</v>
      </c>
      <c r="H123">
        <v>-2.8559118560897345E-5</v>
      </c>
      <c r="I123">
        <f t="shared" si="3"/>
        <v>9.3362101195219459E-5</v>
      </c>
    </row>
    <row r="124" spans="2:9">
      <c r="B124">
        <v>2019</v>
      </c>
      <c r="C124">
        <v>101600000</v>
      </c>
      <c r="D124" s="5">
        <v>49276000</v>
      </c>
      <c r="E124">
        <v>-14051097.471527999</v>
      </c>
      <c r="F124">
        <f t="shared" si="2"/>
        <v>35224902.528471999</v>
      </c>
      <c r="G124">
        <v>1.2386477022726969E-4</v>
      </c>
      <c r="H124">
        <v>-2.9085453573771193E-5</v>
      </c>
      <c r="I124">
        <f t="shared" si="3"/>
        <v>9.4779316653498502E-5</v>
      </c>
    </row>
    <row r="125" spans="2:9">
      <c r="B125">
        <v>2020</v>
      </c>
      <c r="G125">
        <v>1.2579760303173327E-4</v>
      </c>
      <c r="H125">
        <v>-2.9608625258916726E-5</v>
      </c>
      <c r="I125">
        <f t="shared" si="3"/>
        <v>9.6188977772816551E-5</v>
      </c>
    </row>
    <row r="126" spans="2:9">
      <c r="B126">
        <v>2021</v>
      </c>
      <c r="G126">
        <v>1.2772000239714854E-4</v>
      </c>
      <c r="H126">
        <v>-3.0128721007186969E-5</v>
      </c>
      <c r="I126">
        <f t="shared" si="3"/>
        <v>9.7591281389961565E-5</v>
      </c>
    </row>
    <row r="127" spans="2:9">
      <c r="B127">
        <v>2022</v>
      </c>
      <c r="G127">
        <v>1.2963223615087121E-4</v>
      </c>
      <c r="H127">
        <v>-3.0645822818752771E-5</v>
      </c>
      <c r="I127">
        <f t="shared" si="3"/>
        <v>9.8986413332118441E-5</v>
      </c>
    </row>
    <row r="128" spans="2:9">
      <c r="B128">
        <v>2023</v>
      </c>
      <c r="G128">
        <v>1.315345579968719E-4</v>
      </c>
      <c r="H128">
        <v>-3.1160008083759072E-5</v>
      </c>
      <c r="I128">
        <f t="shared" si="3"/>
        <v>1.0037454991311282E-4</v>
      </c>
    </row>
    <row r="129" spans="2:9">
      <c r="B129">
        <v>2024</v>
      </c>
      <c r="G129">
        <v>1.3342720935083743E-4</v>
      </c>
      <c r="H129">
        <v>-3.167135021021129E-5</v>
      </c>
      <c r="I129">
        <f t="shared" si="3"/>
        <v>1.0175585914062613E-4</v>
      </c>
    </row>
    <row r="130" spans="2:9">
      <c r="B130">
        <v>2025</v>
      </c>
      <c r="G130">
        <v>1.353104208242562E-4</v>
      </c>
      <c r="H130">
        <v>-3.2179919130520437E-5</v>
      </c>
      <c r="I130">
        <f t="shared" si="3"/>
        <v>1.0313050169373576E-4</v>
      </c>
    </row>
    <row r="131" spans="2:9">
      <c r="B131">
        <v>2026</v>
      </c>
      <c r="G131">
        <v>1.3718441342946587E-4</v>
      </c>
      <c r="H131">
        <v>-3.2685781711625047E-5</v>
      </c>
      <c r="I131">
        <f t="shared" si="3"/>
        <v>1.0449863171784081E-4</v>
      </c>
    </row>
    <row r="132" spans="2:9">
      <c r="B132">
        <v>2027</v>
      </c>
      <c r="G132">
        <v>1.3904939956273983E-4</v>
      </c>
      <c r="H132">
        <v>-3.3189002088449094E-5</v>
      </c>
      <c r="I132">
        <f t="shared" si="3"/>
        <v>1.0586039747429074E-4</v>
      </c>
    </row>
    <row r="133" spans="2:9">
      <c r="B133">
        <v>2028</v>
      </c>
      <c r="G133">
        <v>1.4090558381068199E-4</v>
      </c>
      <c r="H133">
        <v>-3.3689641936364446E-5</v>
      </c>
      <c r="I133">
        <f t="shared" si="3"/>
        <v>1.0721594187431755E-4</v>
      </c>
    </row>
    <row r="134" spans="2:9">
      <c r="B134">
        <v>2029</v>
      </c>
      <c r="G134">
        <v>1.4275316361582666E-4</v>
      </c>
      <c r="H134">
        <v>-3.4187760695083906E-5</v>
      </c>
      <c r="I134">
        <f t="shared" si="3"/>
        <v>1.0856540292074275E-4</v>
      </c>
    </row>
    <row r="135" spans="2:9">
      <c r="B135">
        <v>2030</v>
      </c>
      <c r="G135">
        <v>1.4459232982992355E-4</v>
      </c>
      <c r="H135">
        <v>-3.4683415753841158E-5</v>
      </c>
      <c r="I135">
        <f t="shared" ref="I135:I198" si="4">G135+H135</f>
        <v>1.0990891407608238E-4</v>
      </c>
    </row>
    <row r="136" spans="2:9">
      <c r="B136">
        <v>2031</v>
      </c>
      <c r="G136">
        <v>1.4642326717750022E-4</v>
      </c>
      <c r="H136">
        <v>-3.5176662605675328E-5</v>
      </c>
      <c r="I136">
        <f t="shared" si="4"/>
        <v>1.1124660457182489E-4</v>
      </c>
    </row>
    <row r="137" spans="2:9">
      <c r="B137">
        <v>2032</v>
      </c>
      <c r="G137">
        <v>1.4824615464762832E-4</v>
      </c>
      <c r="H137">
        <v>-3.5667554977023602E-5</v>
      </c>
      <c r="I137">
        <f t="shared" si="4"/>
        <v>1.1257859967060472E-4</v>
      </c>
    </row>
    <row r="138" spans="2:9">
      <c r="B138">
        <v>2033</v>
      </c>
      <c r="G138">
        <v>1.500611658281241E-4</v>
      </c>
      <c r="H138">
        <v>-3.6156144937543999E-5</v>
      </c>
      <c r="I138">
        <f t="shared" si="4"/>
        <v>1.1390502089058009E-4</v>
      </c>
    </row>
    <row r="139" spans="2:9">
      <c r="B139">
        <v>2034</v>
      </c>
      <c r="G139">
        <v>1.5186846919347817E-4</v>
      </c>
      <c r="H139">
        <v>-3.6642482994075777E-5</v>
      </c>
      <c r="I139">
        <f t="shared" si="4"/>
        <v>1.1522598619940238E-4</v>
      </c>
    </row>
    <row r="140" spans="2:9">
      <c r="B140">
        <v>2035</v>
      </c>
      <c r="G140">
        <v>1.5366822835548717E-4</v>
      </c>
      <c r="H140">
        <v>-3.7126618171839316E-5</v>
      </c>
      <c r="I140">
        <f t="shared" si="4"/>
        <v>1.1654161018364785E-4</v>
      </c>
    </row>
    <row r="141" spans="2:9">
      <c r="B141">
        <v>2036</v>
      </c>
      <c r="G141">
        <v>1.5546060228371558E-4</v>
      </c>
      <c r="H141">
        <v>-3.7608598085340215E-5</v>
      </c>
      <c r="I141">
        <f t="shared" si="4"/>
        <v>1.1785200419837537E-4</v>
      </c>
    </row>
    <row r="142" spans="2:9">
      <c r="B142">
        <v>2037</v>
      </c>
      <c r="G142">
        <v>1.572457455014537E-4</v>
      </c>
      <c r="H142">
        <v>-3.8088469000935092E-5</v>
      </c>
      <c r="I142">
        <f t="shared" si="4"/>
        <v>1.1915727650051861E-4</v>
      </c>
    </row>
    <row r="143" spans="2:9">
      <c r="B143">
        <v>2038</v>
      </c>
      <c r="G143">
        <v>1.5902380826168162E-4</v>
      </c>
      <c r="H143">
        <v>-3.8566275892616712E-5</v>
      </c>
      <c r="I143">
        <f t="shared" si="4"/>
        <v>1.204575323690649E-4</v>
      </c>
    </row>
    <row r="144" spans="2:9">
      <c r="B144">
        <v>2039</v>
      </c>
      <c r="G144">
        <v>1.6079493670662499E-4</v>
      </c>
      <c r="H144">
        <v>-3.9042062492256768E-5</v>
      </c>
      <c r="I144">
        <f t="shared" si="4"/>
        <v>1.2175287421436822E-4</v>
      </c>
    </row>
    <row r="145" spans="2:9">
      <c r="B145">
        <v>2040</v>
      </c>
      <c r="G145">
        <v>1.6255927301376524E-4</v>
      </c>
      <c r="H145">
        <v>-3.9515871335292923E-5</v>
      </c>
      <c r="I145">
        <f t="shared" si="4"/>
        <v>1.2304340167847231E-4</v>
      </c>
    </row>
    <row r="146" spans="2:9">
      <c r="B146">
        <v>2041</v>
      </c>
      <c r="G146">
        <v>1.6431695553058358E-4</v>
      </c>
      <c r="H146">
        <v>-3.9987743802646375E-5</v>
      </c>
      <c r="I146">
        <f t="shared" si="4"/>
        <v>1.2432921172793719E-4</v>
      </c>
    </row>
    <row r="147" spans="2:9">
      <c r="B147">
        <v>2042</v>
      </c>
      <c r="G147">
        <v>1.6606811889986289E-4</v>
      </c>
      <c r="H147">
        <v>-4.0457720159497854E-5</v>
      </c>
      <c r="I147">
        <f t="shared" si="4"/>
        <v>1.2561039874036504E-4</v>
      </c>
    </row>
    <row r="148" spans="2:9">
      <c r="B148">
        <v>2043</v>
      </c>
      <c r="G148">
        <v>1.678128941770044E-4</v>
      </c>
      <c r="H148">
        <v>-4.0925839591423212E-5</v>
      </c>
      <c r="I148">
        <f t="shared" si="4"/>
        <v>1.2688705458558118E-4</v>
      </c>
    </row>
    <row r="149" spans="2:9">
      <c r="B149">
        <v>2044</v>
      </c>
      <c r="G149">
        <v>1.695514089405309E-4</v>
      </c>
      <c r="H149">
        <v>-4.1392140238290496E-5</v>
      </c>
      <c r="I149">
        <f t="shared" si="4"/>
        <v>1.2815926870224039E-4</v>
      </c>
    </row>
    <row r="150" spans="2:9">
      <c r="B150">
        <v>2045</v>
      </c>
      <c r="G150">
        <v>1.7128378739671548E-4</v>
      </c>
      <c r="H150">
        <v>-4.1856659226240904E-5</v>
      </c>
      <c r="I150">
        <f t="shared" si="4"/>
        <v>1.2942712817047458E-4</v>
      </c>
    </row>
    <row r="151" spans="2:9">
      <c r="B151">
        <v>2046</v>
      </c>
      <c r="G151">
        <v>1.7301015047909416E-4</v>
      </c>
      <c r="H151">
        <v>-4.2319432698012931E-5</v>
      </c>
      <c r="I151">
        <f t="shared" si="4"/>
        <v>1.3069071778108125E-4</v>
      </c>
    </row>
    <row r="152" spans="2:9">
      <c r="B152">
        <v>2047</v>
      </c>
      <c r="G152">
        <v>1.7473061594347575E-4</v>
      </c>
      <c r="H152">
        <v>-4.2780495841818614E-5</v>
      </c>
      <c r="I152">
        <f t="shared" si="4"/>
        <v>1.3195012010165714E-4</v>
      </c>
    </row>
    <row r="153" spans="2:9">
      <c r="B153">
        <v>2048</v>
      </c>
      <c r="G153">
        <v>1.7644529845894778E-4</v>
      </c>
      <c r="H153">
        <v>-4.323988291894209E-5</v>
      </c>
      <c r="I153">
        <f t="shared" si="4"/>
        <v>1.3320541554000568E-4</v>
      </c>
    </row>
    <row r="154" spans="2:9">
      <c r="B154">
        <v>2049</v>
      </c>
      <c r="G154">
        <v>1.7815430969528366E-4</v>
      </c>
      <c r="H154">
        <v>-4.3697627290197689E-5</v>
      </c>
      <c r="I154">
        <f t="shared" si="4"/>
        <v>1.3445668240508597E-4</v>
      </c>
    </row>
    <row r="155" spans="2:9">
      <c r="B155">
        <v>2050</v>
      </c>
      <c r="G155">
        <v>1.7985775840708682E-4</v>
      </c>
      <c r="H155">
        <v>-4.4153761441360765E-5</v>
      </c>
      <c r="I155">
        <f t="shared" si="4"/>
        <v>1.3570399696572605E-4</v>
      </c>
    </row>
    <row r="156" spans="2:9">
      <c r="B156">
        <v>2051</v>
      </c>
      <c r="G156">
        <v>1.8155575051494652E-4</v>
      </c>
      <c r="H156">
        <v>-4.4608317007663681E-5</v>
      </c>
      <c r="I156">
        <f t="shared" si="4"/>
        <v>1.3694743350728283E-4</v>
      </c>
    </row>
    <row r="157" spans="2:9">
      <c r="B157">
        <v>2052</v>
      </c>
      <c r="G157">
        <v>1.832483891838349E-4</v>
      </c>
      <c r="H157">
        <v>-4.5061324797433924E-5</v>
      </c>
      <c r="I157">
        <f t="shared" si="4"/>
        <v>1.3818706438640098E-4</v>
      </c>
    </row>
    <row r="158" spans="2:9">
      <c r="B158">
        <v>2053</v>
      </c>
      <c r="G158">
        <v>1.8493577489893677E-4</v>
      </c>
      <c r="H158">
        <v>-4.5512814814938002E-5</v>
      </c>
      <c r="I158">
        <f t="shared" si="4"/>
        <v>1.3942296008399876E-4</v>
      </c>
    </row>
    <row r="159" spans="2:9">
      <c r="B159">
        <v>2054</v>
      </c>
      <c r="G159">
        <v>1.8661800553907703E-4</v>
      </c>
      <c r="H159">
        <v>-4.5962816282485309E-5</v>
      </c>
      <c r="I159">
        <f t="shared" si="4"/>
        <v>1.4065518925659174E-4</v>
      </c>
    </row>
    <row r="160" spans="2:9">
      <c r="B160">
        <v>2055</v>
      </c>
      <c r="G160">
        <v>1.8829517644788237E-4</v>
      </c>
      <c r="H160">
        <v>-4.6411357661837342E-5</v>
      </c>
      <c r="I160">
        <f t="shared" si="4"/>
        <v>1.4188381878604502E-4</v>
      </c>
    </row>
    <row r="161" spans="2:9">
      <c r="B161">
        <v>2056</v>
      </c>
      <c r="G161">
        <v>1.8996738050279868E-4</v>
      </c>
      <c r="H161">
        <v>-4.6858466674961327E-5</v>
      </c>
      <c r="I161">
        <f t="shared" si="4"/>
        <v>1.4310891382783735E-4</v>
      </c>
    </row>
    <row r="162" spans="2:9">
      <c r="B162">
        <v>2057</v>
      </c>
      <c r="G162">
        <v>1.916347081820672E-4</v>
      </c>
      <c r="H162">
        <v>-4.7304170324162285E-5</v>
      </c>
      <c r="I162">
        <f t="shared" si="4"/>
        <v>1.4433053785790491E-4</v>
      </c>
    </row>
    <row r="163" spans="2:9">
      <c r="B163">
        <v>2058</v>
      </c>
      <c r="G163">
        <v>1.9329724762975339E-4</v>
      </c>
      <c r="H163">
        <v>-4.7748494911622851E-5</v>
      </c>
      <c r="I163">
        <f t="shared" si="4"/>
        <v>1.4554875271813054E-4</v>
      </c>
    </row>
    <row r="164" spans="2:9">
      <c r="B164">
        <v>2059</v>
      </c>
      <c r="G164">
        <v>1.9495508471890834E-4</v>
      </c>
      <c r="H164">
        <v>-4.8191466058377112E-5</v>
      </c>
      <c r="I164">
        <f t="shared" si="4"/>
        <v>1.4676361866053123E-4</v>
      </c>
    </row>
    <row r="165" spans="2:9">
      <c r="B165">
        <v>2060</v>
      </c>
      <c r="G165">
        <v>1.9660830311293736E-4</v>
      </c>
      <c r="H165">
        <v>-4.8633108722741686E-5</v>
      </c>
      <c r="I165">
        <f t="shared" si="4"/>
        <v>1.4797519439019568E-4</v>
      </c>
    </row>
    <row r="166" spans="2:9">
      <c r="B166">
        <v>2061</v>
      </c>
      <c r="G166">
        <v>1.9825698432524214E-4</v>
      </c>
      <c r="H166">
        <v>-4.9073447218225075E-5</v>
      </c>
      <c r="I166">
        <f t="shared" si="4"/>
        <v>1.4918353710701706E-4</v>
      </c>
    </row>
    <row r="167" spans="2:9">
      <c r="B167">
        <v>2062</v>
      </c>
      <c r="G167">
        <v>1.9990120777719814E-4</v>
      </c>
      <c r="H167">
        <v>-4.9512505230934613E-5</v>
      </c>
      <c r="I167">
        <f t="shared" si="4"/>
        <v>1.5038870254626351E-4</v>
      </c>
    </row>
    <row r="168" spans="2:9">
      <c r="B168">
        <v>2063</v>
      </c>
      <c r="G168">
        <v>2.0154105085452297E-4</v>
      </c>
      <c r="H168">
        <v>-4.9950305836498204E-5</v>
      </c>
      <c r="I168">
        <f t="shared" si="4"/>
        <v>1.5159074501802476E-4</v>
      </c>
    </row>
    <row r="169" spans="2:9">
      <c r="B169">
        <v>2064</v>
      </c>
      <c r="G169">
        <v>2.0317658896208961E-4</v>
      </c>
      <c r="H169">
        <v>-5.0386871516517321E-5</v>
      </c>
      <c r="I169">
        <f t="shared" si="4"/>
        <v>1.5278971744557229E-4</v>
      </c>
    </row>
    <row r="170" spans="2:9">
      <c r="B170">
        <v>2065</v>
      </c>
      <c r="G170">
        <v>2.0480789557723156E-4</v>
      </c>
      <c r="H170">
        <v>-5.0822224174566526E-5</v>
      </c>
      <c r="I170">
        <f t="shared" si="4"/>
        <v>1.5398567140266503E-4</v>
      </c>
    </row>
    <row r="171" spans="2:9">
      <c r="B171">
        <v>2066</v>
      </c>
      <c r="G171">
        <v>2.0643504230158854E-4</v>
      </c>
      <c r="H171">
        <v>-5.1256385151753506E-5</v>
      </c>
      <c r="I171">
        <f t="shared" si="4"/>
        <v>1.5517865714983505E-4</v>
      </c>
    </row>
    <row r="172" spans="2:9">
      <c r="B172">
        <v>2067</v>
      </c>
      <c r="G172">
        <v>2.0805809891153541E-4</v>
      </c>
      <c r="H172">
        <v>-5.1689375241853458E-5</v>
      </c>
      <c r="I172">
        <f t="shared" si="4"/>
        <v>1.5636872366968195E-4</v>
      </c>
    </row>
    <row r="173" spans="2:9">
      <c r="B173">
        <v>2068</v>
      </c>
      <c r="G173">
        <v>2.0967713340723745E-4</v>
      </c>
      <c r="H173">
        <v>-5.2121214706029931E-5</v>
      </c>
      <c r="I173">
        <f t="shared" si="4"/>
        <v>1.5755591870120753E-4</v>
      </c>
    </row>
    <row r="174" spans="2:9">
      <c r="B174">
        <v>2069</v>
      </c>
      <c r="G174">
        <v>2.1129221206036961E-4</v>
      </c>
      <c r="H174">
        <v>-5.2551923287154805E-5</v>
      </c>
      <c r="I174">
        <f t="shared" si="4"/>
        <v>1.587402887732148E-4</v>
      </c>
    </row>
    <row r="175" spans="2:9">
      <c r="B175">
        <v>2070</v>
      </c>
      <c r="G175">
        <v>2.1290339946054073E-4</v>
      </c>
      <c r="H175">
        <v>-5.2981520223739229E-5</v>
      </c>
      <c r="I175">
        <f t="shared" si="4"/>
        <v>1.5992187923680149E-4</v>
      </c>
    </row>
    <row r="176" spans="2:9">
      <c r="B176">
        <v>2071</v>
      </c>
      <c r="G176">
        <v>2.145107585604577E-4</v>
      </c>
      <c r="H176">
        <v>-5.3410024263485486E-5</v>
      </c>
      <c r="I176">
        <f t="shared" si="4"/>
        <v>1.611007342969722E-4</v>
      </c>
    </row>
    <row r="177" spans="2:9">
      <c r="B177">
        <v>2072</v>
      </c>
      <c r="G177">
        <v>2.1611435071986618E-4</v>
      </c>
      <c r="H177">
        <v>-5.383745367647223E-5</v>
      </c>
      <c r="I177">
        <f t="shared" si="4"/>
        <v>1.6227689704339396E-4</v>
      </c>
    </row>
    <row r="178" spans="2:9">
      <c r="B178">
        <v>2073</v>
      </c>
      <c r="G178">
        <v>2.1771423574830048E-4</v>
      </c>
      <c r="H178">
        <v>-5.4263826267981694E-5</v>
      </c>
      <c r="I178">
        <f t="shared" si="4"/>
        <v>1.6345040948031878E-4</v>
      </c>
    </row>
    <row r="179" spans="2:9">
      <c r="B179">
        <v>2074</v>
      </c>
      <c r="G179">
        <v>2.1931047194667761E-4</v>
      </c>
      <c r="H179">
        <v>-5.468915939098002E-5</v>
      </c>
      <c r="I179">
        <f t="shared" si="4"/>
        <v>1.6462131255569757E-4</v>
      </c>
    </row>
    <row r="180" spans="2:9">
      <c r="B180">
        <v>2075</v>
      </c>
      <c r="G180">
        <v>2.2090311614776574E-4</v>
      </c>
      <c r="H180">
        <v>-5.5113469958259807E-5</v>
      </c>
      <c r="I180">
        <f t="shared" si="4"/>
        <v>1.6578964618950594E-4</v>
      </c>
    </row>
    <row r="181" spans="2:9">
      <c r="B181">
        <v>2076</v>
      </c>
      <c r="G181">
        <v>2.2249222375555927E-4</v>
      </c>
      <c r="H181">
        <v>-5.5536774454254278E-5</v>
      </c>
      <c r="I181">
        <f t="shared" si="4"/>
        <v>1.66955449301305E-4</v>
      </c>
    </row>
    <row r="182" spans="2:9">
      <c r="B182">
        <v>2077</v>
      </c>
      <c r="G182">
        <v>2.2407784878358884E-4</v>
      </c>
      <c r="H182">
        <v>-5.5959088946532164E-5</v>
      </c>
      <c r="I182">
        <f t="shared" si="4"/>
        <v>1.6811875983705667E-4</v>
      </c>
    </row>
    <row r="183" spans="2:9">
      <c r="B183">
        <v>2078</v>
      </c>
      <c r="G183">
        <v>2.2566004389219831E-4</v>
      </c>
      <c r="H183">
        <v>-5.6380429096981816E-5</v>
      </c>
      <c r="I183">
        <f t="shared" si="4"/>
        <v>1.6927961479521649E-4</v>
      </c>
    </row>
    <row r="184" spans="2:9">
      <c r="B184">
        <v>2079</v>
      </c>
      <c r="G184">
        <v>2.2723886042481294E-4</v>
      </c>
      <c r="H184">
        <v>-5.6800810172693444E-5</v>
      </c>
      <c r="I184">
        <f t="shared" si="4"/>
        <v>1.7043805025211949E-4</v>
      </c>
    </row>
    <row r="185" spans="2:9">
      <c r="B185">
        <v>2080</v>
      </c>
      <c r="G185">
        <v>2.2881434844322946E-4</v>
      </c>
      <c r="H185">
        <v>-5.7220247056547228E-5</v>
      </c>
      <c r="I185">
        <f t="shared" si="4"/>
        <v>1.7159410138668224E-4</v>
      </c>
    </row>
    <row r="186" spans="2:9">
      <c r="B186">
        <v>2081</v>
      </c>
      <c r="G186">
        <v>2.3038655676195326E-4</v>
      </c>
      <c r="H186">
        <v>-5.7638754257515738E-5</v>
      </c>
      <c r="I186">
        <f t="shared" si="4"/>
        <v>1.7274780250443753E-4</v>
      </c>
    </row>
    <row r="187" spans="2:9">
      <c r="B187">
        <v>2082</v>
      </c>
      <c r="G187">
        <v>2.3195553298160877E-4</v>
      </c>
      <c r="H187">
        <v>-5.8056345920688057E-5</v>
      </c>
      <c r="I187">
        <f t="shared" si="4"/>
        <v>1.7389918706092072E-4</v>
      </c>
    </row>
    <row r="188" spans="2:9">
      <c r="B188">
        <v>2083</v>
      </c>
      <c r="G188">
        <v>2.3352132352144755E-4</v>
      </c>
      <c r="H188">
        <v>-5.8473035837023352E-5</v>
      </c>
      <c r="I188">
        <f t="shared" si="4"/>
        <v>1.7504828768442421E-4</v>
      </c>
    </row>
    <row r="189" spans="2:9">
      <c r="B189">
        <v>2084</v>
      </c>
      <c r="G189">
        <v>2.3508397365098056E-4</v>
      </c>
      <c r="H189">
        <v>-5.888883745284139E-5</v>
      </c>
      <c r="I189">
        <f t="shared" si="4"/>
        <v>1.7619513619813917E-4</v>
      </c>
    </row>
    <row r="190" spans="2:9">
      <c r="B190">
        <v>2085</v>
      </c>
      <c r="G190">
        <v>2.3664352752075492E-4</v>
      </c>
      <c r="H190">
        <v>-5.9303763879056653E-5</v>
      </c>
      <c r="I190">
        <f t="shared" si="4"/>
        <v>1.7733976364169826E-4</v>
      </c>
    </row>
    <row r="191" spans="2:9">
      <c r="B191">
        <v>2086</v>
      </c>
      <c r="G191">
        <v>2.3820002819230181E-4</v>
      </c>
      <c r="H191">
        <v>-5.9717827900163455E-5</v>
      </c>
      <c r="I191">
        <f t="shared" si="4"/>
        <v>1.7848220029213836E-4</v>
      </c>
    </row>
    <row r="192" spans="2:9">
      <c r="B192">
        <v>2087</v>
      </c>
      <c r="G192">
        <v>2.3975351766727601E-4</v>
      </c>
      <c r="H192">
        <v>-6.0131041982978425E-5</v>
      </c>
      <c r="I192">
        <f t="shared" si="4"/>
        <v>1.7962247568429758E-4</v>
      </c>
    </row>
    <row r="193" spans="2:9">
      <c r="B193">
        <v>2088</v>
      </c>
      <c r="G193">
        <v>2.4130403691580818E-4</v>
      </c>
      <c r="H193">
        <v>-6.0543418285147512E-5</v>
      </c>
      <c r="I193">
        <f t="shared" si="4"/>
        <v>1.8076061863066067E-4</v>
      </c>
    </row>
    <row r="194" spans="2:9">
      <c r="B194">
        <v>2089</v>
      </c>
      <c r="G194">
        <v>2.4285162590409489E-4</v>
      </c>
      <c r="H194">
        <v>-6.0954968663422937E-5</v>
      </c>
      <c r="I194">
        <f t="shared" si="4"/>
        <v>1.8189665724067196E-4</v>
      </c>
    </row>
    <row r="195" spans="2:9">
      <c r="B195">
        <v>2090</v>
      </c>
      <c r="G195">
        <v>2.4439632362124094E-4</v>
      </c>
      <c r="H195">
        <v>-6.1365704681717241E-5</v>
      </c>
      <c r="I195">
        <f t="shared" si="4"/>
        <v>1.830306189395237E-4</v>
      </c>
    </row>
    <row r="196" spans="2:9">
      <c r="B196">
        <v>2091</v>
      </c>
      <c r="G196">
        <v>2.4593816810538098E-4</v>
      </c>
      <c r="H196">
        <v>-6.1775637618939917E-5</v>
      </c>
      <c r="I196">
        <f t="shared" si="4"/>
        <v>1.8416253048644105E-4</v>
      </c>
    </row>
    <row r="197" spans="2:9">
      <c r="B197">
        <v>2092</v>
      </c>
      <c r="G197">
        <v>2.4747719646909416E-4</v>
      </c>
      <c r="H197">
        <v>-6.2184778476622561E-5</v>
      </c>
      <c r="I197">
        <f t="shared" si="4"/>
        <v>1.852924179924716E-4</v>
      </c>
    </row>
    <row r="198" spans="2:9">
      <c r="B198">
        <v>2093</v>
      </c>
      <c r="G198">
        <v>2.490134449241345E-4</v>
      </c>
      <c r="H198">
        <v>-6.2593137986338612E-5</v>
      </c>
      <c r="I198">
        <f t="shared" si="4"/>
        <v>1.8642030693779589E-4</v>
      </c>
    </row>
    <row r="199" spans="2:9">
      <c r="B199">
        <v>2094</v>
      </c>
      <c r="G199">
        <v>2.5054694880549336E-4</v>
      </c>
      <c r="H199">
        <v>-6.3000726616922487E-5</v>
      </c>
      <c r="I199">
        <f t="shared" ref="I199:I223" si="5">G199+H199</f>
        <v>1.8754622218857087E-4</v>
      </c>
    </row>
    <row r="200" spans="2:9">
      <c r="B200">
        <v>2095</v>
      </c>
      <c r="G200">
        <v>2.520777425948146E-4</v>
      </c>
      <c r="H200">
        <v>-6.3407554581494495E-5</v>
      </c>
      <c r="I200">
        <f t="shared" si="5"/>
        <v>1.886701880133201E-4</v>
      </c>
    </row>
    <row r="201" spans="2:9">
      <c r="B201">
        <v>2096</v>
      </c>
      <c r="G201">
        <v>2.5360585994317581E-4</v>
      </c>
      <c r="H201">
        <v>-6.381363184429598E-5</v>
      </c>
      <c r="I201">
        <f t="shared" si="5"/>
        <v>1.8979222809887983E-4</v>
      </c>
    </row>
    <row r="202" spans="2:9">
      <c r="B202">
        <v>2097</v>
      </c>
      <c r="G202">
        <v>2.5513133369325767E-4</v>
      </c>
      <c r="H202">
        <v>-6.4218968127340015E-5</v>
      </c>
      <c r="I202">
        <f t="shared" si="5"/>
        <v>1.9091236556591766E-4</v>
      </c>
    </row>
    <row r="203" spans="2:9">
      <c r="B203">
        <v>2098</v>
      </c>
      <c r="G203">
        <v>2.566541959009131E-4</v>
      </c>
      <c r="H203">
        <v>-6.4623572916883146E-5</v>
      </c>
      <c r="I203">
        <f t="shared" si="5"/>
        <v>1.9203062298402997E-4</v>
      </c>
    </row>
    <row r="204" spans="2:9">
      <c r="B204">
        <v>2099</v>
      </c>
      <c r="G204">
        <v>2.5817447785615695E-4</v>
      </c>
      <c r="H204">
        <v>-6.5027455469722037E-5</v>
      </c>
      <c r="I204">
        <f t="shared" si="5"/>
        <v>1.931470223864349E-4</v>
      </c>
    </row>
    <row r="205" spans="2:9">
      <c r="B205">
        <v>2100</v>
      </c>
      <c r="G205">
        <v>2.5969221010358813E-4</v>
      </c>
      <c r="H205">
        <v>-6.543062481932081E-5</v>
      </c>
      <c r="I205">
        <f t="shared" si="5"/>
        <v>1.9426158528426733E-4</v>
      </c>
    </row>
    <row r="206" spans="2:9">
      <c r="B206">
        <v>2101</v>
      </c>
      <c r="G206">
        <v>2.612074224622619E-4</v>
      </c>
      <c r="H206">
        <v>-6.5833089781772733E-5</v>
      </c>
      <c r="I206">
        <f t="shared" si="5"/>
        <v>1.9537433268048917E-4</v>
      </c>
    </row>
    <row r="207" spans="2:9">
      <c r="B207">
        <v>2102</v>
      </c>
      <c r="G207">
        <v>2.6272014404502529E-4</v>
      </c>
      <c r="H207">
        <v>-6.6234858961601408E-5</v>
      </c>
      <c r="I207">
        <f t="shared" si="5"/>
        <v>1.9648528508342387E-4</v>
      </c>
    </row>
    <row r="208" spans="2:9">
      <c r="B208">
        <v>2103</v>
      </c>
      <c r="G208">
        <v>2.6423040327733222E-4</v>
      </c>
      <c r="H208">
        <v>-6.6635940757405382E-5</v>
      </c>
      <c r="I208">
        <f t="shared" si="5"/>
        <v>1.9759446251992684E-4</v>
      </c>
    </row>
    <row r="209" spans="2:9">
      <c r="B209">
        <v>2104</v>
      </c>
      <c r="G209">
        <v>2.6573822791555211E-4</v>
      </c>
      <c r="H209">
        <v>-6.7036343367350625E-5</v>
      </c>
      <c r="I209">
        <f t="shared" si="5"/>
        <v>1.9870188454820147E-4</v>
      </c>
    </row>
    <row r="210" spans="2:9">
      <c r="B210">
        <v>2105</v>
      </c>
      <c r="G210">
        <v>2.6724364506478166E-4</v>
      </c>
      <c r="H210">
        <v>-6.7436074794514721E-5</v>
      </c>
      <c r="I210">
        <f t="shared" si="5"/>
        <v>1.9980757027026694E-4</v>
      </c>
    </row>
    <row r="211" spans="2:9">
      <c r="B211">
        <v>2106</v>
      </c>
      <c r="G211">
        <v>2.6874668119617953E-4</v>
      </c>
      <c r="H211">
        <v>-6.7835142852087246E-5</v>
      </c>
      <c r="I211">
        <f t="shared" si="5"/>
        <v>2.009115383440923E-4</v>
      </c>
    </row>
    <row r="212" spans="2:9">
      <c r="B212">
        <v>2107</v>
      </c>
      <c r="G212">
        <v>2.7024736216383309E-4</v>
      </c>
      <c r="H212">
        <v>-6.8233555168429751E-5</v>
      </c>
      <c r="I212">
        <f t="shared" si="5"/>
        <v>2.0201380699540335E-4</v>
      </c>
    </row>
    <row r="213" spans="2:9">
      <c r="B213">
        <v>2108</v>
      </c>
      <c r="G213">
        <v>2.7174571322116908E-4</v>
      </c>
      <c r="H213">
        <v>-6.8631319191999167E-5</v>
      </c>
      <c r="I213">
        <f t="shared" si="5"/>
        <v>2.0311439402916992E-4</v>
      </c>
    </row>
    <row r="214" spans="2:9">
      <c r="B214">
        <v>2109</v>
      </c>
      <c r="G214">
        <v>2.7324175903692313E-4</v>
      </c>
      <c r="H214">
        <v>-6.90284421961388E-5</v>
      </c>
      <c r="I214">
        <f t="shared" si="5"/>
        <v>2.0421331684078431E-4</v>
      </c>
    </row>
    <row r="215" spans="2:9">
      <c r="B215">
        <v>2110</v>
      </c>
      <c r="G215">
        <v>2.7473552371067825E-4</v>
      </c>
      <c r="H215">
        <v>-6.9424931283739854E-5</v>
      </c>
      <c r="I215">
        <f t="shared" si="5"/>
        <v>2.053105924269384E-4</v>
      </c>
    </row>
    <row r="216" spans="2:9">
      <c r="B216">
        <v>2111</v>
      </c>
      <c r="G216">
        <v>2.762270307879851E-4</v>
      </c>
      <c r="H216">
        <v>-6.9820793391777575E-5</v>
      </c>
      <c r="I216">
        <f t="shared" si="5"/>
        <v>2.0640623739620753E-4</v>
      </c>
    </row>
    <row r="217" spans="2:9">
      <c r="B217">
        <v>2112</v>
      </c>
      <c r="G217">
        <v>2.7771630327507363E-4</v>
      </c>
      <c r="H217">
        <v>-7.0216035295724629E-5</v>
      </c>
      <c r="I217">
        <f t="shared" si="5"/>
        <v>2.07500267979349E-4</v>
      </c>
    </row>
    <row r="218" spans="2:9">
      <c r="B218">
        <v>2113</v>
      </c>
      <c r="G218">
        <v>2.7920336365316932E-4</v>
      </c>
      <c r="H218">
        <v>-7.0610663613846129E-5</v>
      </c>
      <c r="I218">
        <f t="shared" si="5"/>
        <v>2.0859270003932318E-4</v>
      </c>
    </row>
    <row r="219" spans="2:9">
      <c r="B219">
        <v>2114</v>
      </c>
      <c r="G219">
        <v>2.8068823389242227E-4</v>
      </c>
      <c r="H219">
        <v>-7.1004684811378231E-5</v>
      </c>
      <c r="I219">
        <f t="shared" si="5"/>
        <v>2.0968354908104404E-4</v>
      </c>
    </row>
    <row r="220" spans="2:9">
      <c r="B220">
        <v>2115</v>
      </c>
      <c r="G220">
        <v>2.8217093546546235E-4</v>
      </c>
      <c r="H220">
        <v>-7.1398105204594829E-5</v>
      </c>
      <c r="I220">
        <f t="shared" si="5"/>
        <v>2.1077283026086751E-4</v>
      </c>
    </row>
    <row r="221" spans="2:9">
      <c r="B221">
        <v>2116</v>
      </c>
      <c r="G221">
        <v>2.8365148936058786E-4</v>
      </c>
      <c r="H221">
        <v>-7.1790930964763628E-5</v>
      </c>
      <c r="I221">
        <f t="shared" si="5"/>
        <v>2.1186055839582423E-4</v>
      </c>
    </row>
    <row r="222" spans="2:9">
      <c r="B222">
        <v>2117</v>
      </c>
      <c r="G222">
        <v>2.8512991609459972E-4</v>
      </c>
      <c r="H222">
        <v>-7.2183168121996844E-5</v>
      </c>
      <c r="I222">
        <f t="shared" si="5"/>
        <v>2.1294674797260287E-4</v>
      </c>
    </row>
    <row r="223" spans="2:9">
      <c r="B223">
        <v>2118</v>
      </c>
      <c r="G223">
        <v>2.8660623572528842E-4</v>
      </c>
      <c r="H223">
        <v>-7.2574822568996681E-5</v>
      </c>
      <c r="I223">
        <f t="shared" si="5"/>
        <v>2.1403141315629173E-4</v>
      </c>
    </row>
    <row r="256" spans="2:2">
      <c r="B256" s="6"/>
    </row>
    <row r="257" spans="2:2">
      <c r="B257" s="6"/>
    </row>
    <row r="258" spans="2:2">
      <c r="B258" s="6"/>
    </row>
    <row r="259" spans="2:2">
      <c r="B259" s="6"/>
    </row>
    <row r="260" spans="2:2">
      <c r="B260" s="6"/>
    </row>
    <row r="261" spans="2:2">
      <c r="B261" s="6"/>
    </row>
    <row r="262" spans="2:2">
      <c r="B262" s="6"/>
    </row>
    <row r="263" spans="2:2">
      <c r="B263" s="6"/>
    </row>
    <row r="264" spans="2:2">
      <c r="B264" s="6"/>
    </row>
    <row r="265" spans="2:2">
      <c r="B265" s="6"/>
    </row>
    <row r="266" spans="2:2">
      <c r="B266" s="6"/>
    </row>
    <row r="267" spans="2:2">
      <c r="B267" s="6"/>
    </row>
    <row r="268" spans="2:2">
      <c r="B268" s="6"/>
    </row>
    <row r="269" spans="2:2">
      <c r="B269" s="6"/>
    </row>
    <row r="270" spans="2:2">
      <c r="B270" s="6"/>
    </row>
    <row r="271" spans="2:2">
      <c r="B271" s="6"/>
    </row>
    <row r="272" spans="2:2">
      <c r="B272" s="6"/>
    </row>
    <row r="273" spans="2:2">
      <c r="B273" s="6"/>
    </row>
    <row r="274" spans="2:2">
      <c r="B274" s="6"/>
    </row>
    <row r="275" spans="2:2">
      <c r="B275" s="6"/>
    </row>
    <row r="276" spans="2:2">
      <c r="B276" s="6"/>
    </row>
    <row r="277" spans="2:2">
      <c r="B277" s="6"/>
    </row>
    <row r="278" spans="2:2">
      <c r="B278" s="6"/>
    </row>
    <row r="279" spans="2:2">
      <c r="B279" s="6"/>
    </row>
    <row r="280" spans="2:2">
      <c r="B280" s="6"/>
    </row>
    <row r="281" spans="2:2">
      <c r="B281" s="6"/>
    </row>
    <row r="282" spans="2:2">
      <c r="B282" s="6"/>
    </row>
    <row r="283" spans="2:2">
      <c r="B283" s="6"/>
    </row>
    <row r="284" spans="2:2">
      <c r="B284" s="6"/>
    </row>
    <row r="285" spans="2:2">
      <c r="B285" s="6"/>
    </row>
    <row r="286" spans="2:2">
      <c r="B286" s="6"/>
    </row>
    <row r="287" spans="2:2">
      <c r="B287" s="6"/>
    </row>
    <row r="288" spans="2:2">
      <c r="B288" s="6"/>
    </row>
    <row r="289" spans="2:2">
      <c r="B289" s="6"/>
    </row>
    <row r="290" spans="2:2">
      <c r="B290" s="6"/>
    </row>
    <row r="291" spans="2:2">
      <c r="B291" s="6"/>
    </row>
    <row r="292" spans="2:2">
      <c r="B292" s="6"/>
    </row>
    <row r="293" spans="2:2">
      <c r="B293" s="6"/>
    </row>
    <row r="294" spans="2:2">
      <c r="B294" s="6"/>
    </row>
    <row r="295" spans="2:2">
      <c r="B295" s="6"/>
    </row>
    <row r="296" spans="2:2">
      <c r="B296" s="6"/>
    </row>
    <row r="297" spans="2:2">
      <c r="B297" s="6"/>
    </row>
    <row r="298" spans="2:2">
      <c r="B298" s="6"/>
    </row>
    <row r="299" spans="2:2">
      <c r="B299" s="6"/>
    </row>
    <row r="300" spans="2:2">
      <c r="B300" s="6"/>
    </row>
    <row r="301" spans="2:2">
      <c r="B301" s="6"/>
    </row>
    <row r="302" spans="2:2">
      <c r="B302" s="6"/>
    </row>
    <row r="303" spans="2:2">
      <c r="B303" s="6"/>
    </row>
    <row r="304" spans="2:2">
      <c r="B304" s="6"/>
    </row>
    <row r="305" spans="2:2">
      <c r="B305" s="6"/>
    </row>
    <row r="306" spans="2:2">
      <c r="B306" s="6"/>
    </row>
    <row r="307" spans="2:2">
      <c r="B307" s="6"/>
    </row>
    <row r="308" spans="2:2">
      <c r="B308" s="6"/>
    </row>
    <row r="309" spans="2:2">
      <c r="B309" s="6"/>
    </row>
    <row r="310" spans="2:2">
      <c r="B310" s="6"/>
    </row>
    <row r="311" spans="2:2">
      <c r="B311" s="6"/>
    </row>
    <row r="312" spans="2:2">
      <c r="B312" s="6"/>
    </row>
    <row r="313" spans="2:2">
      <c r="B313" s="6"/>
    </row>
    <row r="314" spans="2:2">
      <c r="B314" s="6"/>
    </row>
    <row r="315" spans="2:2">
      <c r="B315" s="6"/>
    </row>
    <row r="316" spans="2:2">
      <c r="B316" s="6"/>
    </row>
    <row r="317" spans="2:2">
      <c r="B317" s="6"/>
    </row>
    <row r="318" spans="2:2">
      <c r="B318" s="6"/>
    </row>
    <row r="319" spans="2:2">
      <c r="B319" s="6"/>
    </row>
    <row r="320" spans="2:2">
      <c r="B320" s="6"/>
    </row>
    <row r="321" spans="2:2">
      <c r="B321" s="6"/>
    </row>
    <row r="322" spans="2:2">
      <c r="B322" s="6"/>
    </row>
    <row r="323" spans="2:2">
      <c r="B323" s="6"/>
    </row>
    <row r="324" spans="2:2">
      <c r="B324" s="6"/>
    </row>
    <row r="325" spans="2:2">
      <c r="B325" s="6"/>
    </row>
    <row r="326" spans="2:2">
      <c r="B326" s="6"/>
    </row>
    <row r="327" spans="2:2">
      <c r="B327" s="6"/>
    </row>
    <row r="328" spans="2:2">
      <c r="B328" s="6"/>
    </row>
    <row r="329" spans="2:2">
      <c r="B329" s="6"/>
    </row>
    <row r="330" spans="2:2">
      <c r="B330" s="6"/>
    </row>
    <row r="331" spans="2:2">
      <c r="B331" s="6"/>
    </row>
    <row r="332" spans="2:2">
      <c r="B332" s="6"/>
    </row>
    <row r="333" spans="2:2">
      <c r="B333" s="6"/>
    </row>
    <row r="334" spans="2:2">
      <c r="B334" s="6"/>
    </row>
    <row r="335" spans="2:2">
      <c r="B335" s="6"/>
    </row>
    <row r="336" spans="2:2">
      <c r="B336" s="6"/>
    </row>
    <row r="337" spans="2:2">
      <c r="B337" s="6"/>
    </row>
    <row r="338" spans="2:2">
      <c r="B338" s="6"/>
    </row>
    <row r="339" spans="2:2">
      <c r="B339" s="6"/>
    </row>
    <row r="340" spans="2:2">
      <c r="B340" s="6"/>
    </row>
    <row r="341" spans="2:2">
      <c r="B341" s="6"/>
    </row>
    <row r="342" spans="2:2">
      <c r="B342" s="6"/>
    </row>
    <row r="343" spans="2:2">
      <c r="B343" s="6"/>
    </row>
    <row r="344" spans="2:2">
      <c r="B344" s="6"/>
    </row>
    <row r="345" spans="2:2">
      <c r="B345" s="6"/>
    </row>
    <row r="346" spans="2:2">
      <c r="B346" s="6"/>
    </row>
    <row r="347" spans="2:2">
      <c r="B347" s="6"/>
    </row>
    <row r="348" spans="2:2">
      <c r="B348" s="6"/>
    </row>
    <row r="349" spans="2:2">
      <c r="B349" s="6"/>
    </row>
    <row r="350" spans="2:2">
      <c r="B350" s="6"/>
    </row>
    <row r="351" spans="2:2">
      <c r="B351" s="6"/>
    </row>
    <row r="352" spans="2:2">
      <c r="B352" s="6"/>
    </row>
    <row r="353" spans="2:2">
      <c r="B353" s="6"/>
    </row>
    <row r="354" spans="2:2">
      <c r="B354" s="6"/>
    </row>
    <row r="355" spans="2:2">
      <c r="B355" s="6"/>
    </row>
    <row r="356" spans="2:2">
      <c r="B356" s="6"/>
    </row>
    <row r="357" spans="2:2">
      <c r="B357" s="6"/>
    </row>
    <row r="358" spans="2:2">
      <c r="B358" s="6"/>
    </row>
    <row r="359" spans="2:2">
      <c r="B359" s="6"/>
    </row>
    <row r="360" spans="2:2">
      <c r="B360" s="6"/>
    </row>
    <row r="361" spans="2:2">
      <c r="B361" s="6"/>
    </row>
    <row r="362" spans="2:2">
      <c r="B362" s="6"/>
    </row>
    <row r="363" spans="2:2">
      <c r="B363" s="6"/>
    </row>
    <row r="364" spans="2:2">
      <c r="B364" s="6"/>
    </row>
    <row r="365" spans="2:2">
      <c r="B365" s="6"/>
    </row>
    <row r="366" spans="2:2">
      <c r="B366" s="6"/>
    </row>
    <row r="367" spans="2:2">
      <c r="B367" s="6"/>
    </row>
    <row r="368" spans="2:2">
      <c r="B368" s="6"/>
    </row>
    <row r="369" spans="2:2">
      <c r="B369" s="6"/>
    </row>
    <row r="370" spans="2:2">
      <c r="B370" s="6"/>
    </row>
    <row r="371" spans="2:2">
      <c r="B371" s="6"/>
    </row>
    <row r="372" spans="2:2">
      <c r="B372" s="6"/>
    </row>
    <row r="373" spans="2:2">
      <c r="B373" s="6"/>
    </row>
    <row r="374" spans="2:2">
      <c r="B374" s="6"/>
    </row>
    <row r="375" spans="2:2">
      <c r="B375" s="6"/>
    </row>
    <row r="376" spans="2:2">
      <c r="B376" s="6"/>
    </row>
    <row r="377" spans="2:2">
      <c r="B377" s="6"/>
    </row>
    <row r="378" spans="2:2">
      <c r="B378" s="6"/>
    </row>
    <row r="379" spans="2:2">
      <c r="B379" s="6"/>
    </row>
    <row r="380" spans="2:2">
      <c r="B380" s="6"/>
    </row>
    <row r="381" spans="2:2">
      <c r="B381" s="6"/>
    </row>
    <row r="382" spans="2:2">
      <c r="B382" s="6"/>
    </row>
    <row r="383" spans="2:2">
      <c r="B383" s="6"/>
    </row>
    <row r="384" spans="2:2">
      <c r="B384" s="6"/>
    </row>
    <row r="385" spans="2:2">
      <c r="B385" s="6"/>
    </row>
    <row r="386" spans="2:2">
      <c r="B386" s="6"/>
    </row>
    <row r="387" spans="2:2">
      <c r="B387" s="6"/>
    </row>
    <row r="388" spans="2:2">
      <c r="B388" s="6"/>
    </row>
    <row r="389" spans="2:2">
      <c r="B389" s="6"/>
    </row>
    <row r="390" spans="2:2">
      <c r="B390" s="6"/>
    </row>
    <row r="391" spans="2:2">
      <c r="B391" s="6"/>
    </row>
    <row r="392" spans="2:2">
      <c r="B392" s="6"/>
    </row>
    <row r="393" spans="2:2">
      <c r="B393" s="6"/>
    </row>
    <row r="394" spans="2:2">
      <c r="B394" s="6"/>
    </row>
    <row r="395" spans="2:2">
      <c r="B395" s="6"/>
    </row>
    <row r="396" spans="2:2">
      <c r="B396" s="6"/>
    </row>
    <row r="397" spans="2:2">
      <c r="B397" s="6"/>
    </row>
    <row r="398" spans="2:2">
      <c r="B398" s="6"/>
    </row>
    <row r="399" spans="2:2">
      <c r="B399" s="6"/>
    </row>
    <row r="400" spans="2:2">
      <c r="B400" s="6"/>
    </row>
    <row r="401" spans="2:2">
      <c r="B401" s="6"/>
    </row>
    <row r="402" spans="2:2">
      <c r="B402" s="6"/>
    </row>
    <row r="403" spans="2:2">
      <c r="B403" s="6"/>
    </row>
    <row r="404" spans="2:2">
      <c r="B404" s="6"/>
    </row>
    <row r="405" spans="2:2">
      <c r="B405" s="6"/>
    </row>
    <row r="406" spans="2:2">
      <c r="B406" s="6"/>
    </row>
    <row r="407" spans="2:2">
      <c r="B407" s="6"/>
    </row>
    <row r="408" spans="2:2">
      <c r="B408" s="6"/>
    </row>
    <row r="409" spans="2:2">
      <c r="B409" s="6"/>
    </row>
    <row r="410" spans="2:2">
      <c r="B410" s="6"/>
    </row>
    <row r="411" spans="2:2">
      <c r="B411" s="6"/>
    </row>
    <row r="412" spans="2:2">
      <c r="B412" s="6"/>
    </row>
    <row r="413" spans="2:2">
      <c r="B413" s="6"/>
    </row>
    <row r="414" spans="2:2">
      <c r="B414" s="6"/>
    </row>
    <row r="415" spans="2:2">
      <c r="B415" s="6"/>
    </row>
    <row r="416" spans="2:2">
      <c r="B416" s="6"/>
    </row>
    <row r="417" spans="2:2">
      <c r="B417" s="6"/>
    </row>
    <row r="418" spans="2:2">
      <c r="B418" s="6"/>
    </row>
    <row r="419" spans="2:2">
      <c r="B419" s="6"/>
    </row>
    <row r="420" spans="2:2">
      <c r="B420" s="6"/>
    </row>
    <row r="421" spans="2:2">
      <c r="B421" s="6"/>
    </row>
    <row r="422" spans="2:2">
      <c r="B422" s="6"/>
    </row>
    <row r="423" spans="2:2">
      <c r="B423" s="6"/>
    </row>
    <row r="424" spans="2:2">
      <c r="B424" s="6"/>
    </row>
    <row r="425" spans="2:2">
      <c r="B425" s="6"/>
    </row>
    <row r="426" spans="2:2">
      <c r="B426" s="6"/>
    </row>
    <row r="427" spans="2:2">
      <c r="B427" s="6"/>
    </row>
    <row r="428" spans="2:2">
      <c r="B428" s="6"/>
    </row>
    <row r="429" spans="2:2">
      <c r="B429" s="6"/>
    </row>
    <row r="430" spans="2:2">
      <c r="B430" s="6"/>
    </row>
    <row r="431" spans="2:2">
      <c r="B431" s="6"/>
    </row>
    <row r="432" spans="2:2">
      <c r="B432" s="6"/>
    </row>
    <row r="433" spans="2:2">
      <c r="B433" s="6"/>
    </row>
    <row r="434" spans="2:2">
      <c r="B434" s="6"/>
    </row>
    <row r="435" spans="2:2">
      <c r="B435" s="6"/>
    </row>
    <row r="436" spans="2:2">
      <c r="B436" s="6"/>
    </row>
    <row r="437" spans="2:2">
      <c r="B437" s="6"/>
    </row>
    <row r="438" spans="2:2">
      <c r="B438" s="6"/>
    </row>
    <row r="439" spans="2:2">
      <c r="B439" s="6"/>
    </row>
    <row r="440" spans="2:2">
      <c r="B440" s="6"/>
    </row>
    <row r="441" spans="2:2">
      <c r="B441" s="6"/>
    </row>
    <row r="442" spans="2:2">
      <c r="B442" s="6"/>
    </row>
    <row r="443" spans="2:2">
      <c r="B443" s="6"/>
    </row>
    <row r="444" spans="2:2">
      <c r="B444" s="6"/>
    </row>
    <row r="445" spans="2:2">
      <c r="B445" s="6"/>
    </row>
    <row r="446" spans="2:2">
      <c r="B446" s="6"/>
    </row>
    <row r="447" spans="2:2">
      <c r="B447" s="6"/>
    </row>
    <row r="448" spans="2:2">
      <c r="B448" s="6"/>
    </row>
    <row r="449" spans="2:2">
      <c r="B449" s="6"/>
    </row>
    <row r="450" spans="2:2">
      <c r="B450" s="6"/>
    </row>
    <row r="451" spans="2:2">
      <c r="B451" s="6"/>
    </row>
    <row r="452" spans="2:2">
      <c r="B452" s="6"/>
    </row>
    <row r="453" spans="2:2">
      <c r="B453" s="6"/>
    </row>
    <row r="454" spans="2:2">
      <c r="B454" s="6"/>
    </row>
    <row r="455" spans="2:2">
      <c r="B455" s="6"/>
    </row>
    <row r="456" spans="2:2">
      <c r="B456" s="6"/>
    </row>
    <row r="457" spans="2:2">
      <c r="B457" s="6"/>
    </row>
    <row r="458" spans="2:2">
      <c r="B458" s="6"/>
    </row>
    <row r="459" spans="2:2">
      <c r="B459" s="6"/>
    </row>
    <row r="460" spans="2:2">
      <c r="B460" s="6"/>
    </row>
    <row r="461" spans="2:2">
      <c r="B461" s="6"/>
    </row>
    <row r="462" spans="2:2">
      <c r="B462" s="6"/>
    </row>
    <row r="463" spans="2:2">
      <c r="B463" s="6"/>
    </row>
    <row r="464" spans="2:2">
      <c r="B464" s="6"/>
    </row>
    <row r="465" spans="2:2">
      <c r="B465" s="6"/>
    </row>
    <row r="466" spans="2:2">
      <c r="B466" s="6"/>
    </row>
    <row r="467" spans="2:2">
      <c r="B467" s="6"/>
    </row>
    <row r="468" spans="2:2">
      <c r="B468" s="6"/>
    </row>
    <row r="469" spans="2:2">
      <c r="B469" s="6"/>
    </row>
    <row r="470" spans="2:2">
      <c r="B470" s="6"/>
    </row>
    <row r="471" spans="2:2">
      <c r="B471" s="6"/>
    </row>
    <row r="472" spans="2:2">
      <c r="B472" s="6"/>
    </row>
    <row r="473" spans="2:2">
      <c r="B473" s="6"/>
    </row>
    <row r="474" spans="2:2">
      <c r="B474" s="6"/>
    </row>
    <row r="475" spans="2:2">
      <c r="B475" s="6"/>
    </row>
    <row r="476" spans="2:2">
      <c r="B476" s="6"/>
    </row>
    <row r="477" spans="2:2">
      <c r="B477" s="6"/>
    </row>
    <row r="478" spans="2:2">
      <c r="B478" s="6"/>
    </row>
    <row r="479" spans="2:2">
      <c r="B479" s="6"/>
    </row>
    <row r="480" spans="2:2">
      <c r="B480" s="6"/>
    </row>
    <row r="481" spans="2:2">
      <c r="B481" s="6"/>
    </row>
    <row r="482" spans="2:2">
      <c r="B482" s="6"/>
    </row>
    <row r="483" spans="2:2">
      <c r="B483" s="6"/>
    </row>
    <row r="484" spans="2:2">
      <c r="B484" s="6"/>
    </row>
    <row r="485" spans="2:2">
      <c r="B485" s="6"/>
    </row>
    <row r="486" spans="2:2">
      <c r="B486" s="6"/>
    </row>
    <row r="487" spans="2:2">
      <c r="B487" s="6"/>
    </row>
    <row r="488" spans="2:2">
      <c r="B488" s="6"/>
    </row>
    <row r="489" spans="2:2">
      <c r="B489" s="6"/>
    </row>
    <row r="490" spans="2:2">
      <c r="B490" s="6"/>
    </row>
    <row r="491" spans="2:2">
      <c r="B491" s="6"/>
    </row>
    <row r="492" spans="2:2">
      <c r="B492" s="6"/>
    </row>
    <row r="493" spans="2:2">
      <c r="B493" s="6"/>
    </row>
    <row r="494" spans="2:2">
      <c r="B494" s="6"/>
    </row>
    <row r="495" spans="2:2">
      <c r="B495" s="6"/>
    </row>
    <row r="496" spans="2:2">
      <c r="B496" s="6"/>
    </row>
    <row r="497" spans="2:2">
      <c r="B497" s="6"/>
    </row>
    <row r="498" spans="2:2">
      <c r="B498" s="6"/>
    </row>
    <row r="499" spans="2:2">
      <c r="B499" s="6"/>
    </row>
    <row r="500" spans="2:2">
      <c r="B500" s="6"/>
    </row>
    <row r="501" spans="2:2">
      <c r="B501" s="6"/>
    </row>
    <row r="502" spans="2:2">
      <c r="B502" s="6"/>
    </row>
    <row r="503" spans="2:2">
      <c r="B503" s="6"/>
    </row>
    <row r="504" spans="2:2">
      <c r="B504" s="6"/>
    </row>
    <row r="505" spans="2:2">
      <c r="B505" s="7"/>
    </row>
  </sheetData>
  <mergeCells count="3">
    <mergeCell ref="B3:B4"/>
    <mergeCell ref="D3:F3"/>
    <mergeCell ref="G3:I3"/>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1F7C9-1681-4815-B87B-30CC979E3754}">
  <dimension ref="B1:Z112"/>
  <sheetViews>
    <sheetView zoomScaleNormal="100" workbookViewId="0">
      <selection activeCell="B2" sqref="B2"/>
    </sheetView>
  </sheetViews>
  <sheetFormatPr defaultColWidth="8.81640625" defaultRowHeight="14.5"/>
  <cols>
    <col min="2" max="2" width="64" bestFit="1" customWidth="1"/>
    <col min="3" max="3" width="18.1796875" customWidth="1"/>
    <col min="4" max="4" width="26.1796875" customWidth="1"/>
    <col min="5" max="5" width="18.36328125" customWidth="1"/>
    <col min="6" max="6" width="21.1796875" customWidth="1"/>
    <col min="10" max="10" width="35.1796875" bestFit="1" customWidth="1"/>
    <col min="11" max="11" width="16.1796875" customWidth="1"/>
    <col min="22" max="22" width="29.6328125" customWidth="1"/>
    <col min="24" max="24" width="33.36328125" customWidth="1"/>
  </cols>
  <sheetData>
    <row r="1" spans="2:23" ht="17.5">
      <c r="B1" s="105" t="s">
        <v>429</v>
      </c>
    </row>
    <row r="2" spans="2:23">
      <c r="B2" t="s">
        <v>247</v>
      </c>
    </row>
    <row r="3" spans="2:23">
      <c r="B3" t="s">
        <v>466</v>
      </c>
    </row>
    <row r="4" spans="2:23">
      <c r="B4" t="s">
        <v>467</v>
      </c>
      <c r="L4" s="138"/>
      <c r="V4" s="12"/>
    </row>
    <row r="5" spans="2:23">
      <c r="L5" s="139"/>
    </row>
    <row r="6" spans="2:23" ht="15" thickBot="1">
      <c r="B6" s="108" t="s">
        <v>388</v>
      </c>
      <c r="L6" s="138"/>
    </row>
    <row r="7" spans="2:23">
      <c r="B7" s="63" t="s">
        <v>228</v>
      </c>
      <c r="C7" s="75" t="s">
        <v>229</v>
      </c>
      <c r="D7" s="75" t="s">
        <v>230</v>
      </c>
      <c r="E7" s="75" t="s">
        <v>231</v>
      </c>
      <c r="F7" s="76" t="s">
        <v>232</v>
      </c>
      <c r="G7" s="108"/>
      <c r="H7" s="109"/>
      <c r="V7" s="108"/>
      <c r="W7" s="108"/>
    </row>
    <row r="8" spans="2:23">
      <c r="B8" s="57" t="s">
        <v>233</v>
      </c>
      <c r="C8" s="110">
        <v>0.85316999999999998</v>
      </c>
      <c r="D8" s="141">
        <f t="shared" ref="D8:D26" si="0">($C$27-C8)/$C$27</f>
        <v>-7.4102050836575173E-2</v>
      </c>
      <c r="E8" s="110">
        <v>0.77815999999999996</v>
      </c>
      <c r="F8" s="142">
        <f t="shared" ref="F8:F26" si="1">($E$27-E8)/$E$27</f>
        <v>-3.3838632106179163E-2</v>
      </c>
    </row>
    <row r="9" spans="2:23">
      <c r="B9" s="57" t="s">
        <v>234</v>
      </c>
      <c r="C9" s="110">
        <v>0.94847999999999999</v>
      </c>
      <c r="D9" s="141">
        <f t="shared" si="0"/>
        <v>-0.19409298636552483</v>
      </c>
      <c r="E9" s="110">
        <v>0.81940999999999997</v>
      </c>
      <c r="F9" s="142">
        <f t="shared" si="1"/>
        <v>-8.8642070440686074E-2</v>
      </c>
    </row>
    <row r="10" spans="2:23">
      <c r="B10" s="57" t="s">
        <v>393</v>
      </c>
      <c r="C10" s="110">
        <v>0.80837999999999999</v>
      </c>
      <c r="D10" s="141">
        <f t="shared" si="0"/>
        <v>-1.771348717755036E-2</v>
      </c>
      <c r="E10" s="110">
        <v>0.75878000000000001</v>
      </c>
      <c r="F10" s="142">
        <f t="shared" si="1"/>
        <v>-8.0909803504763452E-3</v>
      </c>
    </row>
    <row r="11" spans="2:23">
      <c r="B11" s="57" t="s">
        <v>392</v>
      </c>
      <c r="C11" s="110">
        <v>0.73973</v>
      </c>
      <c r="D11" s="141">
        <f t="shared" si="0"/>
        <v>6.8713726378869661E-2</v>
      </c>
      <c r="E11" s="110">
        <v>0.72907</v>
      </c>
      <c r="F11" s="142">
        <f t="shared" si="1"/>
        <v>3.1380780932389128E-2</v>
      </c>
      <c r="V11" s="108"/>
      <c r="W11" s="108"/>
    </row>
    <row r="12" spans="2:23">
      <c r="B12" s="57" t="s">
        <v>391</v>
      </c>
      <c r="C12" s="110">
        <v>0.69055999999999995</v>
      </c>
      <c r="D12" s="141">
        <f t="shared" si="0"/>
        <v>0.13061650992685478</v>
      </c>
      <c r="E12" s="110">
        <v>0.70779999999999998</v>
      </c>
      <c r="F12" s="142">
        <f t="shared" si="1"/>
        <v>5.9639426589963976E-2</v>
      </c>
    </row>
    <row r="13" spans="2:23">
      <c r="B13" s="57" t="s">
        <v>401</v>
      </c>
      <c r="C13" s="110">
        <v>0.94379999999999997</v>
      </c>
      <c r="D13" s="141">
        <f t="shared" si="0"/>
        <v>-0.18820108018280018</v>
      </c>
      <c r="E13" s="110">
        <v>0.81738</v>
      </c>
      <c r="F13" s="142">
        <f t="shared" si="1"/>
        <v>-8.594507699052735E-2</v>
      </c>
    </row>
    <row r="14" spans="2:23">
      <c r="B14" s="57" t="s">
        <v>402</v>
      </c>
      <c r="C14" s="110">
        <v>0.72362000000000004</v>
      </c>
      <c r="D14" s="141">
        <f t="shared" si="0"/>
        <v>8.8995480354017859E-2</v>
      </c>
      <c r="E14" s="110">
        <f>0.7221</f>
        <v>0.72209999999999996</v>
      </c>
      <c r="F14" s="142">
        <f t="shared" si="1"/>
        <v>4.0640901300668282E-2</v>
      </c>
    </row>
    <row r="15" spans="2:23">
      <c r="B15" s="57" t="s">
        <v>394</v>
      </c>
      <c r="C15" s="110">
        <v>0.72170000000000001</v>
      </c>
      <c r="D15" s="141">
        <f t="shared" si="0"/>
        <v>9.1412672634110057E-2</v>
      </c>
      <c r="E15" s="110">
        <v>0.72126999999999997</v>
      </c>
      <c r="F15" s="142">
        <f t="shared" si="1"/>
        <v>4.1743612908368657E-2</v>
      </c>
    </row>
    <row r="16" spans="2:23">
      <c r="B16" s="57" t="s">
        <v>235</v>
      </c>
      <c r="C16" s="110">
        <v>0.71060999999999996</v>
      </c>
      <c r="D16" s="101">
        <f t="shared" si="0"/>
        <v>0.1053744759602674</v>
      </c>
      <c r="E16" s="110">
        <v>0.71647000000000005</v>
      </c>
      <c r="F16" s="114">
        <f t="shared" si="1"/>
        <v>4.8120740278202075E-2</v>
      </c>
    </row>
    <row r="17" spans="2:26">
      <c r="B17" s="57" t="s">
        <v>236</v>
      </c>
      <c r="C17" s="110">
        <v>0.64005000000000001</v>
      </c>
      <c r="D17" s="101">
        <f t="shared" si="0"/>
        <v>0.19420629225365407</v>
      </c>
      <c r="E17" s="110">
        <v>0.68593999999999999</v>
      </c>
      <c r="F17" s="114">
        <f t="shared" si="1"/>
        <v>8.8681927486747497E-2</v>
      </c>
    </row>
    <row r="18" spans="2:26">
      <c r="B18" s="57" t="s">
        <v>237</v>
      </c>
      <c r="C18" s="110">
        <v>0.76187000000000005</v>
      </c>
      <c r="D18" s="101">
        <f t="shared" si="0"/>
        <v>4.0840477899056933E-2</v>
      </c>
      <c r="E18" s="110">
        <f>0.70884</f>
        <v>0.70884000000000003</v>
      </c>
      <c r="F18" s="114">
        <f t="shared" si="1"/>
        <v>5.8257715659833328E-2</v>
      </c>
    </row>
    <row r="19" spans="2:26">
      <c r="B19" s="57" t="s">
        <v>238</v>
      </c>
      <c r="C19" s="110">
        <v>0.74621000000000004</v>
      </c>
      <c r="D19" s="101">
        <f t="shared" si="0"/>
        <v>6.0555702433558588E-2</v>
      </c>
      <c r="E19" s="110">
        <f>0.69694</f>
        <v>0.69694</v>
      </c>
      <c r="F19" s="114">
        <f t="shared" si="1"/>
        <v>7.4067677264212317E-2</v>
      </c>
      <c r="V19" s="102"/>
      <c r="W19" s="140"/>
      <c r="X19" s="140"/>
      <c r="Y19" s="140"/>
      <c r="Z19" s="102"/>
    </row>
    <row r="20" spans="2:26">
      <c r="B20" s="57" t="s">
        <v>239</v>
      </c>
      <c r="C20" s="110">
        <f>0.73684</f>
        <v>0.73684000000000005</v>
      </c>
      <c r="D20" s="101">
        <f t="shared" si="0"/>
        <v>7.2352104342133308E-2</v>
      </c>
      <c r="E20" s="110">
        <f>0.68977</f>
        <v>0.68976999999999999</v>
      </c>
      <c r="F20" s="114">
        <f t="shared" si="1"/>
        <v>8.3593511272901169E-2</v>
      </c>
      <c r="V20" s="102"/>
      <c r="W20" s="102"/>
      <c r="X20" s="102"/>
      <c r="Y20" s="102"/>
    </row>
    <row r="21" spans="2:26">
      <c r="B21" s="57" t="s">
        <v>240</v>
      </c>
      <c r="C21" s="110">
        <f>0.75897</f>
        <v>0.75897000000000003</v>
      </c>
      <c r="D21" s="101">
        <f t="shared" si="0"/>
        <v>4.4491445405446146E-2</v>
      </c>
      <c r="E21" s="110">
        <f>0.70664</f>
        <v>0.70664000000000005</v>
      </c>
      <c r="F21" s="114">
        <f t="shared" si="1"/>
        <v>6.1180565704340335E-2</v>
      </c>
      <c r="V21" s="102"/>
      <c r="W21" s="102"/>
      <c r="X21" s="102"/>
      <c r="Y21" s="102"/>
    </row>
    <row r="22" spans="2:26">
      <c r="B22" s="57" t="s">
        <v>241</v>
      </c>
      <c r="C22" s="110">
        <f>0.62614</f>
        <v>0.62614000000000003</v>
      </c>
      <c r="D22" s="101">
        <f t="shared" si="0"/>
        <v>0.21171834674119669</v>
      </c>
      <c r="E22" s="110">
        <f>0.57388</f>
        <v>0.57387999999999995</v>
      </c>
      <c r="F22" s="114">
        <f t="shared" si="1"/>
        <v>0.23756128020831954</v>
      </c>
      <c r="V22" s="102"/>
      <c r="W22" s="102"/>
      <c r="X22" s="102"/>
      <c r="Y22" s="102"/>
    </row>
    <row r="23" spans="2:26">
      <c r="B23" s="57" t="s">
        <v>242</v>
      </c>
      <c r="C23" s="110">
        <v>0.58745999999999998</v>
      </c>
      <c r="D23" s="101">
        <f t="shared" si="0"/>
        <v>0.2604146995505533</v>
      </c>
      <c r="E23" s="110">
        <v>0.54395000000000004</v>
      </c>
      <c r="F23" s="114">
        <f t="shared" si="1"/>
        <v>0.27732532649563557</v>
      </c>
      <c r="V23" s="102"/>
      <c r="W23" s="102"/>
      <c r="X23" s="102"/>
      <c r="Y23" s="102"/>
    </row>
    <row r="24" spans="2:26">
      <c r="B24" s="57" t="s">
        <v>243</v>
      </c>
      <c r="C24" s="110">
        <f>0.60072</f>
        <v>0.60072000000000003</v>
      </c>
      <c r="D24" s="101">
        <f t="shared" si="0"/>
        <v>0.24372096536616678</v>
      </c>
      <c r="E24" s="110">
        <f>0.5543</f>
        <v>0.55430000000000001</v>
      </c>
      <c r="F24" s="114">
        <f t="shared" si="1"/>
        <v>0.26357464560443206</v>
      </c>
      <c r="V24" s="102"/>
      <c r="W24" s="102"/>
      <c r="X24" s="102"/>
      <c r="Y24" s="102"/>
    </row>
    <row r="25" spans="2:26">
      <c r="B25" s="57" t="s">
        <v>244</v>
      </c>
      <c r="C25" s="110">
        <f>0.44166</f>
        <v>0.44166</v>
      </c>
      <c r="D25" s="101">
        <f t="shared" si="0"/>
        <v>0.44397023832005134</v>
      </c>
      <c r="E25" s="110">
        <f>0.38811</f>
        <v>0.38811000000000001</v>
      </c>
      <c r="F25" s="114">
        <f t="shared" si="1"/>
        <v>0.48436939510289756</v>
      </c>
    </row>
    <row r="26" spans="2:26">
      <c r="B26" s="57" t="s">
        <v>245</v>
      </c>
      <c r="C26" s="110">
        <f>0.39655</f>
        <v>0.39655000000000001</v>
      </c>
      <c r="D26" s="101">
        <f t="shared" si="0"/>
        <v>0.50076166735909144</v>
      </c>
      <c r="E26" s="110">
        <f>0.35217</f>
        <v>0.35216999999999998</v>
      </c>
      <c r="F26" s="114">
        <f t="shared" si="1"/>
        <v>0.5321181362845262</v>
      </c>
    </row>
    <row r="27" spans="2:26" ht="15" thickBot="1">
      <c r="B27" s="59" t="s">
        <v>246</v>
      </c>
      <c r="C27" s="147">
        <v>0.79430999999999996</v>
      </c>
      <c r="D27" s="98"/>
      <c r="E27" s="147">
        <v>0.75268999999999997</v>
      </c>
      <c r="F27" s="99"/>
    </row>
    <row r="29" spans="2:26">
      <c r="H29" s="40"/>
    </row>
    <row r="30" spans="2:26">
      <c r="C30" s="115"/>
      <c r="D30" s="40"/>
      <c r="E30" s="40"/>
      <c r="F30" s="115"/>
      <c r="G30" s="40"/>
      <c r="H30" s="40"/>
    </row>
    <row r="31" spans="2:26">
      <c r="F31" s="40"/>
    </row>
    <row r="32" spans="2:26">
      <c r="H32" s="40"/>
    </row>
    <row r="34" spans="5:13">
      <c r="M34" s="110"/>
    </row>
    <row r="36" spans="5:13">
      <c r="E36" s="116"/>
    </row>
    <row r="61" spans="2:2">
      <c r="B61" s="77"/>
    </row>
    <row r="62" spans="2:2">
      <c r="B62" s="77"/>
    </row>
    <row r="63" spans="2:2">
      <c r="B63" s="77"/>
    </row>
    <row r="64" spans="2:2">
      <c r="B64" s="77"/>
    </row>
    <row r="65" spans="2:2">
      <c r="B65" s="77"/>
    </row>
    <row r="66" spans="2:2">
      <c r="B66" s="77"/>
    </row>
    <row r="67" spans="2:2">
      <c r="B67" s="77"/>
    </row>
    <row r="68" spans="2:2">
      <c r="B68" s="77"/>
    </row>
    <row r="69" spans="2:2">
      <c r="B69" s="77"/>
    </row>
    <row r="91" spans="2:6" ht="15" thickBot="1">
      <c r="B91" s="108"/>
    </row>
    <row r="92" spans="2:6">
      <c r="B92" s="63"/>
      <c r="C92" s="75"/>
      <c r="D92" s="75"/>
      <c r="E92" s="75"/>
      <c r="F92" s="76"/>
    </row>
    <row r="93" spans="2:6">
      <c r="B93" s="57"/>
      <c r="C93" s="108"/>
      <c r="D93" s="111"/>
      <c r="E93" s="108"/>
      <c r="F93" s="112"/>
    </row>
    <row r="94" spans="2:6">
      <c r="B94" s="57"/>
      <c r="C94" s="108"/>
      <c r="D94" s="111"/>
      <c r="E94" s="108"/>
      <c r="F94" s="112"/>
    </row>
    <row r="95" spans="2:6">
      <c r="B95" s="57"/>
      <c r="C95" s="108"/>
      <c r="D95" s="111"/>
      <c r="E95" s="108"/>
      <c r="F95" s="112"/>
    </row>
    <row r="96" spans="2:6">
      <c r="B96" s="57"/>
      <c r="C96" s="108"/>
      <c r="D96" s="111"/>
      <c r="E96" s="108"/>
      <c r="F96" s="112"/>
    </row>
    <row r="97" spans="2:6">
      <c r="B97" s="57"/>
      <c r="C97" s="108"/>
      <c r="D97" s="111"/>
      <c r="E97" s="108"/>
      <c r="F97" s="112"/>
    </row>
    <row r="98" spans="2:6">
      <c r="B98" s="57"/>
      <c r="C98" s="108"/>
      <c r="D98" s="111"/>
      <c r="E98" s="108"/>
      <c r="F98" s="112"/>
    </row>
    <row r="99" spans="2:6">
      <c r="B99" s="57"/>
      <c r="C99" s="108"/>
      <c r="D99" s="111"/>
      <c r="E99" s="108"/>
      <c r="F99" s="112"/>
    </row>
    <row r="100" spans="2:6">
      <c r="B100" s="57"/>
      <c r="C100" s="108"/>
      <c r="D100" s="111"/>
      <c r="E100" s="108"/>
      <c r="F100" s="112"/>
    </row>
    <row r="101" spans="2:6">
      <c r="B101" s="57"/>
      <c r="D101" s="111"/>
      <c r="F101" s="112"/>
    </row>
    <row r="102" spans="2:6">
      <c r="B102" s="57"/>
      <c r="D102" s="111"/>
      <c r="F102" s="112"/>
    </row>
    <row r="103" spans="2:6">
      <c r="B103" s="57"/>
      <c r="D103" s="111"/>
      <c r="F103" s="112"/>
    </row>
    <row r="104" spans="2:6">
      <c r="B104" s="57"/>
      <c r="D104" s="111"/>
      <c r="F104" s="112"/>
    </row>
    <row r="105" spans="2:6">
      <c r="B105" s="57"/>
      <c r="D105" s="111"/>
      <c r="F105" s="112"/>
    </row>
    <row r="106" spans="2:6">
      <c r="B106" s="57"/>
      <c r="D106" s="111"/>
      <c r="F106" s="112"/>
    </row>
    <row r="107" spans="2:6">
      <c r="B107" s="57"/>
      <c r="D107" s="111"/>
      <c r="F107" s="112"/>
    </row>
    <row r="108" spans="2:6">
      <c r="B108" s="57"/>
      <c r="D108" s="111"/>
      <c r="F108" s="112"/>
    </row>
    <row r="109" spans="2:6">
      <c r="B109" s="57"/>
      <c r="D109" s="111"/>
      <c r="F109" s="112"/>
    </row>
    <row r="110" spans="2:6">
      <c r="B110" s="57"/>
      <c r="D110" s="111"/>
      <c r="F110" s="112"/>
    </row>
    <row r="111" spans="2:6">
      <c r="B111" s="57"/>
      <c r="D111" s="111"/>
      <c r="F111" s="112"/>
    </row>
    <row r="112" spans="2:6" ht="15" thickBot="1">
      <c r="B112" s="59"/>
      <c r="C112" s="98"/>
      <c r="D112" s="98"/>
      <c r="E112" s="98"/>
      <c r="F112" s="99"/>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66E5B-5860-4D4F-B745-6565BE407CFA}">
  <dimension ref="A1:N19"/>
  <sheetViews>
    <sheetView zoomScale="91" workbookViewId="0">
      <selection activeCell="G13" sqref="G13"/>
    </sheetView>
  </sheetViews>
  <sheetFormatPr defaultColWidth="8.81640625" defaultRowHeight="14.5"/>
  <cols>
    <col min="2" max="2" width="14.81640625" customWidth="1"/>
    <col min="3" max="3" width="11.6328125" customWidth="1"/>
    <col min="4" max="4" width="11.453125" customWidth="1"/>
    <col min="5" max="5" width="17.453125" customWidth="1"/>
    <col min="7" max="7" width="29" customWidth="1"/>
    <col min="12" max="12" width="35.6328125" customWidth="1"/>
    <col min="13" max="13" width="18.6328125" customWidth="1"/>
    <col min="14" max="14" width="22.81640625" customWidth="1"/>
  </cols>
  <sheetData>
    <row r="1" spans="1:14" ht="17.5">
      <c r="A1" s="105" t="s">
        <v>426</v>
      </c>
    </row>
    <row r="2" spans="1:14" ht="18" thickBot="1">
      <c r="A2" s="105"/>
    </row>
    <row r="3" spans="1:14" ht="43.5">
      <c r="A3" s="133" t="s">
        <v>437</v>
      </c>
      <c r="B3" s="134" t="s">
        <v>430</v>
      </c>
      <c r="C3" s="134" t="s">
        <v>439</v>
      </c>
      <c r="D3" s="134" t="s">
        <v>438</v>
      </c>
      <c r="E3" s="135" t="s">
        <v>488</v>
      </c>
      <c r="G3" s="187" t="s">
        <v>432</v>
      </c>
      <c r="H3" s="188"/>
      <c r="I3" s="189"/>
      <c r="L3" t="s">
        <v>440</v>
      </c>
    </row>
    <row r="4" spans="1:14" ht="43.5">
      <c r="A4" s="57">
        <v>1</v>
      </c>
      <c r="B4" s="18">
        <v>15.01</v>
      </c>
      <c r="C4" s="129">
        <f>B4/1000</f>
        <v>1.5009999999999999E-2</v>
      </c>
      <c r="D4" s="129">
        <f>C4/$H$6</f>
        <v>0.1194835761589404</v>
      </c>
      <c r="E4" s="146" t="s">
        <v>470</v>
      </c>
      <c r="G4" s="57" t="s">
        <v>433</v>
      </c>
      <c r="H4" s="18">
        <v>302</v>
      </c>
      <c r="I4" s="58" t="s">
        <v>434</v>
      </c>
      <c r="L4" s="17" t="s">
        <v>441</v>
      </c>
      <c r="M4" s="18" t="s">
        <v>442</v>
      </c>
      <c r="N4" s="17" t="s">
        <v>443</v>
      </c>
    </row>
    <row r="5" spans="1:14">
      <c r="A5" s="57">
        <v>2</v>
      </c>
      <c r="B5" s="18">
        <v>11.1</v>
      </c>
      <c r="C5" s="129">
        <f t="shared" ref="C5:C15" si="0">B5/1000</f>
        <v>1.11E-2</v>
      </c>
      <c r="D5" s="129">
        <f t="shared" ref="D5:D18" si="1">C5/$H$6</f>
        <v>8.8358940397350996E-2</v>
      </c>
      <c r="E5" s="146" t="s">
        <v>470</v>
      </c>
      <c r="G5" s="57" t="s">
        <v>435</v>
      </c>
      <c r="H5" s="18">
        <v>2404</v>
      </c>
      <c r="I5" s="58" t="s">
        <v>436</v>
      </c>
      <c r="L5" s="18">
        <v>255.55555375187103</v>
      </c>
      <c r="M5" s="18">
        <f>L5*$D$19</f>
        <v>25.988731629181547</v>
      </c>
      <c r="N5" s="18">
        <f>M5/81.1*100</f>
        <v>32.045291774576512</v>
      </c>
    </row>
    <row r="6" spans="1:14" ht="15" thickBot="1">
      <c r="A6" s="57">
        <v>3</v>
      </c>
      <c r="B6" s="18">
        <v>7.44</v>
      </c>
      <c r="C6" s="129">
        <f t="shared" si="0"/>
        <v>7.4400000000000004E-3</v>
      </c>
      <c r="D6" s="129">
        <f t="shared" si="1"/>
        <v>5.9224370860927154E-2</v>
      </c>
      <c r="E6" s="145" t="s">
        <v>471</v>
      </c>
      <c r="G6" s="59"/>
      <c r="H6" s="60">
        <f>H4/H5</f>
        <v>0.12562396006655574</v>
      </c>
      <c r="I6" s="61" t="s">
        <v>390</v>
      </c>
      <c r="L6" s="18">
        <v>247.95678444252448</v>
      </c>
      <c r="M6" s="18">
        <f t="shared" ref="M6:M13" si="2">L6*$D$19</f>
        <v>25.215974499104021</v>
      </c>
      <c r="N6" s="18">
        <f t="shared" ref="N6:N13" si="3">M6/81.1*100</f>
        <v>31.092446977933445</v>
      </c>
    </row>
    <row r="7" spans="1:14">
      <c r="A7" s="57">
        <v>4</v>
      </c>
      <c r="B7" s="18">
        <v>1.64</v>
      </c>
      <c r="C7" s="129">
        <f t="shared" si="0"/>
        <v>1.64E-3</v>
      </c>
      <c r="D7" s="129">
        <f t="shared" si="1"/>
        <v>1.3054834437086093E-2</v>
      </c>
      <c r="E7" s="145" t="s">
        <v>472</v>
      </c>
      <c r="L7" s="136">
        <v>239.57670393061483</v>
      </c>
      <c r="M7" s="18">
        <f t="shared" si="2"/>
        <v>24.363761896961112</v>
      </c>
      <c r="N7" s="18">
        <f t="shared" si="3"/>
        <v>30.041629959261545</v>
      </c>
    </row>
    <row r="8" spans="1:14">
      <c r="A8" s="57">
        <v>5</v>
      </c>
      <c r="B8" s="18">
        <v>5.87</v>
      </c>
      <c r="C8" s="129">
        <f t="shared" si="0"/>
        <v>5.8700000000000002E-3</v>
      </c>
      <c r="D8" s="129">
        <f t="shared" si="1"/>
        <v>4.672675496688742E-2</v>
      </c>
      <c r="E8" s="145" t="s">
        <v>473</v>
      </c>
      <c r="L8" s="18">
        <v>286.92702321476526</v>
      </c>
      <c r="M8" s="18">
        <f t="shared" si="2"/>
        <v>29.179054393506338</v>
      </c>
      <c r="N8" s="18">
        <f t="shared" si="3"/>
        <v>35.979105294089194</v>
      </c>
    </row>
    <row r="9" spans="1:14">
      <c r="A9" s="57">
        <v>6</v>
      </c>
      <c r="B9" s="18">
        <v>11</v>
      </c>
      <c r="C9" s="129">
        <f t="shared" si="0"/>
        <v>1.0999999999999999E-2</v>
      </c>
      <c r="D9" s="129">
        <f t="shared" si="1"/>
        <v>8.7562913907284767E-2</v>
      </c>
      <c r="E9" s="145" t="s">
        <v>473</v>
      </c>
      <c r="L9" s="18">
        <v>271.65838606011471</v>
      </c>
      <c r="M9" s="18">
        <f t="shared" si="2"/>
        <v>27.626309765068939</v>
      </c>
      <c r="N9" s="18">
        <f t="shared" si="3"/>
        <v>34.064500326842094</v>
      </c>
    </row>
    <row r="10" spans="1:14">
      <c r="A10" s="57">
        <v>7</v>
      </c>
      <c r="B10" s="18">
        <v>29.4</v>
      </c>
      <c r="C10" s="129">
        <f t="shared" si="0"/>
        <v>2.9399999999999999E-2</v>
      </c>
      <c r="D10" s="129">
        <f t="shared" si="1"/>
        <v>0.2340317880794702</v>
      </c>
      <c r="E10" s="146" t="s">
        <v>474</v>
      </c>
      <c r="L10" s="18">
        <v>258.16180358433905</v>
      </c>
      <c r="M10" s="18">
        <f t="shared" si="2"/>
        <v>26.253774303700666</v>
      </c>
      <c r="N10" s="18">
        <f t="shared" si="3"/>
        <v>32.372101484217843</v>
      </c>
    </row>
    <row r="11" spans="1:14">
      <c r="A11" s="57">
        <v>8</v>
      </c>
      <c r="B11" s="18">
        <v>38.1</v>
      </c>
      <c r="C11" s="129">
        <f t="shared" si="0"/>
        <v>3.8100000000000002E-2</v>
      </c>
      <c r="D11" s="129">
        <f t="shared" si="1"/>
        <v>0.30328609271523183</v>
      </c>
      <c r="E11" s="145" t="s">
        <v>474</v>
      </c>
      <c r="L11" s="136">
        <v>315.7238714048363</v>
      </c>
      <c r="M11" s="18">
        <f t="shared" si="2"/>
        <v>32.107550950872039</v>
      </c>
      <c r="N11" s="18">
        <f t="shared" si="3"/>
        <v>39.590075155205966</v>
      </c>
    </row>
    <row r="12" spans="1:14">
      <c r="A12" s="57">
        <v>9</v>
      </c>
      <c r="B12" s="18">
        <v>7.02</v>
      </c>
      <c r="C12" s="129">
        <f t="shared" si="0"/>
        <v>7.0199999999999993E-3</v>
      </c>
      <c r="D12" s="129">
        <f t="shared" si="1"/>
        <v>5.5881059602649004E-2</v>
      </c>
      <c r="E12" s="145" t="s">
        <v>475</v>
      </c>
      <c r="L12" s="18">
        <v>292.58211631616757</v>
      </c>
      <c r="M12" s="18">
        <f t="shared" si="2"/>
        <v>29.754149298675486</v>
      </c>
      <c r="N12" s="18">
        <f t="shared" si="3"/>
        <v>36.688223549538215</v>
      </c>
    </row>
    <row r="13" spans="1:14">
      <c r="A13" s="57">
        <v>10</v>
      </c>
      <c r="B13" s="18">
        <v>5.19</v>
      </c>
      <c r="C13" s="129">
        <f t="shared" si="0"/>
        <v>5.1900000000000002E-3</v>
      </c>
      <c r="D13" s="129">
        <f t="shared" si="1"/>
        <v>4.1313774834437086E-2</v>
      </c>
      <c r="E13" s="145" t="s">
        <v>475</v>
      </c>
      <c r="L13" s="18">
        <v>275.83203850523597</v>
      </c>
      <c r="M13" s="18">
        <f t="shared" si="2"/>
        <v>28.05074950710268</v>
      </c>
      <c r="N13" s="18">
        <f t="shared" si="3"/>
        <v>34.587853892851648</v>
      </c>
    </row>
    <row r="14" spans="1:14">
      <c r="A14" s="57">
        <v>11</v>
      </c>
      <c r="B14" s="18">
        <v>12</v>
      </c>
      <c r="C14" s="129">
        <f t="shared" si="0"/>
        <v>1.2E-2</v>
      </c>
      <c r="D14" s="129">
        <f t="shared" si="1"/>
        <v>9.5523178807947029E-2</v>
      </c>
      <c r="E14" s="145" t="s">
        <v>473</v>
      </c>
    </row>
    <row r="15" spans="1:14">
      <c r="A15" s="57">
        <v>12</v>
      </c>
      <c r="B15" s="18">
        <v>1.58</v>
      </c>
      <c r="C15" s="129">
        <f t="shared" si="0"/>
        <v>1.58E-3</v>
      </c>
      <c r="D15" s="129">
        <f t="shared" si="1"/>
        <v>1.2577218543046357E-2</v>
      </c>
      <c r="E15" s="146" t="s">
        <v>476</v>
      </c>
    </row>
    <row r="16" spans="1:14">
      <c r="A16" s="57">
        <v>13</v>
      </c>
      <c r="B16" s="18">
        <v>15.5</v>
      </c>
      <c r="C16" s="129">
        <v>1.55E-2</v>
      </c>
      <c r="D16" s="129">
        <f t="shared" si="1"/>
        <v>0.1233841059602649</v>
      </c>
      <c r="E16" s="146" t="s">
        <v>477</v>
      </c>
    </row>
    <row r="17" spans="1:5">
      <c r="A17" s="57">
        <v>14</v>
      </c>
      <c r="B17" s="18">
        <v>18.399999999999999</v>
      </c>
      <c r="C17" s="129">
        <v>1.84E-2</v>
      </c>
      <c r="D17" s="129">
        <f t="shared" si="1"/>
        <v>0.14646887417218543</v>
      </c>
      <c r="E17" s="145" t="s">
        <v>489</v>
      </c>
    </row>
    <row r="18" spans="1:5">
      <c r="A18" s="57">
        <v>15</v>
      </c>
      <c r="B18" s="18">
        <v>12.38</v>
      </c>
      <c r="C18" s="129">
        <v>1.238E-2</v>
      </c>
      <c r="D18" s="129">
        <f t="shared" si="1"/>
        <v>9.8548079470198682E-2</v>
      </c>
      <c r="E18" s="145" t="s">
        <v>478</v>
      </c>
    </row>
    <row r="19" spans="1:5" ht="15" thickBot="1">
      <c r="A19" s="59" t="s">
        <v>431</v>
      </c>
      <c r="B19" s="131">
        <f>AVERAGE(B4:B18)</f>
        <v>12.775333333333334</v>
      </c>
      <c r="C19" s="131">
        <f>AVERAGE(C4:C18)</f>
        <v>1.2775333333333333E-2</v>
      </c>
      <c r="D19" s="131">
        <f>AVERAGE(D4:D18)</f>
        <v>0.10169503752759383</v>
      </c>
      <c r="E19" s="61"/>
    </row>
  </sheetData>
  <mergeCells count="1">
    <mergeCell ref="G3:I3"/>
  </mergeCells>
  <hyperlinks>
    <hyperlink ref="E4" r:id="rId1" display="https://www.tandfonline.com/doi/full/10.1080/19648189.2016.1197161" xr:uid="{4E5A2340-65CF-4007-8DC9-9B4785E67837}"/>
    <hyperlink ref="E5" r:id="rId2" display="https://www.tandfonline.com/doi/full/10.1080/19648189.2016.1197161" xr:uid="{CA1CBE36-CFC4-41A0-B740-0651A088D288}"/>
    <hyperlink ref="E10" r:id="rId3" display="https://www.mdpi.com/2076-3417/9/5/1021" xr:uid="{3035CA30-0407-43CC-BFCB-F2213B8083C1}"/>
    <hyperlink ref="E15" r:id="rId4" location="tbl4" display="https://www.sciencedirect.com/science/article/pii/S0959652619314258#tbl4" xr:uid="{600C82EB-8C48-43EF-B4E1-1EFCD2C207BE}"/>
    <hyperlink ref="E16" r:id="rId5" display="https://journals.vilniustech.lt/index.php/JEELM/article/view/1941/1559" xr:uid="{271D87A9-007E-4652-B3D3-8BE1CA8C53DF}"/>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390B0-A738-4343-95D9-0FBD0430DF8F}">
  <dimension ref="A1:N103"/>
  <sheetViews>
    <sheetView workbookViewId="0">
      <selection activeCell="G11" sqref="G11"/>
    </sheetView>
  </sheetViews>
  <sheetFormatPr defaultColWidth="8.81640625" defaultRowHeight="14.5"/>
  <sheetData>
    <row r="1" spans="1:14" ht="17.5">
      <c r="A1" s="105" t="s">
        <v>491</v>
      </c>
    </row>
    <row r="3" spans="1:14">
      <c r="B3" t="s">
        <v>214</v>
      </c>
      <c r="C3" t="s">
        <v>492</v>
      </c>
      <c r="D3" t="s">
        <v>493</v>
      </c>
    </row>
    <row r="4" spans="1:14">
      <c r="B4">
        <v>1</v>
      </c>
      <c r="C4">
        <v>-1.46E-2</v>
      </c>
      <c r="D4">
        <v>-2.8999999999999998E-3</v>
      </c>
    </row>
    <row r="5" spans="1:14" ht="15" thickBot="1">
      <c r="B5">
        <v>2</v>
      </c>
      <c r="C5">
        <v>-2.07E-2</v>
      </c>
      <c r="D5">
        <v>-4.1000000000000003E-3</v>
      </c>
    </row>
    <row r="6" spans="1:14" ht="59.5" customHeight="1" thickBot="1">
      <c r="B6">
        <v>3</v>
      </c>
      <c r="C6">
        <v>-2.53E-2</v>
      </c>
      <c r="D6">
        <v>-5.1000000000000004E-3</v>
      </c>
      <c r="H6" s="190" t="s">
        <v>494</v>
      </c>
      <c r="I6" s="191"/>
      <c r="J6" s="191"/>
      <c r="K6" s="191"/>
      <c r="L6" s="191"/>
      <c r="M6" s="191"/>
      <c r="N6" s="192"/>
    </row>
    <row r="7" spans="1:14">
      <c r="B7">
        <v>4</v>
      </c>
      <c r="C7">
        <v>-2.93E-2</v>
      </c>
      <c r="D7">
        <v>-5.8999999999999999E-3</v>
      </c>
    </row>
    <row r="8" spans="1:14">
      <c r="B8">
        <v>5</v>
      </c>
      <c r="C8">
        <v>-3.27E-2</v>
      </c>
      <c r="D8">
        <v>-6.4999999999999997E-3</v>
      </c>
    </row>
    <row r="9" spans="1:14">
      <c r="B9">
        <v>6</v>
      </c>
      <c r="C9">
        <v>-3.5799999999999998E-2</v>
      </c>
      <c r="D9">
        <v>-7.1999999999999998E-3</v>
      </c>
    </row>
    <row r="10" spans="1:14">
      <c r="B10">
        <v>7</v>
      </c>
      <c r="C10">
        <v>-3.8699999999999998E-2</v>
      </c>
      <c r="D10">
        <v>-7.7000000000000002E-3</v>
      </c>
    </row>
    <row r="11" spans="1:14">
      <c r="B11">
        <v>8</v>
      </c>
      <c r="C11">
        <v>-4.1399999999999999E-2</v>
      </c>
      <c r="D11">
        <v>-8.3000000000000001E-3</v>
      </c>
    </row>
    <row r="12" spans="1:14">
      <c r="B12">
        <v>9</v>
      </c>
      <c r="C12">
        <v>-4.3900000000000002E-2</v>
      </c>
      <c r="D12">
        <v>-8.8000000000000005E-3</v>
      </c>
    </row>
    <row r="13" spans="1:14">
      <c r="B13">
        <v>10</v>
      </c>
      <c r="C13">
        <v>-4.6300000000000001E-2</v>
      </c>
      <c r="D13">
        <v>-9.2999999999999992E-3</v>
      </c>
    </row>
    <row r="14" spans="1:14">
      <c r="B14">
        <v>11</v>
      </c>
      <c r="C14">
        <v>-4.8500000000000001E-2</v>
      </c>
      <c r="D14">
        <v>-9.7000000000000003E-3</v>
      </c>
    </row>
    <row r="15" spans="1:14">
      <c r="B15">
        <v>12</v>
      </c>
      <c r="C15">
        <v>-5.0700000000000002E-2</v>
      </c>
      <c r="D15">
        <v>-1.01E-2</v>
      </c>
    </row>
    <row r="16" spans="1:14">
      <c r="B16">
        <v>13</v>
      </c>
      <c r="C16">
        <v>-5.2699999999999997E-2</v>
      </c>
      <c r="D16">
        <v>-1.0500000000000001E-2</v>
      </c>
    </row>
    <row r="17" spans="2:4">
      <c r="B17">
        <v>14</v>
      </c>
      <c r="C17">
        <v>-5.4699999999999999E-2</v>
      </c>
      <c r="D17">
        <v>-1.09E-2</v>
      </c>
    </row>
    <row r="18" spans="2:4">
      <c r="B18">
        <v>15</v>
      </c>
      <c r="C18">
        <v>-5.67E-2</v>
      </c>
      <c r="D18">
        <v>-1.1299999999999999E-2</v>
      </c>
    </row>
    <row r="19" spans="2:4">
      <c r="B19">
        <v>16</v>
      </c>
      <c r="C19">
        <v>-5.8500000000000003E-2</v>
      </c>
      <c r="D19">
        <v>-1.17E-2</v>
      </c>
    </row>
    <row r="20" spans="2:4">
      <c r="B20">
        <v>17</v>
      </c>
      <c r="C20">
        <v>-6.0299999999999999E-2</v>
      </c>
      <c r="D20">
        <v>-1.21E-2</v>
      </c>
    </row>
    <row r="21" spans="2:4">
      <c r="B21">
        <v>18</v>
      </c>
      <c r="C21">
        <v>-6.2100000000000002E-2</v>
      </c>
      <c r="D21">
        <v>-1.24E-2</v>
      </c>
    </row>
    <row r="22" spans="2:4">
      <c r="B22">
        <v>19</v>
      </c>
      <c r="C22">
        <v>-6.3799999999999996E-2</v>
      </c>
      <c r="D22">
        <v>-1.2800000000000001E-2</v>
      </c>
    </row>
    <row r="23" spans="2:4">
      <c r="B23">
        <v>20</v>
      </c>
      <c r="C23">
        <v>-6.54E-2</v>
      </c>
      <c r="D23">
        <v>-1.3100000000000001E-2</v>
      </c>
    </row>
    <row r="24" spans="2:4">
      <c r="B24">
        <v>21</v>
      </c>
      <c r="C24">
        <v>-6.7000000000000004E-2</v>
      </c>
      <c r="D24">
        <v>-1.34E-2</v>
      </c>
    </row>
    <row r="25" spans="2:4">
      <c r="B25">
        <v>22</v>
      </c>
      <c r="C25">
        <v>-6.8599999999999994E-2</v>
      </c>
      <c r="D25">
        <v>-1.37E-2</v>
      </c>
    </row>
    <row r="26" spans="2:4">
      <c r="B26">
        <v>23</v>
      </c>
      <c r="C26">
        <v>-7.0099999999999996E-2</v>
      </c>
      <c r="D26">
        <v>-1.4E-2</v>
      </c>
    </row>
    <row r="27" spans="2:4">
      <c r="B27">
        <v>24</v>
      </c>
      <c r="C27">
        <v>-7.17E-2</v>
      </c>
      <c r="D27">
        <v>-1.43E-2</v>
      </c>
    </row>
    <row r="28" spans="2:4">
      <c r="B28">
        <v>25</v>
      </c>
      <c r="C28">
        <v>-7.3099999999999998E-2</v>
      </c>
      <c r="D28">
        <v>-1.46E-2</v>
      </c>
    </row>
    <row r="29" spans="2:4">
      <c r="B29">
        <v>26</v>
      </c>
      <c r="C29">
        <v>-7.46E-2</v>
      </c>
      <c r="D29">
        <v>-1.49E-2</v>
      </c>
    </row>
    <row r="30" spans="2:4">
      <c r="B30">
        <v>27</v>
      </c>
      <c r="C30">
        <v>-7.5999999999999998E-2</v>
      </c>
      <c r="D30">
        <v>-1.52E-2</v>
      </c>
    </row>
    <row r="31" spans="2:4">
      <c r="B31">
        <v>28</v>
      </c>
      <c r="C31">
        <v>-7.7399999999999997E-2</v>
      </c>
      <c r="D31">
        <v>-1.55E-2</v>
      </c>
    </row>
    <row r="32" spans="2:4">
      <c r="B32">
        <v>29</v>
      </c>
      <c r="C32">
        <v>-7.8799999999999995E-2</v>
      </c>
      <c r="D32">
        <v>-1.5800000000000002E-2</v>
      </c>
    </row>
    <row r="33" spans="2:4">
      <c r="B33">
        <v>30</v>
      </c>
      <c r="C33">
        <v>-8.0100000000000005E-2</v>
      </c>
      <c r="D33">
        <v>-1.6E-2</v>
      </c>
    </row>
    <row r="34" spans="2:4">
      <c r="B34">
        <v>31</v>
      </c>
      <c r="C34">
        <v>-8.14E-2</v>
      </c>
      <c r="D34">
        <v>-1.6299999999999999E-2</v>
      </c>
    </row>
    <row r="35" spans="2:4">
      <c r="B35">
        <v>32</v>
      </c>
      <c r="C35">
        <v>-8.2699999999999996E-2</v>
      </c>
      <c r="D35">
        <v>-1.6500000000000001E-2</v>
      </c>
    </row>
    <row r="36" spans="2:4">
      <c r="B36">
        <v>33</v>
      </c>
      <c r="C36">
        <v>-8.4000000000000005E-2</v>
      </c>
      <c r="D36">
        <v>-1.6799999999999999E-2</v>
      </c>
    </row>
    <row r="37" spans="2:4">
      <c r="B37">
        <v>34</v>
      </c>
      <c r="C37">
        <v>-8.5300000000000001E-2</v>
      </c>
      <c r="D37">
        <v>-1.7100000000000001E-2</v>
      </c>
    </row>
    <row r="38" spans="2:4">
      <c r="B38">
        <v>35</v>
      </c>
      <c r="C38">
        <v>-8.6499999999999994E-2</v>
      </c>
      <c r="D38">
        <v>-1.7299999999999999E-2</v>
      </c>
    </row>
    <row r="39" spans="2:4">
      <c r="B39">
        <v>36</v>
      </c>
      <c r="C39">
        <v>-8.7800000000000003E-2</v>
      </c>
      <c r="D39">
        <v>-1.7600000000000001E-2</v>
      </c>
    </row>
    <row r="40" spans="2:4">
      <c r="B40">
        <v>37</v>
      </c>
      <c r="C40">
        <v>-8.8999999999999996E-2</v>
      </c>
      <c r="D40">
        <v>-1.78E-2</v>
      </c>
    </row>
    <row r="41" spans="2:4">
      <c r="B41">
        <v>38</v>
      </c>
      <c r="C41">
        <v>-9.0200000000000002E-2</v>
      </c>
      <c r="D41">
        <v>-1.7999999999999999E-2</v>
      </c>
    </row>
    <row r="42" spans="2:4">
      <c r="B42">
        <v>39</v>
      </c>
      <c r="C42">
        <v>-9.1300000000000006E-2</v>
      </c>
      <c r="D42">
        <v>-1.83E-2</v>
      </c>
    </row>
    <row r="43" spans="2:4">
      <c r="B43">
        <v>40</v>
      </c>
      <c r="C43">
        <v>-9.2499999999999999E-2</v>
      </c>
      <c r="D43">
        <v>-1.8499999999999999E-2</v>
      </c>
    </row>
    <row r="44" spans="2:4">
      <c r="B44">
        <v>41</v>
      </c>
      <c r="C44">
        <v>-9.3700000000000006E-2</v>
      </c>
      <c r="D44">
        <v>-1.8700000000000001E-2</v>
      </c>
    </row>
    <row r="45" spans="2:4">
      <c r="B45">
        <v>42</v>
      </c>
      <c r="C45">
        <v>-9.4799999999999995E-2</v>
      </c>
      <c r="D45">
        <v>-1.9E-2</v>
      </c>
    </row>
    <row r="46" spans="2:4">
      <c r="B46">
        <v>43</v>
      </c>
      <c r="C46">
        <v>-9.5899999999999999E-2</v>
      </c>
      <c r="D46">
        <v>-1.9199999999999998E-2</v>
      </c>
    </row>
    <row r="47" spans="2:4">
      <c r="B47">
        <v>44</v>
      </c>
      <c r="C47">
        <v>-9.7000000000000003E-2</v>
      </c>
      <c r="D47">
        <v>-1.9400000000000001E-2</v>
      </c>
    </row>
    <row r="48" spans="2:4">
      <c r="B48">
        <v>45</v>
      </c>
      <c r="C48">
        <v>-9.8100000000000007E-2</v>
      </c>
      <c r="D48">
        <v>-1.9599999999999999E-2</v>
      </c>
    </row>
    <row r="49" spans="2:4">
      <c r="B49">
        <v>46</v>
      </c>
      <c r="C49">
        <v>-9.9199999999999997E-2</v>
      </c>
      <c r="D49">
        <v>-1.9800000000000002E-2</v>
      </c>
    </row>
    <row r="50" spans="2:4">
      <c r="B50">
        <v>47</v>
      </c>
      <c r="C50">
        <v>-0.1003</v>
      </c>
      <c r="D50">
        <v>-2.01E-2</v>
      </c>
    </row>
    <row r="51" spans="2:4">
      <c r="B51">
        <v>48</v>
      </c>
      <c r="C51">
        <v>-0.1013</v>
      </c>
      <c r="D51">
        <v>-2.0299999999999999E-2</v>
      </c>
    </row>
    <row r="52" spans="2:4">
      <c r="B52">
        <v>49</v>
      </c>
      <c r="C52">
        <v>-0.1024</v>
      </c>
      <c r="D52">
        <v>-2.0500000000000001E-2</v>
      </c>
    </row>
    <row r="53" spans="2:4">
      <c r="B53">
        <v>50</v>
      </c>
      <c r="C53">
        <v>-0.10340000000000001</v>
      </c>
      <c r="D53">
        <v>-2.07E-2</v>
      </c>
    </row>
    <row r="54" spans="2:4">
      <c r="B54">
        <v>51</v>
      </c>
      <c r="C54">
        <v>-0.1045</v>
      </c>
      <c r="D54">
        <v>-2.0899999999999998E-2</v>
      </c>
    </row>
    <row r="55" spans="2:4">
      <c r="B55">
        <v>52</v>
      </c>
      <c r="C55">
        <v>-0.1055</v>
      </c>
      <c r="D55">
        <v>-2.1100000000000001E-2</v>
      </c>
    </row>
    <row r="56" spans="2:4">
      <c r="B56">
        <v>53</v>
      </c>
      <c r="C56">
        <v>-0.1065</v>
      </c>
      <c r="D56">
        <v>-2.1299999999999999E-2</v>
      </c>
    </row>
    <row r="57" spans="2:4">
      <c r="B57">
        <v>54</v>
      </c>
      <c r="C57">
        <v>-0.1075</v>
      </c>
      <c r="D57">
        <v>-2.1499999999999998E-2</v>
      </c>
    </row>
    <row r="58" spans="2:4">
      <c r="B58">
        <v>55</v>
      </c>
      <c r="C58">
        <v>-0.1085</v>
      </c>
      <c r="D58">
        <v>-2.1700000000000001E-2</v>
      </c>
    </row>
    <row r="59" spans="2:4">
      <c r="B59">
        <v>56</v>
      </c>
      <c r="C59">
        <v>-0.1095</v>
      </c>
      <c r="D59">
        <v>-2.1899999999999999E-2</v>
      </c>
    </row>
    <row r="60" spans="2:4">
      <c r="B60">
        <v>57</v>
      </c>
      <c r="C60">
        <v>-0.1104</v>
      </c>
      <c r="D60">
        <v>-2.2100000000000002E-2</v>
      </c>
    </row>
    <row r="61" spans="2:4">
      <c r="B61">
        <v>58</v>
      </c>
      <c r="C61">
        <v>-0.1114</v>
      </c>
      <c r="D61">
        <v>-2.23E-2</v>
      </c>
    </row>
    <row r="62" spans="2:4">
      <c r="B62">
        <v>59</v>
      </c>
      <c r="C62">
        <v>-0.1124</v>
      </c>
      <c r="D62">
        <v>-2.2499999999999999E-2</v>
      </c>
    </row>
    <row r="63" spans="2:4">
      <c r="B63">
        <v>60</v>
      </c>
      <c r="C63">
        <v>-0.1133</v>
      </c>
      <c r="D63">
        <v>-2.2700000000000001E-2</v>
      </c>
    </row>
    <row r="64" spans="2:4">
      <c r="B64">
        <v>61</v>
      </c>
      <c r="C64">
        <v>-0.1142</v>
      </c>
      <c r="D64">
        <v>-2.2800000000000001E-2</v>
      </c>
    </row>
    <row r="65" spans="2:4">
      <c r="B65">
        <v>62</v>
      </c>
      <c r="C65">
        <v>-0.1152</v>
      </c>
      <c r="D65">
        <v>-2.3E-2</v>
      </c>
    </row>
    <row r="66" spans="2:4">
      <c r="B66">
        <v>63</v>
      </c>
      <c r="C66">
        <v>-0.11609999999999999</v>
      </c>
      <c r="D66">
        <v>-2.3199999999999998E-2</v>
      </c>
    </row>
    <row r="67" spans="2:4">
      <c r="B67">
        <v>64</v>
      </c>
      <c r="C67">
        <v>-0.11700000000000001</v>
      </c>
      <c r="D67">
        <v>-2.3400000000000001E-2</v>
      </c>
    </row>
    <row r="68" spans="2:4">
      <c r="B68">
        <v>65</v>
      </c>
      <c r="C68">
        <v>-0.28589999999999999</v>
      </c>
      <c r="D68">
        <v>-8.9400000000000007E-2</v>
      </c>
    </row>
    <row r="69" spans="2:4">
      <c r="B69">
        <v>66</v>
      </c>
      <c r="C69">
        <v>-0.33250000000000002</v>
      </c>
      <c r="D69">
        <v>-0.14660000000000001</v>
      </c>
    </row>
    <row r="70" spans="2:4">
      <c r="B70">
        <v>67</v>
      </c>
      <c r="C70">
        <v>-0.33789999999999998</v>
      </c>
      <c r="D70">
        <v>-0.158</v>
      </c>
    </row>
    <row r="71" spans="2:4">
      <c r="B71">
        <v>68</v>
      </c>
      <c r="C71">
        <v>-0.34139999999999998</v>
      </c>
      <c r="D71">
        <v>-0.16650000000000001</v>
      </c>
    </row>
    <row r="72" spans="2:4">
      <c r="B72">
        <v>69</v>
      </c>
      <c r="C72">
        <v>-0.34399999999999997</v>
      </c>
      <c r="D72">
        <v>-0.1734</v>
      </c>
    </row>
    <row r="73" spans="2:4">
      <c r="B73">
        <v>70</v>
      </c>
      <c r="C73">
        <v>-0.34620000000000001</v>
      </c>
      <c r="D73">
        <v>-0.17930000000000001</v>
      </c>
    </row>
    <row r="74" spans="2:4">
      <c r="B74">
        <v>71</v>
      </c>
      <c r="C74">
        <v>-0.34809999999999997</v>
      </c>
      <c r="D74">
        <v>-0.1845</v>
      </c>
    </row>
    <row r="75" spans="2:4">
      <c r="B75">
        <v>72</v>
      </c>
      <c r="C75">
        <v>-0.3498</v>
      </c>
      <c r="D75">
        <v>-0.18920000000000001</v>
      </c>
    </row>
    <row r="76" spans="2:4">
      <c r="B76">
        <v>73</v>
      </c>
      <c r="C76">
        <v>-0.35109999999999997</v>
      </c>
      <c r="D76">
        <v>-0.19350000000000001</v>
      </c>
    </row>
    <row r="77" spans="2:4">
      <c r="B77">
        <v>74</v>
      </c>
      <c r="C77">
        <v>-0.35109999999999997</v>
      </c>
      <c r="D77">
        <v>-0.19750000000000001</v>
      </c>
    </row>
    <row r="78" spans="2:4">
      <c r="B78">
        <v>75</v>
      </c>
      <c r="C78">
        <v>-0.35109999999999997</v>
      </c>
      <c r="D78">
        <v>-0.20119999999999999</v>
      </c>
    </row>
    <row r="79" spans="2:4">
      <c r="B79">
        <v>76</v>
      </c>
      <c r="C79">
        <v>-0.35109999999999997</v>
      </c>
      <c r="D79">
        <v>-0.2046</v>
      </c>
    </row>
    <row r="80" spans="2:4">
      <c r="B80">
        <v>77</v>
      </c>
      <c r="C80">
        <v>-0.35109999999999997</v>
      </c>
      <c r="D80">
        <v>-0.20780000000000001</v>
      </c>
    </row>
    <row r="81" spans="2:4">
      <c r="B81">
        <v>78</v>
      </c>
      <c r="C81">
        <v>-0.35109999999999997</v>
      </c>
      <c r="D81">
        <v>-0.2109</v>
      </c>
    </row>
    <row r="82" spans="2:4">
      <c r="B82">
        <v>79</v>
      </c>
      <c r="C82">
        <v>-0.35109999999999997</v>
      </c>
      <c r="D82">
        <v>-0.21379999999999999</v>
      </c>
    </row>
    <row r="83" spans="2:4">
      <c r="B83">
        <v>80</v>
      </c>
      <c r="C83">
        <v>-0.35109999999999997</v>
      </c>
      <c r="D83">
        <v>-0.2165</v>
      </c>
    </row>
    <row r="84" spans="2:4">
      <c r="B84">
        <v>81</v>
      </c>
      <c r="C84">
        <v>-0.35109999999999997</v>
      </c>
      <c r="D84">
        <v>-0.21910000000000002</v>
      </c>
    </row>
    <row r="85" spans="2:4">
      <c r="B85">
        <v>82</v>
      </c>
      <c r="C85">
        <v>-0.35109999999999997</v>
      </c>
      <c r="D85">
        <v>-0.22160000000000002</v>
      </c>
    </row>
    <row r="86" spans="2:4">
      <c r="B86">
        <v>83</v>
      </c>
      <c r="C86">
        <v>-0.35109999999999997</v>
      </c>
      <c r="D86">
        <v>-0.224</v>
      </c>
    </row>
    <row r="87" spans="2:4">
      <c r="B87">
        <v>84</v>
      </c>
      <c r="C87">
        <v>-0.35109999999999997</v>
      </c>
      <c r="D87">
        <v>-0.2263</v>
      </c>
    </row>
    <row r="88" spans="2:4">
      <c r="B88">
        <v>85</v>
      </c>
      <c r="C88">
        <v>-0.35109999999999997</v>
      </c>
      <c r="D88">
        <v>-0.22850000000000001</v>
      </c>
    </row>
    <row r="89" spans="2:4">
      <c r="B89">
        <v>86</v>
      </c>
      <c r="C89">
        <v>-0.35109999999999997</v>
      </c>
      <c r="D89">
        <v>-0.23070000000000002</v>
      </c>
    </row>
    <row r="90" spans="2:4">
      <c r="B90">
        <v>87</v>
      </c>
      <c r="C90">
        <v>-0.35109999999999997</v>
      </c>
      <c r="D90">
        <v>-0.23270000000000002</v>
      </c>
    </row>
    <row r="91" spans="2:4">
      <c r="B91">
        <v>88</v>
      </c>
      <c r="C91">
        <v>-0.35109999999999997</v>
      </c>
      <c r="D91">
        <v>-0.23470000000000002</v>
      </c>
    </row>
    <row r="92" spans="2:4">
      <c r="B92">
        <v>89</v>
      </c>
      <c r="C92">
        <v>-0.35109999999999997</v>
      </c>
      <c r="D92">
        <v>-0.2366</v>
      </c>
    </row>
    <row r="93" spans="2:4">
      <c r="B93">
        <v>90</v>
      </c>
      <c r="C93">
        <v>-0.35109999999999997</v>
      </c>
      <c r="D93">
        <v>-0.23850000000000002</v>
      </c>
    </row>
    <row r="94" spans="2:4">
      <c r="B94">
        <v>91</v>
      </c>
      <c r="C94">
        <v>-0.35109999999999997</v>
      </c>
      <c r="D94">
        <v>-0.24030000000000001</v>
      </c>
    </row>
    <row r="95" spans="2:4">
      <c r="B95">
        <v>92</v>
      </c>
      <c r="C95">
        <v>-0.35109999999999997</v>
      </c>
      <c r="D95">
        <v>-0.24200000000000002</v>
      </c>
    </row>
    <row r="96" spans="2:4">
      <c r="B96">
        <v>93</v>
      </c>
      <c r="C96">
        <v>-0.35109999999999997</v>
      </c>
      <c r="D96">
        <v>-0.2437</v>
      </c>
    </row>
    <row r="97" spans="2:4">
      <c r="B97">
        <v>94</v>
      </c>
      <c r="C97">
        <v>-0.35109999999999997</v>
      </c>
      <c r="D97">
        <v>-0.24540000000000001</v>
      </c>
    </row>
    <row r="98" spans="2:4">
      <c r="B98">
        <v>95</v>
      </c>
      <c r="C98">
        <v>-0.35109999999999997</v>
      </c>
      <c r="D98">
        <v>-0.247</v>
      </c>
    </row>
    <row r="99" spans="2:4">
      <c r="B99">
        <v>96</v>
      </c>
      <c r="C99">
        <v>-0.35109999999999997</v>
      </c>
      <c r="D99">
        <v>-0.24860000000000002</v>
      </c>
    </row>
    <row r="100" spans="2:4">
      <c r="B100">
        <v>97</v>
      </c>
      <c r="C100">
        <v>-0.35109999999999997</v>
      </c>
      <c r="D100">
        <v>-0.25009999999999999</v>
      </c>
    </row>
    <row r="101" spans="2:4">
      <c r="B101">
        <v>98</v>
      </c>
      <c r="C101">
        <v>-0.35109999999999997</v>
      </c>
      <c r="D101">
        <v>-0.25160000000000005</v>
      </c>
    </row>
    <row r="102" spans="2:4">
      <c r="B102">
        <v>99</v>
      </c>
      <c r="C102">
        <v>-0.35109999999999997</v>
      </c>
      <c r="D102">
        <v>-0.253</v>
      </c>
    </row>
    <row r="103" spans="2:4">
      <c r="B103">
        <v>100</v>
      </c>
      <c r="C103">
        <v>-0.35109999999999997</v>
      </c>
      <c r="D103">
        <v>-0.25440000000000002</v>
      </c>
    </row>
  </sheetData>
  <mergeCells count="1">
    <mergeCell ref="H6:N6"/>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166AA-1083-4CFF-BA39-F50C7B5FC42D}">
  <dimension ref="A1:B90"/>
  <sheetViews>
    <sheetView workbookViewId="0">
      <selection activeCell="B22" sqref="B22"/>
    </sheetView>
  </sheetViews>
  <sheetFormatPr defaultColWidth="8.81640625" defaultRowHeight="14.5"/>
  <cols>
    <col min="1" max="1" width="27.453125" customWidth="1"/>
    <col min="2" max="2" width="211.453125" customWidth="1"/>
  </cols>
  <sheetData>
    <row r="1" spans="1:2" ht="17.5">
      <c r="A1" s="105" t="s">
        <v>31</v>
      </c>
    </row>
    <row r="2" spans="1:2">
      <c r="B2" t="s">
        <v>257</v>
      </c>
    </row>
    <row r="3" spans="1:2">
      <c r="A3" t="s">
        <v>4</v>
      </c>
      <c r="B3" t="s">
        <v>258</v>
      </c>
    </row>
    <row r="4" spans="1:2">
      <c r="B4" t="s">
        <v>259</v>
      </c>
    </row>
    <row r="5" spans="1:2">
      <c r="B5" t="s">
        <v>260</v>
      </c>
    </row>
    <row r="6" spans="1:2">
      <c r="B6" t="s">
        <v>261</v>
      </c>
    </row>
    <row r="7" spans="1:2">
      <c r="B7" t="s">
        <v>262</v>
      </c>
    </row>
    <row r="8" spans="1:2">
      <c r="B8" t="s">
        <v>263</v>
      </c>
    </row>
    <row r="9" spans="1:2">
      <c r="B9" t="s">
        <v>264</v>
      </c>
    </row>
    <row r="10" spans="1:2">
      <c r="B10" t="s">
        <v>265</v>
      </c>
    </row>
    <row r="11" spans="1:2">
      <c r="B11" t="s">
        <v>266</v>
      </c>
    </row>
    <row r="12" spans="1:2">
      <c r="B12" t="s">
        <v>267</v>
      </c>
    </row>
    <row r="13" spans="1:2">
      <c r="B13" t="s">
        <v>268</v>
      </c>
    </row>
    <row r="14" spans="1:2">
      <c r="B14" t="s">
        <v>269</v>
      </c>
    </row>
    <row r="15" spans="1:2">
      <c r="B15" t="s">
        <v>270</v>
      </c>
    </row>
    <row r="16" spans="1:2">
      <c r="B16" t="s">
        <v>271</v>
      </c>
    </row>
    <row r="17" spans="2:2">
      <c r="B17" t="s">
        <v>272</v>
      </c>
    </row>
    <row r="18" spans="2:2">
      <c r="B18" t="s">
        <v>273</v>
      </c>
    </row>
    <row r="19" spans="2:2">
      <c r="B19" t="s">
        <v>274</v>
      </c>
    </row>
    <row r="20" spans="2:2">
      <c r="B20" t="s">
        <v>275</v>
      </c>
    </row>
    <row r="21" spans="2:2">
      <c r="B21" t="s">
        <v>276</v>
      </c>
    </row>
    <row r="22" spans="2:2">
      <c r="B22" t="s">
        <v>277</v>
      </c>
    </row>
    <row r="23" spans="2:2">
      <c r="B23" t="s">
        <v>278</v>
      </c>
    </row>
    <row r="24" spans="2:2">
      <c r="B24" t="s">
        <v>279</v>
      </c>
    </row>
    <row r="25" spans="2:2">
      <c r="B25" t="s">
        <v>280</v>
      </c>
    </row>
    <row r="26" spans="2:2">
      <c r="B26" t="s">
        <v>281</v>
      </c>
    </row>
    <row r="27" spans="2:2">
      <c r="B27" t="s">
        <v>282</v>
      </c>
    </row>
    <row r="28" spans="2:2">
      <c r="B28" t="s">
        <v>283</v>
      </c>
    </row>
    <row r="29" spans="2:2">
      <c r="B29" t="s">
        <v>284</v>
      </c>
    </row>
    <row r="30" spans="2:2">
      <c r="B30" t="s">
        <v>285</v>
      </c>
    </row>
    <row r="31" spans="2:2">
      <c r="B31" t="s">
        <v>286</v>
      </c>
    </row>
    <row r="32" spans="2:2">
      <c r="B32" t="s">
        <v>287</v>
      </c>
    </row>
    <row r="33" spans="1:2">
      <c r="B33" t="s">
        <v>288</v>
      </c>
    </row>
    <row r="34" spans="1:2">
      <c r="B34" t="s">
        <v>289</v>
      </c>
    </row>
    <row r="35" spans="1:2">
      <c r="B35" t="s">
        <v>290</v>
      </c>
    </row>
    <row r="36" spans="1:2">
      <c r="B36" t="s">
        <v>291</v>
      </c>
    </row>
    <row r="37" spans="1:2">
      <c r="B37" t="s">
        <v>292</v>
      </c>
    </row>
    <row r="38" spans="1:2">
      <c r="B38" t="s">
        <v>293</v>
      </c>
    </row>
    <row r="39" spans="1:2">
      <c r="B39" t="s">
        <v>294</v>
      </c>
    </row>
    <row r="40" spans="1:2">
      <c r="B40" t="s">
        <v>295</v>
      </c>
    </row>
    <row r="41" spans="1:2">
      <c r="B41" t="s">
        <v>296</v>
      </c>
    </row>
    <row r="42" spans="1:2">
      <c r="B42" t="s">
        <v>297</v>
      </c>
    </row>
    <row r="43" spans="1:2">
      <c r="B43" t="s">
        <v>298</v>
      </c>
    </row>
    <row r="44" spans="1:2">
      <c r="B44" t="s">
        <v>299</v>
      </c>
    </row>
    <row r="45" spans="1:2">
      <c r="B45" t="s">
        <v>300</v>
      </c>
    </row>
    <row r="46" spans="1:2">
      <c r="B46" t="s">
        <v>301</v>
      </c>
    </row>
    <row r="47" spans="1:2">
      <c r="A47" t="s">
        <v>5</v>
      </c>
      <c r="B47" t="s">
        <v>302</v>
      </c>
    </row>
    <row r="48" spans="1:2">
      <c r="B48" t="s">
        <v>303</v>
      </c>
    </row>
    <row r="49" spans="1:2">
      <c r="B49" t="s">
        <v>304</v>
      </c>
    </row>
    <row r="50" spans="1:2">
      <c r="B50" t="s">
        <v>305</v>
      </c>
    </row>
    <row r="51" spans="1:2">
      <c r="B51" t="s">
        <v>306</v>
      </c>
    </row>
    <row r="52" spans="1:2">
      <c r="A52" t="s">
        <v>6</v>
      </c>
      <c r="B52" t="s">
        <v>303</v>
      </c>
    </row>
    <row r="53" spans="1:2">
      <c r="B53" t="s">
        <v>304</v>
      </c>
    </row>
    <row r="54" spans="1:2">
      <c r="B54" t="s">
        <v>305</v>
      </c>
    </row>
    <row r="55" spans="1:2">
      <c r="B55" t="s">
        <v>306</v>
      </c>
    </row>
    <row r="56" spans="1:2">
      <c r="B56" t="s">
        <v>307</v>
      </c>
    </row>
    <row r="57" spans="1:2">
      <c r="B57" t="s">
        <v>258</v>
      </c>
    </row>
    <row r="58" spans="1:2">
      <c r="A58" t="s">
        <v>333</v>
      </c>
      <c r="B58" t="s">
        <v>308</v>
      </c>
    </row>
    <row r="59" spans="1:2">
      <c r="B59" t="s">
        <v>261</v>
      </c>
    </row>
    <row r="60" spans="1:2">
      <c r="B60" t="s">
        <v>309</v>
      </c>
    </row>
    <row r="61" spans="1:2">
      <c r="B61" t="s">
        <v>266</v>
      </c>
    </row>
    <row r="62" spans="1:2">
      <c r="A62" t="s">
        <v>9</v>
      </c>
      <c r="B62" t="s">
        <v>310</v>
      </c>
    </row>
    <row r="63" spans="1:2">
      <c r="B63" t="s">
        <v>311</v>
      </c>
    </row>
    <row r="64" spans="1:2">
      <c r="B64" t="s">
        <v>312</v>
      </c>
    </row>
    <row r="65" spans="1:2">
      <c r="B65" t="s">
        <v>313</v>
      </c>
    </row>
    <row r="66" spans="1:2">
      <c r="B66" t="s">
        <v>314</v>
      </c>
    </row>
    <row r="67" spans="1:2">
      <c r="B67" t="s">
        <v>315</v>
      </c>
    </row>
    <row r="68" spans="1:2">
      <c r="A68" t="s">
        <v>11</v>
      </c>
      <c r="B68" t="s">
        <v>144</v>
      </c>
    </row>
    <row r="69" spans="1:2">
      <c r="B69" t="s">
        <v>184</v>
      </c>
    </row>
    <row r="70" spans="1:2">
      <c r="B70" t="s">
        <v>307</v>
      </c>
    </row>
    <row r="71" spans="1:2">
      <c r="A71" t="s">
        <v>13</v>
      </c>
      <c r="B71" t="s">
        <v>153</v>
      </c>
    </row>
    <row r="72" spans="1:2">
      <c r="A72" t="s">
        <v>14</v>
      </c>
      <c r="B72" t="s">
        <v>165</v>
      </c>
    </row>
    <row r="73" spans="1:2">
      <c r="B73" t="s">
        <v>316</v>
      </c>
    </row>
    <row r="74" spans="1:2">
      <c r="B74" s="72" t="s">
        <v>317</v>
      </c>
    </row>
    <row r="75" spans="1:2">
      <c r="B75" t="s">
        <v>318</v>
      </c>
    </row>
    <row r="76" spans="1:2">
      <c r="A76" t="s">
        <v>16</v>
      </c>
      <c r="B76" t="s">
        <v>176</v>
      </c>
    </row>
    <row r="77" spans="1:2">
      <c r="B77" t="s">
        <v>177</v>
      </c>
    </row>
    <row r="78" spans="1:2">
      <c r="A78" t="s">
        <v>18</v>
      </c>
      <c r="B78" t="s">
        <v>184</v>
      </c>
    </row>
    <row r="79" spans="1:2">
      <c r="A79" t="s">
        <v>20</v>
      </c>
      <c r="B79" t="s">
        <v>201</v>
      </c>
    </row>
    <row r="80" spans="1:2">
      <c r="A80" t="s">
        <v>28</v>
      </c>
      <c r="B80" s="143" t="s">
        <v>468</v>
      </c>
    </row>
    <row r="81" spans="1:2">
      <c r="A81" t="s">
        <v>445</v>
      </c>
      <c r="B81" s="143" t="s">
        <v>479</v>
      </c>
    </row>
    <row r="82" spans="1:2">
      <c r="B82" s="144" t="s">
        <v>480</v>
      </c>
    </row>
    <row r="83" spans="1:2">
      <c r="B83" s="144" t="s">
        <v>481</v>
      </c>
    </row>
    <row r="84" spans="1:2">
      <c r="B84" s="144" t="s">
        <v>482</v>
      </c>
    </row>
    <row r="85" spans="1:2">
      <c r="B85" s="144" t="s">
        <v>483</v>
      </c>
    </row>
    <row r="86" spans="1:2">
      <c r="B86" s="144" t="s">
        <v>484</v>
      </c>
    </row>
    <row r="87" spans="1:2">
      <c r="B87" s="143" t="s">
        <v>485</v>
      </c>
    </row>
    <row r="88" spans="1:2">
      <c r="B88" s="143" t="s">
        <v>486</v>
      </c>
    </row>
    <row r="89" spans="1:2">
      <c r="B89" s="143" t="s">
        <v>487</v>
      </c>
    </row>
    <row r="90" spans="1:2">
      <c r="B90" t="s">
        <v>490</v>
      </c>
    </row>
  </sheetData>
  <phoneticPr fontId="20" type="noConversion"/>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9D958CB-3DEA-4423-8C75-400A4D147E0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vt:i4>
      </vt:variant>
    </vt:vector>
  </HeadingPairs>
  <TitlesOfParts>
    <vt:vector size="25" baseType="lpstr">
      <vt:lpstr>Outline</vt:lpstr>
      <vt:lpstr>SDS1</vt:lpstr>
      <vt:lpstr>SDS2</vt:lpstr>
      <vt:lpstr>SDS3</vt:lpstr>
      <vt:lpstr>SDS4</vt:lpstr>
      <vt:lpstr>SDS5</vt:lpstr>
      <vt:lpstr>SDS6</vt:lpstr>
      <vt:lpstr>SDS7</vt:lpstr>
      <vt:lpstr>SDS8</vt:lpstr>
      <vt:lpstr>SDS9</vt:lpstr>
      <vt:lpstr>SDS10</vt:lpstr>
      <vt:lpstr>SDS11</vt:lpstr>
      <vt:lpstr>SDS12</vt:lpstr>
      <vt:lpstr>SDS13</vt:lpstr>
      <vt:lpstr>SDS14</vt:lpstr>
      <vt:lpstr>SDS15</vt:lpstr>
      <vt:lpstr>SDS16</vt:lpstr>
      <vt:lpstr>SDS17</vt:lpstr>
      <vt:lpstr>SDS18</vt:lpstr>
      <vt:lpstr>SDS19</vt:lpstr>
      <vt:lpstr>SDS20</vt:lpstr>
      <vt:lpstr>SDS21</vt:lpstr>
      <vt:lpstr>SDS22</vt:lpstr>
      <vt:lpstr>SDS23</vt:lpstr>
      <vt:lpstr>'SDS6'!concrete_thickness_estimation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Kati</dc:creator>
  <cp:keywords/>
  <dc:description/>
  <cp:lastModifiedBy>Elisabeth Van Roijen</cp:lastModifiedBy>
  <cp:revision/>
  <dcterms:created xsi:type="dcterms:W3CDTF">2015-06-05T18:17:20Z</dcterms:created>
  <dcterms:modified xsi:type="dcterms:W3CDTF">2024-02-06T04:46:59Z</dcterms:modified>
  <cp:category/>
  <cp:contentStatus/>
</cp:coreProperties>
</file>