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Yanan\Desktop\response\接收版\"/>
    </mc:Choice>
  </mc:AlternateContent>
  <xr:revisionPtr revIDLastSave="0" documentId="8_{BE7C2EB5-5705-4A38-BFE8-DB2B843BBD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chaeal domain-Gms-homologs" sheetId="3" r:id="rId1"/>
    <sheet name="Ocean-Gms (RPKM)" sheetId="11" r:id="rId2"/>
    <sheet name="Lake-Gms (RPKM)" sheetId="10" r:id="rId3"/>
    <sheet name="GrsA_outgroup sequences" sheetId="12" r:id="rId4"/>
  </sheets>
  <definedNames>
    <definedName name="_xlnm._FilterDatabase" localSheetId="0" hidden="1">'Archaeal domain-Gms-homologs'!$A$1:$G$660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2" i="3" l="1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</calcChain>
</file>

<file path=xl/sharedStrings.xml><?xml version="1.0" encoding="utf-8"?>
<sst xmlns="http://schemas.openxmlformats.org/spreadsheetml/2006/main" count="1318" uniqueCount="627">
  <si>
    <t>Description</t>
  </si>
  <si>
    <t>Scientific Name</t>
  </si>
  <si>
    <t>E-value</t>
  </si>
  <si>
    <t>Identity</t>
  </si>
  <si>
    <t>AA length</t>
  </si>
  <si>
    <t xml:space="preserve">Accession  </t>
  </si>
  <si>
    <t>Asgard 1935183</t>
  </si>
  <si>
    <t>radical SAM protein [Candidatus Odinarchaeota archaeon]</t>
  </si>
  <si>
    <t>Candidatus Odinarchaeota archaeon</t>
  </si>
  <si>
    <t>radical SAM/SPASM domain-containing protein [Candidatus Thorarchaeota archaeon]</t>
  </si>
  <si>
    <t>Candidatus Thorarchaeota archaeon</t>
  </si>
  <si>
    <t>radical SAM protein [Candidatus Odinarchaeum yellowstonii]</t>
  </si>
  <si>
    <t>Candidatus Odinarchaeum yellowstonii</t>
  </si>
  <si>
    <t>hypothetical protein AM324_00495 [Candidatus Thorarchaeota archaeon SMTZ1-83]</t>
  </si>
  <si>
    <t>Candidatus Thorarchaeota archaeon SMTZ1-83</t>
  </si>
  <si>
    <t>hypothetical protein AM325_08390 [Candidatus Thorarchaeota archaeon SMTZ1-45]</t>
  </si>
  <si>
    <t>Candidatus Thorarchaeota archaeon SMTZ1-45</t>
  </si>
  <si>
    <t>radical SAM protein [Candidatus Thorarchaeota archaeon]</t>
  </si>
  <si>
    <t>hypothetical protein C4K49_02460 [Candidatus Thorarchaeota archaeon]</t>
  </si>
  <si>
    <t>radical SAM protein [Candidatus Lokiarchaeota archaeon]</t>
  </si>
  <si>
    <t>Candidatus Lokiarchaeota archaeon</t>
  </si>
  <si>
    <t>hypothetical protein C4K47_07625 [Candidatus Thorarchaeota archaeon]</t>
  </si>
  <si>
    <t>radical SAM protein [Candidatus Heimdallarchaeota archaeon]</t>
  </si>
  <si>
    <t>Candidatus Heimdallarchaeota archaeon</t>
  </si>
  <si>
    <t>hypothetical protein CEE43_04935 [Candidatus Lokiarchaeota archaeon Loki_b32]</t>
  </si>
  <si>
    <t>Candidatus Lokiarchaeota archaeon Loki_b32</t>
  </si>
  <si>
    <t>TACK 1783275</t>
  </si>
  <si>
    <t>TPA: radical SAM protein [Acidilobales archaeon]</t>
  </si>
  <si>
    <t>Acidilobales archaeon</t>
  </si>
  <si>
    <t>Predicted Fe-S oxidoreductase [Acidilobus saccharovorans 345-15]</t>
  </si>
  <si>
    <t>Acidilobus saccharovorans 345-15</t>
  </si>
  <si>
    <t>radical SAM protein [Aigarchaeota archaeon]</t>
  </si>
  <si>
    <t>Aigarchaeota archaeon</t>
  </si>
  <si>
    <t>radical SAM additional 4Fe4S-binding domain protein [Caldisphaera lagunensis DSM 15908]</t>
  </si>
  <si>
    <t>Caldisphaera lagunensis DSM 15908</t>
  </si>
  <si>
    <t>radical SAM/SPASM domain-containing protein [Caldisphaera sp.]</t>
  </si>
  <si>
    <t>Caldisphaera sp.</t>
  </si>
  <si>
    <t>radical SAM protein [Caldisphaeraceae archaeon]</t>
  </si>
  <si>
    <t>Caldisphaeraceae archaeon</t>
  </si>
  <si>
    <t>Radical SAM domain protein [Caldivirga maquilingensis IC-167]</t>
  </si>
  <si>
    <t>Caldivirga maquilingensis IC-167</t>
  </si>
  <si>
    <t>heme biosynthesis protein [Caldivirga sp. JCHS_4]</t>
  </si>
  <si>
    <t>Caldivirga sp. JCHS_4</t>
  </si>
  <si>
    <t>hypothetical protein DRO33_04345 [Candidatus Bathyarchaeota archaeon]</t>
  </si>
  <si>
    <t>Candidatus Bathyarchaeota archaeon</t>
  </si>
  <si>
    <t>radical SAM protein [Candidatus Bathyarchaeota archaeon]</t>
  </si>
  <si>
    <t>radical SAM/SPASM domain-containing protein [Candidatus Bathyarchaeota archaeon]</t>
  </si>
  <si>
    <t>TPA: radical SAM protein [Candidatus Bathyarchaeota archaeon]</t>
  </si>
  <si>
    <t>radical SAM protein [Candidatus Bathyarchaeota archaeon A05DMB-2]</t>
  </si>
  <si>
    <t>Candidatus Bathyarchaeota archaeon A05DMB-2</t>
  </si>
  <si>
    <t>radical SAM protein [Candidatus Bathyarchaeota archaeon A05DMB-3]</t>
  </si>
  <si>
    <t>Candidatus Bathyarchaeota archaeon A05DMB-3</t>
  </si>
  <si>
    <t>radical SAM protein [Candidatus Bathyarchaeota archaeon A05DMB-4]</t>
  </si>
  <si>
    <t>Candidatus Bathyarchaeota archaeon A05DMB-4</t>
  </si>
  <si>
    <t>radical SAM/SPASM domain-containing protein [Candidatus Bathyarchaeota archaeon B24-2]</t>
  </si>
  <si>
    <t>Candidatus Bathyarchaeota archaeon B24-2</t>
  </si>
  <si>
    <t>pyrroloquinoline quinone biosynthesis protein PqqE [Candidatus Bathyarchaeota archaeon BA2]</t>
  </si>
  <si>
    <t>Candidatus Bathyarchaeota archaeon BA2</t>
  </si>
  <si>
    <t>radical SAM protein [Candidatus Brockarchaeota archaeon]</t>
  </si>
  <si>
    <t>Candidatus Brockarchaeota archaeon</t>
  </si>
  <si>
    <t>radical SAM protein [Candidatus Culexarchaeum yellowstonense]</t>
  </si>
  <si>
    <t>Candidatus Culexarchaeum yellowstonense</t>
  </si>
  <si>
    <t>radical SAM/SPASM domain-containing protein [Candidatus Geothermarchaeota archaeon]</t>
  </si>
  <si>
    <t>Candidatus Geothermarchaeota archaeon</t>
  </si>
  <si>
    <t>radical SAM protein [Candidatus Korarchaeota archaeon]</t>
  </si>
  <si>
    <t>Candidatus Korarchaeota archaeon</t>
  </si>
  <si>
    <t>radical SAM/SPASM domain-containing protein [Candidatus Korarchaeota archaeon]</t>
  </si>
  <si>
    <t>radical SAM protein [Candidatus Korarchaeota archaeon NZ13-K]</t>
  </si>
  <si>
    <t>Candidatus Korarchaeota archaeon NZ13-K</t>
  </si>
  <si>
    <t>Radical SAM domain protein [Candidatus Korarchaeum cryptofilum OPF8]</t>
  </si>
  <si>
    <t>Candidatus Korarchaeum cryptofilum OPF8</t>
  </si>
  <si>
    <t>radical SAM protein [Candidatus Methanomethyliaceae archaeon]</t>
  </si>
  <si>
    <t>Candidatus Methanomethyliaceae archaeon</t>
  </si>
  <si>
    <t>radical SAM protein [Candidatus Methanomethylicia archaeon]</t>
  </si>
  <si>
    <t>Candidatus Methanomethylicia archaeon</t>
  </si>
  <si>
    <t>radical SAM protein [Candidatus Methanosuratincola sp.]</t>
  </si>
  <si>
    <t>Candidatus Methanosuratincola sp.</t>
  </si>
  <si>
    <t>Radical SAM domain heme biosynthesis protein [Candidatus Methanosuratincola subterraneus]</t>
  </si>
  <si>
    <t>Candidatus Methanosuratincola subterraneus</t>
  </si>
  <si>
    <t>radical SAM protein [Candidatus Methylarchaceae archaeon HK01B]</t>
  </si>
  <si>
    <t>Candidatus Methylarchaceae archaeon HK01B</t>
  </si>
  <si>
    <t>radical SAM protein [Candidatus Methylarchaceae archaeon HK02M1]</t>
  </si>
  <si>
    <t>Candidatus Methylarchaceae archaeon HK02M1</t>
  </si>
  <si>
    <t>radical SAM protein [Candidatus Methylarchaceae archaeon HK02M2]</t>
  </si>
  <si>
    <t>Candidatus Methylarchaceae archaeon HK02M2</t>
  </si>
  <si>
    <t>radical SAM protein [Candidatus Nezhaarchaeota archaeon]</t>
  </si>
  <si>
    <t>Candidatus Nezhaarchaeota archaeon</t>
  </si>
  <si>
    <t>radical SAM/SPASM domain-containing protein [Candidatus Nezhaarchaeota archaeon WYZ-LMO8]</t>
  </si>
  <si>
    <t>Candidatus Nezhaarchaeota archaeon WYZ-LMO8</t>
  </si>
  <si>
    <t>hypothetical protein B9J98_02920 [Candidatus Terraquivivens tikiterensis]</t>
  </si>
  <si>
    <t>Candidatus Terraquivivens tikiterensis</t>
  </si>
  <si>
    <t>radical SAM/SPASM domain-containing protein [Candidatus Verstraetearchaeota archaeon]</t>
  </si>
  <si>
    <t>Candidatus Verstraetearchaeota archaeon</t>
  </si>
  <si>
    <t>radical SAM protein [Candidatus Verstraetearchaeota archaeon]</t>
  </si>
  <si>
    <t>Radical SAM domain heme biosynthesis protein [Conexivisphaera calida]</t>
  </si>
  <si>
    <t>Conexivisphaera calida</t>
  </si>
  <si>
    <t>radical SAM protein [Desulfurococcaceae archaeon]</t>
  </si>
  <si>
    <t>Desulfurococcaceae archaeon</t>
  </si>
  <si>
    <t>radical SAM protein [Desulfurococcales archaeon]</t>
  </si>
  <si>
    <t>Desulfurococcales archaeon</t>
  </si>
  <si>
    <t>TPA: radical SAM protein [Desulfurococcales archaeon]</t>
  </si>
  <si>
    <t>radical SAM/SPASM domain-containing protein [Desulfurococcales archaeon ex4484_42]</t>
  </si>
  <si>
    <t>Desulfurococcales archaeon ex4484_42</t>
  </si>
  <si>
    <t>radical SAM/SPASM domain-containing protein [Hyperthermus sp.]</t>
  </si>
  <si>
    <t>Hyperthermus sp.</t>
  </si>
  <si>
    <t>Radical SAM domain protein [Ignicoccus hospitalis KIN4/I]</t>
  </si>
  <si>
    <t>Ignicoccus hospitalis KIN4/I</t>
  </si>
  <si>
    <t>heme biosynthesis protein [Ignicoccus islandicus DSM 13165]</t>
  </si>
  <si>
    <t>Ignicoccus islandicus DSM 13165</t>
  </si>
  <si>
    <t>heme biosynthesis protein [Ignicoccus pacificus DSM 13166]</t>
  </si>
  <si>
    <t>Ignicoccus pacificus DSM 13166</t>
  </si>
  <si>
    <t>Radical SAM domain protein [Ignisphaera aggregans DSM 17230]</t>
  </si>
  <si>
    <t>Ignisphaera aggregans DSM 17230</t>
  </si>
  <si>
    <t>radical SAM protein [Ignisphaera sp.]</t>
  </si>
  <si>
    <t>Ignisphaera sp.</t>
  </si>
  <si>
    <t>TPA: radical SAM protein [Ignisphaera sp.]</t>
  </si>
  <si>
    <t>hypothetical protein AC477_02350 [miscellaneous Crenarchaeota group-1 archaeon SG8-32-1]</t>
  </si>
  <si>
    <t>miscellaneous Crenarchaeota group-1 archaeon SG8-32-1</t>
  </si>
  <si>
    <t>hypothetical protein AC478_00240 [miscellaneous Crenarchaeota group-1 archaeon SG8-32-3]</t>
  </si>
  <si>
    <t>miscellaneous Crenarchaeota group-1 archaeon SG8-32-3</t>
  </si>
  <si>
    <t>hypothetical protein AC479_02010 [miscellaneous Crenarchaeota group-6 archaeon AD8-1]</t>
  </si>
  <si>
    <t>miscellaneous Crenarchaeota group-6 archaeon AD8-1</t>
  </si>
  <si>
    <t>radical SAM protein [Nitrososphaeria archaeon]</t>
  </si>
  <si>
    <t>Nitrososphaeria archaeon</t>
  </si>
  <si>
    <t>TPA: radical SAM protein [Nitrososphaeria archaeon]</t>
  </si>
  <si>
    <t>radical SAM protein [Nitrososphaerota archaeon]</t>
  </si>
  <si>
    <t>Nitrososphaerota archaeon</t>
  </si>
  <si>
    <t>radical SAM/SPASM domain-containing protein [Nitrososphaerota archaeon]</t>
  </si>
  <si>
    <t>TPA: radical SAM protein [Pyrodictiaceae archaeon]</t>
  </si>
  <si>
    <t>Pyrodictiaceae archaeon</t>
  </si>
  <si>
    <t>heme biosynthesis protein [Pyrodictium occultum]</t>
  </si>
  <si>
    <t>Pyrodictium occultum</t>
  </si>
  <si>
    <t>TPA: radical SAM protein [Pyrodictium sp.]</t>
  </si>
  <si>
    <t>Pyrodictium sp.</t>
  </si>
  <si>
    <t>Radical SAM domain protein [Staphylothermus marinus F1]</t>
  </si>
  <si>
    <t>Staphylothermus marinus F1</t>
  </si>
  <si>
    <t>radical SAM protein [Staphylothermus sp.]</t>
  </si>
  <si>
    <t>Staphylothermus sp.</t>
  </si>
  <si>
    <t>radical SAM protein [Sulfolobus sp.]</t>
  </si>
  <si>
    <t>Sulfolobus sp.</t>
  </si>
  <si>
    <t>heme biosynthesis protein [Thermocladium modestius]</t>
  </si>
  <si>
    <t>Thermocladium modestius</t>
  </si>
  <si>
    <t>heme biosynthesis protein [Thermocladium sp. ECH_B]</t>
  </si>
  <si>
    <t>Thermocladium sp. ECH_B</t>
  </si>
  <si>
    <t>radical SAM protein [Thermoproteaceae archaeon]</t>
  </si>
  <si>
    <t>Thermoproteaceae archaeon</t>
  </si>
  <si>
    <t>radical SAM protein [Thermoproteales archaeon]</t>
  </si>
  <si>
    <t>Thermoproteales archaeon</t>
  </si>
  <si>
    <t>radical SAM/SPASM domain-containing protein [Thermoprotei archaeon]</t>
  </si>
  <si>
    <t>Thermoprotei archaeon</t>
  </si>
  <si>
    <t>radical SAM protein [Thermoprotei archaeon]</t>
  </si>
  <si>
    <t>hypothetical protein DRJ40_07765 [Thermoprotei archaeon]</t>
  </si>
  <si>
    <t>radical SAM protein [Thermoproteota archaeon]</t>
  </si>
  <si>
    <t>Thermoproteota archaeon</t>
  </si>
  <si>
    <t>heme biosynthesis protein [Thermoproteus sp. CIS_19]</t>
  </si>
  <si>
    <t>Thermoproteus sp. CIS_19</t>
  </si>
  <si>
    <t>putative Fe-S oxidoreductase [uncultured Acidilobus sp. CIS]</t>
  </si>
  <si>
    <t>uncultured Acidilobus sp. CIS</t>
  </si>
  <si>
    <t>Radical SAM domain protein [Vulcanisaeta distributa DSM 14429]</t>
  </si>
  <si>
    <t>Vulcanisaeta distributa DSM 14429</t>
  </si>
  <si>
    <t>heme biosynthesis protein [Vulcanisaeta sp. AZ3]</t>
  </si>
  <si>
    <t>Vulcanisaeta sp. AZ3</t>
  </si>
  <si>
    <t>RLG39720.1</t>
  </si>
  <si>
    <t>TRO50311.1</t>
  </si>
  <si>
    <t>Euryarchaeota 28890</t>
  </si>
  <si>
    <t>radical SAM protein [Archaeoglobaceae archaeon]</t>
  </si>
  <si>
    <t>Archaeoglobaceae archaeon</t>
  </si>
  <si>
    <t>radical SAM protein [Archaeoglobus sp.]</t>
  </si>
  <si>
    <t>Archaeoglobus sp.</t>
  </si>
  <si>
    <t>hypothetical protein AYK19_08540 [Theionarchaea archaeon DG-70-1]</t>
  </si>
  <si>
    <t>Theionarchaea archaeon DG-70-1</t>
  </si>
  <si>
    <t>radical SAM protein [Methanocaldococcus villosus KIN24-T80]</t>
  </si>
  <si>
    <t>Methanocaldococcus villosus KIN24-T80</t>
  </si>
  <si>
    <t>radical SAM protein [Methanothermobacter thermautotrophicus]</t>
  </si>
  <si>
    <t>Methanothermobacter thermautotrophicus</t>
  </si>
  <si>
    <t>predicted Fe-S oxidoreductase [Methanothermobacter marburgensis str. Marburg]</t>
  </si>
  <si>
    <t>Methanothermobacter marburgensis str. Marburg</t>
  </si>
  <si>
    <t>radical SAM protein [Methanocorpusculum sp.]</t>
  </si>
  <si>
    <t>Methanocorpusculum sp.</t>
  </si>
  <si>
    <t>radical SAM/SPASM domain-containing protein [Archaeoglobales archaeon]</t>
  </si>
  <si>
    <t>Archaeoglobales archaeon</t>
  </si>
  <si>
    <t>TPA: radical SAM protein [Archaeoglobus profundus]</t>
  </si>
  <si>
    <t>Archaeoglobus profundus</t>
  </si>
  <si>
    <t>hypothetical protein AKJ57_03075 [candidate division MSBL1 archaeon SCGC-AAA259A05]</t>
  </si>
  <si>
    <t>candidate division MSBL1 archaeon SCGC-AAA259A05</t>
  </si>
  <si>
    <t>radical SAM/SPASM domain-containing protein [Hadesarchaea archaeon]</t>
  </si>
  <si>
    <t>Hadesarchaea archaeon</t>
  </si>
  <si>
    <t>hypothetical protein AKJ39_03315 [candidate division MSBL1 archaeon SCGC-AAA259J03]</t>
  </si>
  <si>
    <t>candidate division MSBL1 archaeon SCGC-AAA259J03</t>
  </si>
  <si>
    <t>hypothetical protein AKJ39_01065 [candidate division MSBL1 archaeon SCGC-AAA259J03]</t>
  </si>
  <si>
    <t>radical SAM protein [Methanomicrobiales archaeon]</t>
  </si>
  <si>
    <t>Methanomicrobiales archaeon</t>
  </si>
  <si>
    <t>radical SAM protein [Candidatus Syntrophoarchaeum butanivorans]</t>
  </si>
  <si>
    <t>Candidatus Syntrophoarchaeum butanivorans</t>
  </si>
  <si>
    <t>Radical SAM domain protein [Archaeoglobus profundus DSM 5631]</t>
  </si>
  <si>
    <t>Archaeoglobus profundus DSM 5631</t>
  </si>
  <si>
    <t>radical SAM/SPASM domain-containing protein [Archaeoglobi archaeon]</t>
  </si>
  <si>
    <t>Archaeoglobi archaeon</t>
  </si>
  <si>
    <t>radical SAM additional 4Fe4S-binding domain protein [Archaeoglobus sulfaticallidus PM70-1]</t>
  </si>
  <si>
    <t>Archaeoglobus sulfaticallidus PM70-1</t>
  </si>
  <si>
    <t>hypothetical protein AVW05_00875 [Hadesarchaea archaeon DG-33]</t>
  </si>
  <si>
    <t>Hadesarchaea archaeon DG-33</t>
  </si>
  <si>
    <t>Radical SAM domain protein [Methanothermococcus okinawensis IH1]</t>
  </si>
  <si>
    <t>Methanothermococcus okinawensis IH1</t>
  </si>
  <si>
    <t>Radical SAM domain protein [Methanocaldococcus fervens AG86]</t>
  </si>
  <si>
    <t>Methanocaldococcus fervens AG86</t>
  </si>
  <si>
    <t>Radical SAM domain heme biosynthesis protein [Methanocaldococcus lauensis]</t>
  </si>
  <si>
    <t>Methanocaldococcus lauensis</t>
  </si>
  <si>
    <t>radical SAM/SPASM domain-containing protein [Archaeoglobales archaeon ex4484_92]</t>
  </si>
  <si>
    <t>Archaeoglobales archaeon ex4484_92</t>
  </si>
  <si>
    <t>Radical SAM domain protein [Methanocaldococcus sp. FS406-22]</t>
  </si>
  <si>
    <t>Methanocaldococcus sp. FS406-22</t>
  </si>
  <si>
    <t>TPA: radical SAM protein [Archaeoglobaceae archaeon]</t>
  </si>
  <si>
    <t>heme biosynthesis protein (nirJ-2) [Archaeoglobus fulgidus DSM 4304]</t>
  </si>
  <si>
    <t>Archaeoglobus fulgidus DSM 4304</t>
  </si>
  <si>
    <t>Fe-S oxidoreductase fused to a metal-binding domain [Methanopyrus kandleri AV19]</t>
  </si>
  <si>
    <t>Methanopyrus kandleri AV19</t>
  </si>
  <si>
    <t>radical SAM protein [Methanophagales archaeon ANME-1-THS]</t>
  </si>
  <si>
    <t>Methanophagales archaeon ANME-1-THS</t>
  </si>
  <si>
    <t>radical SAM protein [Methanomicrobia archaeon]</t>
  </si>
  <si>
    <t>Methanomicrobia archaeon</t>
  </si>
  <si>
    <t>Radical SAM domain protein [Methanocaldococcus vulcanius M7]</t>
  </si>
  <si>
    <t>Methanocaldococcus vulcanius M7</t>
  </si>
  <si>
    <t>radical SAM protein [Candidatus Methanolliviera hydrocarbonicum]</t>
  </si>
  <si>
    <t>Candidatus Methanolliviera hydrocarbonicum</t>
  </si>
  <si>
    <t>antilisterial bacteriocin subtilosin biosynthesis protein AlbA [Methanobrevibacter woesei]</t>
  </si>
  <si>
    <t>Methanobrevibacter woesei</t>
  </si>
  <si>
    <t>hypothetical protein AKJ40_02640 [candidate division MSBL1 archaeon SCGC-AAA259M10]</t>
  </si>
  <si>
    <t>candidate division MSBL1 archaeon SCGC-AAA259M10</t>
  </si>
  <si>
    <t>TPA: radical SAM protein [Methanomicrobia archaeon]</t>
  </si>
  <si>
    <t>radical SAM/SPASM domain-containing protein [Thermococci archaeon]</t>
  </si>
  <si>
    <t>Thermococci archaeon</t>
  </si>
  <si>
    <t>radical SAM/SPASM domain-containing protein [Euryarchaeota archaeon ex4484_162]</t>
  </si>
  <si>
    <t>Euryarchaeota archaeon ex4484_162</t>
  </si>
  <si>
    <t>Coenzyme PQQ synthesis protein E [Candidatus Methanoperedenaceae archaeon GB37]</t>
  </si>
  <si>
    <t>Candidatus Methanoperedenaceae archaeon GB37</t>
  </si>
  <si>
    <t>radical SAM protein [Hadesarchaea archaeon]</t>
  </si>
  <si>
    <t>radical SAM protein [Methanopyri archaeon]</t>
  </si>
  <si>
    <t>Methanopyri archaeon</t>
  </si>
  <si>
    <t>Radical SAM additional 4Fe4S-binding domain protein [Euryarchaeota archaeon 55_53]</t>
  </si>
  <si>
    <t>Euryarchaeota archaeon 55_53</t>
  </si>
  <si>
    <t>radical SAM protein [Theionarchaea archaeon]</t>
  </si>
  <si>
    <t>Theionarchaea archaeon</t>
  </si>
  <si>
    <t>hypothetical protein AYK19_12640 [Theionarchaea archaeon DG-70-1]</t>
  </si>
  <si>
    <t>hypothetical protein AYK18_16815 [Theionarchaea archaeon DG-70]</t>
  </si>
  <si>
    <t>Theionarchaea archaeon DG-70</t>
  </si>
  <si>
    <t>radical SAM protein [Candidatus Methanofastidiosa archaeon]</t>
  </si>
  <si>
    <t>Candidatus Methanofastidiosa archaeon</t>
  </si>
  <si>
    <t>pyrroloquinoline quinone biosynthesis protein PqqE [Candidatus Methanofastidiosum methylthiophilus]</t>
  </si>
  <si>
    <t>Candidatus Methanofastidiosum methylthiophilus</t>
  </si>
  <si>
    <t>radical SAM protein [Candidatus Methanofastidiosum sp.]</t>
  </si>
  <si>
    <t>Candidatus Methanofastidiosum sp.</t>
  </si>
  <si>
    <t>radical SAM protein [Methanosphaera stadtmanae]</t>
  </si>
  <si>
    <t>Methanosphaera stadtmanae</t>
  </si>
  <si>
    <t>radical SAM/SPASM domain-containing protein [Methanobrevibacter sp. TLL-48-HuF1]</t>
  </si>
  <si>
    <t>Methanobrevibacter sp. TLL-48-HuF1</t>
  </si>
  <si>
    <t>radical SAM protein [Methanolinea sp.]</t>
  </si>
  <si>
    <t>Methanolinea sp.</t>
  </si>
  <si>
    <t>Radical SAM domain heme biosynthesis protein [Methanosarcina barkeri str. Wiesmoor]</t>
  </si>
  <si>
    <t>Methanosarcina barkeri str. Wiesmoor</t>
  </si>
  <si>
    <t>radical SAM protein [Thermococcus guaymasensis DSM 11113]</t>
  </si>
  <si>
    <t>Thermococcus guaymasensis DSM 11113</t>
  </si>
  <si>
    <t>pyrroloquinoline quinone biosynthesis protein PqqE [Euryarchaeota archaeon ADurb.Bin009]</t>
  </si>
  <si>
    <t>Euryarchaeota archaeon ADurb.Bin009</t>
  </si>
  <si>
    <t>heme biosynthesis protein [Methanoculleus bourgensis]</t>
  </si>
  <si>
    <t>Methanoculleus bourgensis</t>
  </si>
  <si>
    <t>radical SAM protein [Candidatus Methanoculleus thermohydrogenotrophicum]</t>
  </si>
  <si>
    <t>Candidatus Methanoculleus thermohydrogenotrophicum</t>
  </si>
  <si>
    <t>radical SAM protein [Archaeoglobi archaeon]</t>
  </si>
  <si>
    <t>radical SAM/SPASM domain-containing protein [Methanosphaera sp. SHI1033]</t>
  </si>
  <si>
    <t>Methanosphaera sp. SHI1033</t>
  </si>
  <si>
    <t>radical SAM protein [Methanohalophilus sp. RSK]</t>
  </si>
  <si>
    <t>Methanohalophilus sp. RSK</t>
  </si>
  <si>
    <t>heme biosynthesis protein (NirJ-2) [Methanohalophilus sp. 2-GBenrich]</t>
  </si>
  <si>
    <t>Methanohalophilus sp. 2-GBenrich</t>
  </si>
  <si>
    <t>Radical SAM domain protein [Methanothermus fervidus DSM 2088]</t>
  </si>
  <si>
    <t>Methanothermus fervidus DSM 2088</t>
  </si>
  <si>
    <t>radical SAM/SPASM domain-containing protein [Methanophagales archaeon]</t>
  </si>
  <si>
    <t>Methanophagales archaeon</t>
  </si>
  <si>
    <t>hypothetical protein AVW05_01155 [Hadesarchaea archaeon DG-33]</t>
  </si>
  <si>
    <t>hypothetical protein MTTB_12970 [Methanothermobacter tenebrarum]</t>
  </si>
  <si>
    <t>Methanothermobacter tenebrarum</t>
  </si>
  <si>
    <t>hypothetical protein AKJ47_02190 [candidate division MSBL1 archaeon SCGC-AAA261G05]</t>
  </si>
  <si>
    <t>candidate division MSBL1 archaeon SCGC-AAA261G05</t>
  </si>
  <si>
    <t>radical SAM protein [Methanophagales archaeon]</t>
  </si>
  <si>
    <t>radical SAM/SPASM domain-containing protein [Methanosarcinales archaeon]</t>
  </si>
  <si>
    <t>Methanosarcinales archaeon</t>
  </si>
  <si>
    <t>radical SAM domain protein [Methanothermobacter sp. MT-2]</t>
  </si>
  <si>
    <t>Methanothermobacter sp. MT-2</t>
  </si>
  <si>
    <t>Radical SAM domain protein [Methanolacinia petrolearia DSM 11571]</t>
  </si>
  <si>
    <t>Methanolacinia petrolearia DSM 11571</t>
  </si>
  <si>
    <t>radical SAM protein [Methanobacteriaceae archaeon]</t>
  </si>
  <si>
    <t>Methanobacteriaceae archaeon</t>
  </si>
  <si>
    <t>radical SAM protein with 4Fe4S-binding SPASM domain [Methanolinea mesophila]</t>
  </si>
  <si>
    <t>Methanolinea mesophila</t>
  </si>
  <si>
    <t>radical SAM protein [Methanobacterium sp.]</t>
  </si>
  <si>
    <t>Methanobacterium sp.</t>
  </si>
  <si>
    <t>radical SAM/SPASM domain-containing protein [Methanobrevibacter sp. 87.7]</t>
  </si>
  <si>
    <t>Methanobrevibacter sp. 87.7</t>
  </si>
  <si>
    <t>radical SAM protein [Euryarchaeota archaeon]</t>
  </si>
  <si>
    <t>Euryarchaeota archaeon</t>
  </si>
  <si>
    <t>TPA: radical SAM protein [Euryarchaeota archaeon]</t>
  </si>
  <si>
    <t>radical SAM protein with 4Fe4S-binding SPASM domain [Methanomicrobium sp. W14]</t>
  </si>
  <si>
    <t>Methanomicrobium sp. W14</t>
  </si>
  <si>
    <t>radical SAM protein [Thermococcus sp. M39]</t>
  </si>
  <si>
    <t>Thermococcus sp. M39</t>
  </si>
  <si>
    <t>hypothetical protein APZ16_03590 [Candidatus Hadarchaeum yellowstonense]</t>
  </si>
  <si>
    <t>Candidatus Hadarchaeum yellowstonense</t>
  </si>
  <si>
    <t>radical SAM protein [Thermococcus sp.]</t>
  </si>
  <si>
    <t>Thermococcus sp.</t>
  </si>
  <si>
    <t>radical SAM domain-containing protein [Methanobrevibacter sp. AbM4]</t>
  </si>
  <si>
    <t>Methanobrevibacter sp. AbM4</t>
  </si>
  <si>
    <t>radical SAM/SPASM domain-containing protein [Methanobacterium sp. BRmetb2]</t>
  </si>
  <si>
    <t>Methanobacterium sp. BRmetb2</t>
  </si>
  <si>
    <t>Antilisterial bacteriocin subtilosin biosynthesis protein AlbA [Methanothermobacter sp. EMTCatA1]</t>
  </si>
  <si>
    <t>Methanothermobacter sp. EMTCatA1</t>
  </si>
  <si>
    <t>Radical SAM domain protein [Methanobacterium lacus]</t>
  </si>
  <si>
    <t>Methanobacterium lacus</t>
  </si>
  <si>
    <t>radical SAM protein [Methanobacterium sp. VT]</t>
  </si>
  <si>
    <t>Methanobacterium sp. VT</t>
  </si>
  <si>
    <t>antilisterial bacteriocin subtilosin biosynthesis protein AlbA [Methanobrevibacter cuticularis]</t>
  </si>
  <si>
    <t>Methanobrevibacter cuticularis</t>
  </si>
  <si>
    <t>heme biosynthesis protein [Methanobacterium ferruginis]</t>
  </si>
  <si>
    <t>Methanobacterium ferruginis</t>
  </si>
  <si>
    <t>radical SAM/SPASM domain-containing protein [Methanobacterium sp. A39]</t>
  </si>
  <si>
    <t>Methanobacterium sp. A39</t>
  </si>
  <si>
    <t>pyrroloquinoline quinone biosynthesis protein PqqE [Methanobacterium sp. PtaU1.Bin097]</t>
  </si>
  <si>
    <t>Methanobacterium sp. PtaU1.Bin097</t>
  </si>
  <si>
    <t>Radical SAM domain-containing protein [Methanobacterium sp. MB1]</t>
  </si>
  <si>
    <t>Methanobacterium sp. MB1</t>
  </si>
  <si>
    <t>radical SAM domain-containing protein [Methanobacterium formicicum]</t>
  </si>
  <si>
    <t>Methanobacterium formicicum</t>
  </si>
  <si>
    <t>pyrroloquinoline quinone biosynthesis protein PqqE [Methanobacterium sp. PtaB.Bin024]</t>
  </si>
  <si>
    <t>Methanobacterium sp. PtaB.Bin024</t>
  </si>
  <si>
    <t>radical SAM protein [Methanobrevibacter sp. TMH8]</t>
  </si>
  <si>
    <t>Methanobrevibacter sp. TMH8</t>
  </si>
  <si>
    <t>radical SAM protein [Thermococcus sp. 101 C5]</t>
  </si>
  <si>
    <t>Thermococcus sp. 101 C5</t>
  </si>
  <si>
    <t>radical SAM/SPASM domain-containing protein [Thermococcus chitonophagus]</t>
  </si>
  <si>
    <t>Thermococcus chitonophagus</t>
  </si>
  <si>
    <t>radical SAM domain heme biosynthesis protein [Thermococcus barophilus MP]</t>
  </si>
  <si>
    <t>Thermococcus barophilus MP</t>
  </si>
  <si>
    <t>Radical SAM domain protein [Methanobacterium paludis]</t>
  </si>
  <si>
    <t>Methanobacterium paludis</t>
  </si>
  <si>
    <t>radical SAM protein [Thermococcus sp. Bubb.Bath]</t>
  </si>
  <si>
    <t>Thermococcus sp. Bubb.Bath</t>
  </si>
  <si>
    <t>heme biosynthesis protein [Pyrococcus sp. NA2]</t>
  </si>
  <si>
    <t>Pyrococcus sp. NA2</t>
  </si>
  <si>
    <t>radical SAM/SPASM domain-containing protein [Thermococcus celer Vu 13 = JCM 8558]</t>
  </si>
  <si>
    <t>Thermococcus celer Vu 13 = JCM 8558</t>
  </si>
  <si>
    <t>552aa long hypothetical nitrite reductase [Pyrococcus horikoshii OT3]</t>
  </si>
  <si>
    <t>Pyrococcus horikoshii OT3</t>
  </si>
  <si>
    <t>heme biosynthesis protein [Pyrococcus kukulkanii]</t>
  </si>
  <si>
    <t>Pyrococcus kukulkanii</t>
  </si>
  <si>
    <t>radical SAM/SPASM domain-containing protein [Thermococcus peptonophilus]</t>
  </si>
  <si>
    <t>Thermococcus peptonophilus</t>
  </si>
  <si>
    <t>Predicted Fe-S oxidoreductase, containing Elp3 domain [Thermococcus gammatolerans EJ3]</t>
  </si>
  <si>
    <t>Thermococcus gammatolerans EJ3</t>
  </si>
  <si>
    <t>radical SAM/SPASM domain-containing protein [Thermococcus siculi]</t>
  </si>
  <si>
    <t>Thermococcus siculi</t>
  </si>
  <si>
    <t>hypothetical protein MarbSA_19400 [Methanobrevibacter arboriphilus]</t>
  </si>
  <si>
    <t>Methanobrevibacter arboriphilus</t>
  </si>
  <si>
    <t>DPANN 1783276</t>
  </si>
  <si>
    <t>radical SAM/SPASM domain-containing protein [Candidatus Woesearchaeota archaeon]</t>
  </si>
  <si>
    <t>Candidatus Woesearchaeota archaeon</t>
  </si>
  <si>
    <t>radical SAM protein [Candidatus Diapherotrites archaeon]</t>
  </si>
  <si>
    <t>Candidatus Diapherotrites archaeon</t>
  </si>
  <si>
    <t>radical SAM protein [Candidatus Aenigmarchaeota archaeon]</t>
  </si>
  <si>
    <t>Candidatus Aenigmarchaeota archaeon</t>
  </si>
  <si>
    <t>radical SAM/SPASM domain-containing protein [Candidatus Aenigmarchaeota archaeon]</t>
  </si>
  <si>
    <t>TPA: radical SAM protein [Candidatus Aenigmarchaeota archaeon]</t>
  </si>
  <si>
    <t>radical SAM protein [Candidatus Woesearchaeota archaeon]</t>
  </si>
  <si>
    <t>radical SAM/SPASM domain-containing protein [Candidatus Micrarchaeota archaeon]</t>
  </si>
  <si>
    <t>Candidatus Micrarchaeota archaeon</t>
  </si>
  <si>
    <t>radical SAM/SPASM domain-containing protein [Candidatus Pacearchaeota archaeon ex4484_71]</t>
  </si>
  <si>
    <t>Candidatus Pacearchaeota archaeon ex4484_71</t>
  </si>
  <si>
    <t>Pacific Ocean</t>
  </si>
  <si>
    <t>BioSample</t>
  </si>
  <si>
    <t xml:space="preserve">SRA </t>
  </si>
  <si>
    <t>Oxygen (μM)</t>
  </si>
  <si>
    <t>Depth (m)</t>
  </si>
  <si>
    <t>Distribution</t>
  </si>
  <si>
    <t>Total reads</t>
  </si>
  <si>
    <t>RPKM</t>
  </si>
  <si>
    <t>Oxygen</t>
  </si>
  <si>
    <t xml:space="preserve">SAMN02905556 </t>
  </si>
  <si>
    <t>SRX648440</t>
  </si>
  <si>
    <t>upper oxic (&gt; 200)</t>
  </si>
  <si>
    <t>seawater</t>
  </si>
  <si>
    <t>Oxic</t>
  </si>
  <si>
    <t xml:space="preserve">SAMN02905557 </t>
  </si>
  <si>
    <t>SRX648442</t>
  </si>
  <si>
    <t>upper OMZ (&lt; 10)</t>
  </si>
  <si>
    <t>Suboxic</t>
  </si>
  <si>
    <t xml:space="preserve">SAMN02905558 </t>
  </si>
  <si>
    <t>SRX648443</t>
  </si>
  <si>
    <t xml:space="preserve">SAMN02905559 </t>
  </si>
  <si>
    <t>SRX648444</t>
  </si>
  <si>
    <t xml:space="preserve">SAMN02905560 </t>
  </si>
  <si>
    <t>SRX648445</t>
  </si>
  <si>
    <t>core OMZ (&lt; 5)</t>
  </si>
  <si>
    <t>SAMN00631613</t>
  </si>
  <si>
    <t>SRX080950</t>
  </si>
  <si>
    <t>deep oxycline (5–50)</t>
  </si>
  <si>
    <t>SAMN00631614</t>
  </si>
  <si>
    <t>SRX080951</t>
  </si>
  <si>
    <t xml:space="preserve">SAMN02317193 </t>
  </si>
  <si>
    <t>SRX342755</t>
  </si>
  <si>
    <r>
      <rPr>
        <sz val="14"/>
        <rFont val="Arial"/>
        <family val="2"/>
      </rPr>
      <t xml:space="preserve">F. J. Stewart, O. Ulloa, E. F. DeLong, </t>
    </r>
    <r>
      <rPr>
        <i/>
        <sz val="14"/>
        <rFont val="Arial"/>
        <family val="2"/>
      </rPr>
      <t>Environ. Microbiol</t>
    </r>
    <r>
      <rPr>
        <sz val="14"/>
        <rFont val="Arial"/>
        <family val="2"/>
      </rPr>
      <t xml:space="preserve">. </t>
    </r>
    <r>
      <rPr>
        <b/>
        <sz val="14"/>
        <rFont val="Arial"/>
        <family val="2"/>
      </rPr>
      <t>14</t>
    </r>
    <r>
      <rPr>
        <sz val="14"/>
        <rFont val="Arial"/>
        <family val="2"/>
      </rPr>
      <t>, 23-40 (2012).</t>
    </r>
  </si>
  <si>
    <t>SAMN18353072</t>
  </si>
  <si>
    <t>SRX10377395</t>
  </si>
  <si>
    <t>anoxic</t>
  </si>
  <si>
    <t>marine sediment</t>
  </si>
  <si>
    <t>Anoxic</t>
  </si>
  <si>
    <t>SAMN18353073</t>
  </si>
  <si>
    <t>SRX10377396</t>
  </si>
  <si>
    <t>SAMN18353074</t>
  </si>
  <si>
    <t>SRX10377397</t>
  </si>
  <si>
    <t>SAMN18353075</t>
  </si>
  <si>
    <t>SRX10377398</t>
  </si>
  <si>
    <t>SAMN18353076</t>
  </si>
  <si>
    <t>SRX10377399</t>
  </si>
  <si>
    <t>SAMN18353077</t>
  </si>
  <si>
    <t>SRX10377400</t>
  </si>
  <si>
    <t>SAMN18353078</t>
  </si>
  <si>
    <t>SRX10377401</t>
  </si>
  <si>
    <t>SAMN18353079</t>
  </si>
  <si>
    <t>SRX10377402</t>
  </si>
  <si>
    <r>
      <rPr>
        <sz val="14"/>
        <rFont val="Arial"/>
        <family val="2"/>
      </rPr>
      <t xml:space="preserve">D. R. Speth et al., </t>
    </r>
    <r>
      <rPr>
        <i/>
        <sz val="14"/>
        <rFont val="Arial"/>
        <family val="2"/>
      </rPr>
      <t>ISME J.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16</t>
    </r>
    <r>
      <rPr>
        <sz val="14"/>
        <rFont val="Arial"/>
        <family val="2"/>
      </rPr>
      <t>, 1750-1764 (2022).</t>
    </r>
  </si>
  <si>
    <t>Black Sea</t>
  </si>
  <si>
    <t>SAMN15667690</t>
  </si>
  <si>
    <t>SRX8846667</t>
  </si>
  <si>
    <t>SAMN15667691</t>
  </si>
  <si>
    <t>SRX8846668</t>
  </si>
  <si>
    <t>SAMN15667692</t>
  </si>
  <si>
    <t>SRX8846674</t>
  </si>
  <si>
    <t>SAMN15667693</t>
  </si>
  <si>
    <t>SRX8846675</t>
  </si>
  <si>
    <t>SAMN15667694</t>
  </si>
  <si>
    <t>SRX8846676</t>
  </si>
  <si>
    <t>SAMN15667695</t>
  </si>
  <si>
    <t>SRX8846677</t>
  </si>
  <si>
    <t>SAMN15667696</t>
  </si>
  <si>
    <t>SRX8846678</t>
  </si>
  <si>
    <t>SAMN15667697</t>
  </si>
  <si>
    <t>SRX8846679</t>
  </si>
  <si>
    <t>SAMN15667698</t>
  </si>
  <si>
    <t>SRX8846680</t>
  </si>
  <si>
    <t>SAMN15667699</t>
  </si>
  <si>
    <t>SRX8846681</t>
  </si>
  <si>
    <t>SAMN15667700</t>
  </si>
  <si>
    <t>SRX8846669</t>
  </si>
  <si>
    <t>SAMN15667701</t>
  </si>
  <si>
    <t>SRX8846670</t>
  </si>
  <si>
    <t>SAMN15667702</t>
  </si>
  <si>
    <t>SRX8846671</t>
  </si>
  <si>
    <t>SAMN15667703</t>
  </si>
  <si>
    <t>SRX8846672</t>
  </si>
  <si>
    <t>SAMN15667704</t>
  </si>
  <si>
    <t>SRX8846673</t>
  </si>
  <si>
    <r>
      <rPr>
        <sz val="14"/>
        <rFont val="Arial"/>
        <family val="2"/>
      </rPr>
      <t xml:space="preserve">M. Sollai, L. Villanueva, E. C. Hopmans, G.-J. Reichart, J. S. Sinninghe Damsté, </t>
    </r>
    <r>
      <rPr>
        <i/>
        <sz val="14"/>
        <rFont val="Arial"/>
        <family val="2"/>
      </rPr>
      <t>Geobiology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17</t>
    </r>
    <r>
      <rPr>
        <sz val="14"/>
        <rFont val="Arial"/>
        <family val="2"/>
      </rPr>
      <t>, 91-109 (2019).</t>
    </r>
  </si>
  <si>
    <r>
      <rPr>
        <sz val="14"/>
        <rFont val="Arial"/>
        <family val="2"/>
      </rPr>
      <t xml:space="preserve">L. Villanueva et al., </t>
    </r>
    <r>
      <rPr>
        <i/>
        <sz val="14"/>
        <rFont val="Arial"/>
        <family val="2"/>
      </rPr>
      <t xml:space="preserve">ISME J. </t>
    </r>
    <r>
      <rPr>
        <b/>
        <sz val="14"/>
        <rFont val="Arial"/>
        <family val="2"/>
      </rPr>
      <t>15</t>
    </r>
    <r>
      <rPr>
        <sz val="14"/>
        <rFont val="Arial"/>
        <family val="2"/>
      </rPr>
      <t>, 168-182 (2021).</t>
    </r>
  </si>
  <si>
    <t>SAMEA5207384</t>
  </si>
  <si>
    <t>ERX3120522</t>
  </si>
  <si>
    <t>sediment</t>
  </si>
  <si>
    <t>ERX3120266</t>
  </si>
  <si>
    <t>SAMN13385563</t>
  </si>
  <si>
    <t>SRX7699232</t>
  </si>
  <si>
    <t>SAMD00203488</t>
  </si>
  <si>
    <t>DRX198030</t>
  </si>
  <si>
    <t xml:space="preserve"> sediment</t>
  </si>
  <si>
    <t>SAMD00203479</t>
  </si>
  <si>
    <t>DRX198021</t>
  </si>
  <si>
    <t>SAMD00203464</t>
  </si>
  <si>
    <t>DRX198006</t>
  </si>
  <si>
    <r>
      <rPr>
        <sz val="14"/>
        <rFont val="Arial"/>
        <family val="2"/>
      </rPr>
      <t>N. Dzhembekova et al.,</t>
    </r>
    <r>
      <rPr>
        <i/>
        <sz val="14"/>
        <rFont val="Arial"/>
        <family val="2"/>
      </rPr>
      <t> </t>
    </r>
    <r>
      <rPr>
        <i/>
        <sz val="14"/>
        <color rgb="FF222222"/>
        <rFont val="Arial"/>
        <family val="2"/>
      </rPr>
      <t>Biodiver. Data J.</t>
    </r>
    <r>
      <rPr>
        <sz val="14"/>
        <color rgb="FF222222"/>
        <rFont val="Arial"/>
        <family val="2"/>
      </rPr>
      <t> </t>
    </r>
    <r>
      <rPr>
        <b/>
        <i/>
        <sz val="14"/>
        <color rgb="FF222222"/>
        <rFont val="Arial"/>
        <family val="2"/>
      </rPr>
      <t>8</t>
    </r>
    <r>
      <rPr>
        <i/>
        <sz val="14"/>
        <color rgb="FF222222"/>
        <rFont val="Arial"/>
        <family val="2"/>
      </rPr>
      <t>, e55172</t>
    </r>
    <r>
      <rPr>
        <sz val="14"/>
        <color rgb="FF222222"/>
        <rFont val="Arial"/>
        <family val="2"/>
      </rPr>
      <t xml:space="preserve"> (2020).</t>
    </r>
  </si>
  <si>
    <r>
      <rPr>
        <sz val="14"/>
        <rFont val="Arial"/>
        <family val="2"/>
      </rPr>
      <t xml:space="preserve">J. F. Couceiro et al., </t>
    </r>
    <r>
      <rPr>
        <i/>
        <sz val="14"/>
        <rFont val="Arial"/>
        <family val="2"/>
      </rPr>
      <t xml:space="preserve">Microbiol. Resour. Ann. </t>
    </r>
    <r>
      <rPr>
        <b/>
        <sz val="14"/>
        <rFont val="Arial"/>
        <family val="2"/>
      </rPr>
      <t>11</t>
    </r>
    <r>
      <rPr>
        <sz val="14"/>
        <rFont val="Arial"/>
        <family val="2"/>
      </rPr>
      <t>, e00620-00622 (2022).</t>
    </r>
  </si>
  <si>
    <r>
      <rPr>
        <sz val="14"/>
        <rFont val="Arial"/>
        <family val="2"/>
      </rPr>
      <t xml:space="preserve">D. M. van Vliet et al., </t>
    </r>
    <r>
      <rPr>
        <i/>
        <sz val="14"/>
        <rFont val="Arial"/>
        <family val="2"/>
      </rPr>
      <t>Front. Microbiol.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10</t>
    </r>
    <r>
      <rPr>
        <sz val="14"/>
        <rFont val="Arial"/>
        <family val="2"/>
      </rPr>
      <t>, 253 (2019).</t>
    </r>
  </si>
  <si>
    <t>Baltic Sea</t>
  </si>
  <si>
    <t>SAMEA104408616</t>
  </si>
  <si>
    <t>ERX2261130</t>
  </si>
  <si>
    <t>SAMEA1878399</t>
  </si>
  <si>
    <t>ERX242602</t>
  </si>
  <si>
    <t>SAMEA104408617</t>
  </si>
  <si>
    <t>ERX2261131</t>
  </si>
  <si>
    <t>SAMEA104408618</t>
  </si>
  <si>
    <t>ERX2261132</t>
  </si>
  <si>
    <t>SAMEA1878394</t>
  </si>
  <si>
    <t>ERX242603</t>
  </si>
  <si>
    <t>SAMEA1878405</t>
  </si>
  <si>
    <t>ERX242604</t>
  </si>
  <si>
    <r>
      <rPr>
        <sz val="14"/>
        <rFont val="Arial"/>
        <family val="2"/>
      </rPr>
      <t xml:space="preserve">P.Thureborn et al., </t>
    </r>
    <r>
      <rPr>
        <i/>
        <sz val="14"/>
        <rFont val="Arial"/>
        <family val="2"/>
      </rPr>
      <t>PloS one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8</t>
    </r>
    <r>
      <rPr>
        <sz val="14"/>
        <rFont val="Arial"/>
        <family val="2"/>
      </rPr>
      <t>, e74983 (2013).</t>
    </r>
  </si>
  <si>
    <t>SAMN05163191</t>
  </si>
  <si>
    <t>SRX1798947</t>
  </si>
  <si>
    <t>sediment surface</t>
  </si>
  <si>
    <t>SRX1798948</t>
  </si>
  <si>
    <t>SRX1798953</t>
  </si>
  <si>
    <t>SRX1798954</t>
  </si>
  <si>
    <t>SRX1798955</t>
  </si>
  <si>
    <t>SRX1798956</t>
  </si>
  <si>
    <t>SRX1798957</t>
  </si>
  <si>
    <t>SRX1798958</t>
  </si>
  <si>
    <r>
      <rPr>
        <sz val="14"/>
        <rFont val="Arial"/>
        <family val="2"/>
      </rPr>
      <t xml:space="preserve">E. Broman, J. Sjöstedt, J. Pinhassi, M. Dopson,  </t>
    </r>
    <r>
      <rPr>
        <i/>
        <sz val="14"/>
        <rFont val="Arial"/>
        <family val="2"/>
      </rPr>
      <t xml:space="preserve">Microbiome </t>
    </r>
    <r>
      <rPr>
        <b/>
        <sz val="14"/>
        <rFont val="Arial"/>
        <family val="2"/>
      </rPr>
      <t>5</t>
    </r>
    <r>
      <rPr>
        <sz val="14"/>
        <rFont val="Arial"/>
        <family val="2"/>
      </rPr>
      <t xml:space="preserve">, 96 (2017). </t>
    </r>
  </si>
  <si>
    <t>South China Sea, blue hole</t>
  </si>
  <si>
    <t>SAMN34310084</t>
  </si>
  <si>
    <t>SRX20097601</t>
  </si>
  <si>
    <t>SAMN34310083</t>
  </si>
  <si>
    <t>SRX20097600</t>
  </si>
  <si>
    <t>SAMN34310082</t>
  </si>
  <si>
    <t>SRX20097599</t>
  </si>
  <si>
    <t>SAMN34310081</t>
  </si>
  <si>
    <t>SRX20097598</t>
  </si>
  <si>
    <t>SAMN34310080</t>
  </si>
  <si>
    <t>SRX20097609</t>
  </si>
  <si>
    <t>SAMN34310079</t>
  </si>
  <si>
    <t>SRX20097608</t>
  </si>
  <si>
    <t>SAMN34310078</t>
  </si>
  <si>
    <t>SRX20097607</t>
  </si>
  <si>
    <r>
      <rPr>
        <sz val="14"/>
        <color rgb="FF222222"/>
        <rFont val="Arial"/>
        <family val="2"/>
      </rPr>
      <t>K. Sun et al., </t>
    </r>
    <r>
      <rPr>
        <i/>
        <sz val="14"/>
        <color rgb="FF222222"/>
        <rFont val="Arial"/>
        <family val="2"/>
      </rPr>
      <t>Microbiol. Spectr.</t>
    </r>
    <r>
      <rPr>
        <sz val="14"/>
        <color rgb="FF222222"/>
        <rFont val="Arial"/>
        <family val="2"/>
      </rPr>
      <t> </t>
    </r>
    <r>
      <rPr>
        <b/>
        <i/>
        <sz val="14"/>
        <color rgb="FF222222"/>
        <rFont val="Arial"/>
        <family val="2"/>
      </rPr>
      <t>11</t>
    </r>
    <r>
      <rPr>
        <i/>
        <sz val="14"/>
        <color rgb="FF222222"/>
        <rFont val="Arial"/>
        <family val="2"/>
      </rPr>
      <t>,</t>
    </r>
    <r>
      <rPr>
        <sz val="14"/>
        <color rgb="FF222222"/>
        <rFont val="Arial"/>
        <family val="2"/>
      </rPr>
      <t xml:space="preserve"> e01149-23 (2023).</t>
    </r>
  </si>
  <si>
    <r>
      <rPr>
        <sz val="14"/>
        <color rgb="FF222222"/>
        <rFont val="Arial"/>
        <family val="2"/>
      </rPr>
      <t>S. Zhou et al., </t>
    </r>
    <r>
      <rPr>
        <i/>
        <sz val="14"/>
        <color rgb="FF222222"/>
        <rFont val="Arial"/>
        <family val="2"/>
      </rPr>
      <t>Front. Mar. Sci.</t>
    </r>
    <r>
      <rPr>
        <sz val="14"/>
        <color rgb="FF222222"/>
        <rFont val="Arial"/>
        <family val="2"/>
      </rPr>
      <t> </t>
    </r>
    <r>
      <rPr>
        <b/>
        <i/>
        <sz val="14"/>
        <color rgb="FF222222"/>
        <rFont val="Arial"/>
        <family val="2"/>
      </rPr>
      <t>10</t>
    </r>
    <r>
      <rPr>
        <sz val="14"/>
        <color rgb="FF222222"/>
        <rFont val="Arial"/>
        <family val="2"/>
      </rPr>
      <t xml:space="preserve">, 1086117 (2023). </t>
    </r>
  </si>
  <si>
    <t>Lake 227</t>
  </si>
  <si>
    <t>Project</t>
  </si>
  <si>
    <t>SAMN16221727</t>
  </si>
  <si>
    <t>SRX9157131</t>
  </si>
  <si>
    <t>Oxic (337.63716)</t>
  </si>
  <si>
    <t>fresh water</t>
  </si>
  <si>
    <t>SAMN16221728</t>
  </si>
  <si>
    <t>SRX9157132</t>
  </si>
  <si>
    <t>Oxic (274.173879)</t>
  </si>
  <si>
    <t>SAMN16221729</t>
  </si>
  <si>
    <t>SRX9157133</t>
  </si>
  <si>
    <t>Oxic-anoxic (15.318723)</t>
  </si>
  <si>
    <t>SAMN16221730</t>
  </si>
  <si>
    <t>SRX9157134</t>
  </si>
  <si>
    <t>Anoxic (0)</t>
  </si>
  <si>
    <t>SAMN16221731</t>
  </si>
  <si>
    <t>SRX9157135</t>
  </si>
  <si>
    <t>SAMN16221732</t>
  </si>
  <si>
    <t>SRX9157136</t>
  </si>
  <si>
    <r>
      <rPr>
        <sz val="14"/>
        <rFont val="Arial"/>
        <family val="2"/>
      </rPr>
      <t xml:space="preserve">J. M. Tsuji et al., </t>
    </r>
    <r>
      <rPr>
        <i/>
        <sz val="14"/>
        <rFont val="Arial"/>
        <family val="2"/>
      </rPr>
      <t>bioRxiv</t>
    </r>
    <r>
      <rPr>
        <sz val="14"/>
        <rFont val="Arial"/>
        <family val="2"/>
      </rPr>
      <t>. 190934 (2020).</t>
    </r>
  </si>
  <si>
    <t>Lake Kivu*</t>
  </si>
  <si>
    <t>SAMN06269236</t>
  </si>
  <si>
    <t>SRX3571226</t>
  </si>
  <si>
    <t>lake water</t>
  </si>
  <si>
    <t>SAMN06264875</t>
  </si>
  <si>
    <t>SRX2525300</t>
  </si>
  <si>
    <t>Oxic-anoxic</t>
  </si>
  <si>
    <t>Oxic-anoxic boundary lake water</t>
  </si>
  <si>
    <t>SAMN06269234</t>
  </si>
  <si>
    <t>SRX3571189</t>
  </si>
  <si>
    <t>SAMN06269235</t>
  </si>
  <si>
    <t>SRX3571191</t>
  </si>
  <si>
    <t>SAMN06266182</t>
  </si>
  <si>
    <t>SRX2525294</t>
  </si>
  <si>
    <t>SAMN06264666</t>
  </si>
  <si>
    <t>SRX2525295</t>
  </si>
  <si>
    <t>https://www.ncbi.nlm.nih.gov</t>
  </si>
  <si>
    <t>Lake Tanganyika</t>
  </si>
  <si>
    <t>SAMN16709959</t>
  </si>
  <si>
    <t>SRX9464698</t>
  </si>
  <si>
    <t>SAMN16709958</t>
  </si>
  <si>
    <t>SRX9464697</t>
  </si>
  <si>
    <t>SAMN16709960</t>
  </si>
  <si>
    <t>SRX9464699</t>
  </si>
  <si>
    <t>SAMN21893250</t>
  </si>
  <si>
    <t>SRX12394247</t>
  </si>
  <si>
    <t>SAMN21893245</t>
  </si>
  <si>
    <t>SRX12394241</t>
  </si>
  <si>
    <t>SAMN21893251</t>
  </si>
  <si>
    <t>SRX12394248</t>
  </si>
  <si>
    <t>SAMN21893246</t>
  </si>
  <si>
    <t>SRX12394242</t>
  </si>
  <si>
    <t>SAMN21893252</t>
  </si>
  <si>
    <t>SRX12394249</t>
  </si>
  <si>
    <t>SAMN21893247</t>
  </si>
  <si>
    <t>SRX12394244</t>
  </si>
  <si>
    <t>SAMN21893253</t>
  </si>
  <si>
    <t>SRX12394250</t>
  </si>
  <si>
    <t>SAMN21893248</t>
  </si>
  <si>
    <t>SRX12394245</t>
  </si>
  <si>
    <t>SAMN21893254</t>
  </si>
  <si>
    <t>SRX12394251</t>
  </si>
  <si>
    <t>SAMN21893249</t>
  </si>
  <si>
    <t>SRX12394246</t>
  </si>
  <si>
    <t>SAMN21893255</t>
  </si>
  <si>
    <t>SRX12394243</t>
  </si>
  <si>
    <r>
      <rPr>
        <sz val="14"/>
        <color rgb="FF000000"/>
        <rFont val="Arial"/>
        <family val="2"/>
      </rPr>
      <t xml:space="preserve">P. Q. Tran et al., </t>
    </r>
    <r>
      <rPr>
        <i/>
        <sz val="14"/>
        <color rgb="FF000000"/>
        <rFont val="Arial"/>
        <family val="2"/>
      </rPr>
      <t xml:space="preserve">ISME J. </t>
    </r>
    <r>
      <rPr>
        <b/>
        <sz val="14"/>
        <color rgb="FF000000"/>
        <rFont val="Arial"/>
        <family val="2"/>
      </rPr>
      <t>15</t>
    </r>
    <r>
      <rPr>
        <sz val="14"/>
        <color rgb="FF000000"/>
        <rFont val="Arial"/>
        <family val="2"/>
      </rPr>
      <t>, 1971–1986 (2021).</t>
    </r>
  </si>
  <si>
    <t>&gt;WP_011278400.1 radical SAM protein [Sulfolobus acidocaldarius]</t>
  </si>
  <si>
    <t>MTNHHGKEFLGFLGTGPAVGVPESVWKWLACPKMKTDDLGRPVQAPYGLRKVEASLIDAGFKAAVIDPDHLNKYLETAKALMVSHHDYFAFGPPSSTWWGITKKEPINYKSFQELIRRPEIKKAKERGMKIIAGGPSVWQWLWREDMIQDVQIDTLVDGEADRFIVKLAQMIMDNEPLPKYVYIGADEAPSVDEISEIKGASVNGLIEIMRGCARSCRFCSVTLRPTRYYPLDKIEKELLVNVKNGVRHGVIHSDDVLFYGATGIFPRPEPLIKLHKLVKKYYKTIAWSHASLAAIRYSEEKYGLISKLSEIIYDNESQKYLGVEVGIETGSSRLAKEIMPAKSAPFKIEEYPETVEQAFKIMHENRIIPAGTMIVGLPEETEDDVYKTIELVDNLRSYRSILVPMFFVPMGYFKNKDWFTRIKLTEAHIELYRKVFWHDVYWGEDIMNRFYMKGPLYYPVRMALKLFLRIAKRQMRKIEANLGKYLKK</t>
  </si>
  <si>
    <t>&gt;MBB5252360.1 radical SAM superfamily enzyme YgiQ (UPF0313 family) [Sulfurisphaera ohwakuensis]</t>
  </si>
  <si>
    <t>MEEHFDFILTTDRCLMTNHHGKEFLGFLATGPAVGIPETVWKWLACPKMKTDDLGRPVQAPYGMRKIEAALIDAGFKAAIIDPDHLNKHLPYAKALMFSHHDYFAFGPPSSTWWGITRREPVNYKSFMELVNRPEIRKEKERGMKILAGGPSVWQWLWREDMIEKVGVDTLVDGEGEKAVVKLAQMILDGEPLPKYVYIGADEAPSVDEIPEIKGASVNGLIEIMRGCARSCRFCSVTLRPTRYYPLEKIEKELMVNVRNGVKHGVVHSDDVLFYGAIGIYPRPEPLIKLHKLVKKYYKTIAWSHASLAAIRYSEEKYGLISKLMEIVFEDGNQSYLGVEVGIETGSARLAKEIMPAKSAPYKVEEYPETVEQAFKIMHENKIIPAGTMIVGLPEETEDDVYKTIELVDNLRPYRSILVPMFFVPMGYFKNKDWFTRIKLTEAHIELYRKVFWHDVYWGEEIIDHFYMKGPLYYPVRMTLKLFLRVAKRMMKKIESNLEYYLKK</t>
  </si>
  <si>
    <t>&gt;WP_337710326.1 radical SAM protein [Stygiolobus sp. RP850M]</t>
  </si>
  <si>
    <t>MSFLEEKFDFIITTDRCLMTNHHGKEFLGFLGTGPAIGIPEKAWKWLACPKMKTDELGRPREAPYGMRKIEAALIDAGYKAAIIDPDYIGKYLPHAKALMLSHHDYFAFGPPSSTWWGITKKEPVNYKSFQELIHKPEIKQAKQRGMKIIAGGPSVWQWLWRTDMIEEVEVDTLVDGEADTYIVKIAEMIMNNEPLPKYVYIGAEEAPSVDQIPEIKGASVNGLIEIMRGCARSCRFCSVTLRPTRYYPLEKIERELQVNVKNGVRHGVIHSDDVLFYGAVGIHPRPEPLIKLHKLVKKYYKTIAWSHASLAAIRYSEEKYGLISKITEIVYEDGHQNYLGVEVGIETGSSRLAKEIMPAKSAPYKVDEYPETVEEAFKIMHDHNIIPAGTMIVGLPEETEDDVYKTIELVDNLRSYRSILVPMFFVPMGYFKNKDWFTKVKLNEAHIELYKKVFWHDVYWAEDILNKFYLKSPVYMPVRWTLKLFLRIAKKQMKKVEAQLEGYLRK</t>
  </si>
  <si>
    <t>&gt;AKV74904.1 radical SAM protein [Metallosphaera sedula]</t>
  </si>
  <si>
    <t>MTNHHGKEFLGFLGTGPAVGVPESAWKWLACPKMKTDDIGRPWEAPYGMRKVEAKLIDEGFKAAIIDPDHLAPHLKNAKALMFSHHDYFAFGPPSSTWWGITKQEPVNYKSFQELINKPEVQEAKKRGVKMIAGGPSVWQWLWREDMIEKVGIDTLVDGEAERVIGKLAQMILDNEDLPRYMYVSGEDVPGIEDIPDIKGASVNGLIEIMRGCARSCRFCSVTLRPTRYYPLEKIERELQVNVRAGVRHGVIHSDDVLFYGAVGILPRPEPLIKLHKMVKKYYKTIAWSHASLAAIRFSEEKYGLISKLSEIIYENGSQNYLGVEVGIETGSPRLAKEIMPAKSAPYKPESYPETVAEAFKIMHEHNIIPAGTMIVGLPEEKEDDVIRTIELVDNLKPFRSILVPMFFVPMGYFKNKDWFTRIQLSPSHIELYKRVFWHDVYWAENILNSFYMKGPVYFPVRMVLKLFLRVAKRRMKQVEAWLESQMKA</t>
  </si>
  <si>
    <t>&gt;WP_205737131.1 radical SAM protein [Acidianus infernus]</t>
  </si>
  <si>
    <t>MPNYDFIITTDRCLMTNHHHKEFLGFLGTGPAIGIPEKVWKWLACPKVKVDEYGRPIEAPYGMRKIEAKLIDEGFNAAIIDPDYIGKYTPTAKALLFSHHDYFAFGPPSSTWWGITKKEPVNYKSFQELINRPEIAEGKKHGMKILVGGPSTWQWLWREDMIEKLGVDTLVDGEGEKVIVKLAQMILDGEELPKYVYVSGDDVPSIEDIPDIKGGSVNGLIEIMRGCARSCRFCSVTLRPTRYYPLDKIERELQVNVKAGIKHGVIHSDDVLFYGAVGILPKPEPLIKLHQLVKKYYKTIAWSHASLAAIRYSEEKYGLVSKLMEIVYQDGNQNYLGVEVGIETGSVRLAKEIMPAKSAPYKPESYPETVEEAFKIMHENHIIPAGTMIVGLPEETEDDVYRTIELVDNLRSYRSILVPMFFVPMGYFKNKDWFTRVKLNDAHIELYKKVFWHDVYWAEDIINKFYMKGPLYYPVKLTLKLFLAIAKRKMKQVESMLESKLRK</t>
  </si>
  <si>
    <t>&gt;MCF8885541.1 MAG: B12-binding domain-containing radical SAM protein [Aigarchaeota archaeon]</t>
  </si>
  <si>
    <t>MELKNVDIILTTDRSMMTNHHGKEFLGFMATGPPIGMPESLWMWIACPKMKTDRFGRPWQAPYALRKLEALLQDHGYNAWVIDPDYVDLYIDKAKIMMISHHDYFALCPPSSEWWVITRKEPVNARSFRRFMEKTSIREAKKRGLKIIVGGPPAWQWLYKVDLWANWGVDTVVEGEGERIVLDLVRKVFDNEPLPRYVFVGPGDSPRLEEISTIKYPSVNGLVEIMRGCPRGCKFCSVTLRSLRNMPLDIIEKEMIINIENGVHNGILHSEDVLLYGARGIKPNPEALLKLHELARKHLKEIAWSHASLAAIKNAEEEYKLISKIMEIVKSGDNQDYLGVEVGLETGSPKLAKKIMPAKSAPYPPEKWPQVVEDAFMIMHENNIVPAATLILGLPEESEEDLVMTAELLDKLRPYRSLIVPMFFVPMGLLKDKDWFTSVKVKDEHIEVMRKCLWHSVYWAEDIINRFYLKKSSTAPLRILLKLFLRYVRWKGRSVEKKLGLKPLDISLIQTVR</t>
  </si>
  <si>
    <t>&gt;WP_277020151.1 radical SAM protein [Sulfuracidifex metallicus]</t>
  </si>
  <si>
    <t>MEHFDFILTTDRCLMTNHHGKEFLGFLGTGPSVGVPESVWKYIACPKMKVDKLGRPWQAPYGMRKVEAKLIEEGFNAAIVDPDHLNKHLPYAKALMFSHHDYFGYGPPSSTWWAITQHEPINRRSFQALMNKPEIKEAKSKGMKILVGGPSTWQWLWTPEAIESLGVDSFVDGEGEKVVVKLAQKILDGEPLPKYVYVSGDDVPDVDDIPEIKGASVNGMIEVMRGCARSCRFCSVTLRPTRYYSLEKIERELQVNVRNGVKYGLIHSDDILFYGATGIFPRPEPLIRLHKLVKKYYKSIAWSHASLAAIKYSEEKYGLISKLSEIIYDGNQQYIGVEVGIETGSTRLAKEIMPAKSAPFKPEEYPQIVEDAFSIMHEKHIVPAGTMIVGLPEEKEEDVIRTVELVDNLRQYRSILVPMFFVPMGMFKNKNWFRDWREQAKLSPAHIELYKKVFWHDIYWAQDILNSFYLKGPLYAPVRVGLKMFLAASRRKMKEVEKWIETNMKQ</t>
  </si>
  <si>
    <t>&gt;WP_225876108.1 radical SAM protein [Infirmifilum lucidum]</t>
  </si>
  <si>
    <t>MFDVIITSDRSMMTNHHRKEFIGFFTTAPPVGMPEWAWMWLSAPKLKVDKYGRPVEAPYGLRKVEAKLLEEGFNAAIIDPDYIDRYLKSAKVLMVGHHDYFAMNSPSVEWWAITGQEPINSRSFKRLMRMQSIREAKRRGLKIIAGGPAAWQWLWQTEYWREFGVDTVVDGEAERVIGDIVRKALEGDDLPAYVYVGPEDAPSLEEIPEIKGASINGLIEIMRGCPRRCRFCPVTLRPLRYYPLEKIEKELQVNVKAGIRSGVIHSEDVLLYGARGIEPNPGALIKLHSLVKRYYKTLAWSHVTLAGVKYAEEKYRLITRLTEIIYDDHQDWLGVQVGLETGSLRLARLIMPGKAAPYPIEKWHEVVEDALAIMHDNRIVPALTLILGIPGETEDDLRQTAELLDKIKDYRSLVVPMFFVPMGYLKNHEGFIRDRVTEAHVEVMWRALQHSLKWGEEIAFKMYFRSPKHLPLRLLFKAFLLYVKSKTKELESLMREQGTSALLRPQPALAVQATRR</t>
  </si>
  <si>
    <t>&gt;WP_171770380.1 radical SAM protein [Thermosphaera aggregans]</t>
  </si>
  <si>
    <t>MMSNHHGKEFLGFVATAPPIFLPERLWEFIASPKVKVDSMGRPREAPYGMRKIEAILQEKGFNAAIIDPDYLGKYLDSMKVLMLSHHDYFGYGPPSSEWWSLTGKEPLNRRSFIKLMNKPEIRKAKEKGVKIIAGGPAAWQWLYEVKKLIEWGVDTVVDGEGEKVVIDLVERALNNDPLPKYVYVGAEDVPSVDEIPIIRGGSVNGLVEIMRGCPRGCKFCSVTLRPLRFIPIDKIVKEIQVNLSAGVKGTILHSEDVLLYHADGVKPRPEPILKLHEEVVKLVGDKGSFAWSHVSLSALKYAEENYKLISRLMHEYLLTESRRFIGVEVGIETGSVRLAKEIMRGKSLPYPIENWPDIVEDAFRIMHENFIIPAATVILGFPGETGDDVVKTIELIERLKDYRSLIVPMFFVPMGSLKKGEWFIREYLKREHVDALLKIYNHSIYWAEDIMKNFYLKSPANLPVRILLKLFIRYAKRQVNKYVGKIEEYIR</t>
  </si>
  <si>
    <t>&gt;WP_014767378.1 radical SAM protein [Desulfurococcus amylolyticus]</t>
  </si>
  <si>
    <t>MGYEIVLTSDRTMMSNHHGKEFLGFIATGPPIAMPESLWMMLAAPKVKVDDAGRPREAPYGMRKIEAVLRDAGFNAAIIDPDHIGKHLDSMKILMLSHHDYFAYGPPSSEWWSITGMEPINRRSFIRFMNSPVVRKAKEKGVKIIVGGPAAWQWLYELELMDKWGVDTIIDGEGEKVVVELVEKALRNEPLPRYVYVGAGDVPGVNEIPVIKGASVNGLVEIMRGCPRGCRFCSVTLRPLRFIPLEKILAEIDVNIRSGLKGAILHSEDVLLYHADGVKPRPDPILRLHREVLERIGEKRSLAWSHVSLAAVKYAEENHKLISKLMNELVLNEHRRFLGVEVGIETGSVKLAYEIMRAKSSPYPVEEWPNVVEDAFRIMHENKIIPAATVILGIPGETPDDVMKTIELIERLKPYRSIIVPMFFVPMGALKHNTWFLRDHLKHEHIDALLTMYNHSIYWAEDIMNKFYFSEPHHAPLKLLLKYFMGYVRKQVNRYVGRLEEIIKK</t>
  </si>
  <si>
    <t>&gt;WP_011752891.1 radical SAM protein [Thermofilum pendens]</t>
  </si>
  <si>
    <t>MVFEVVITSDRTMITDHHGKEFIGFMATGPAIGVPERLWMWACCPKPKVDRLGRPRVAPYGLRKIEAKLQEAGFNAAIVDPDHLDKHLDTMKVLLVGHHDYFAYGPPSSEWWVITGREPVNRRSFRRLMESPAVRKAKEKGVKIIAGGPAAWQWLWELESWKKWGVDTVVDGEGEGVVVDLVEKVYRGEPLPEYVYVSPRDAPSIEEIPVIRGASVNGLVEIMRGCPRGCRFCSVTLRPLRFMPIEKVVAEVRVNVRAGLRNVLLHSEDVLLYGADGVKPRPEPVLKLHAEVLKEAPGSVAWSHASLSAVKYAEDNYRLVSRLMEMLSERQEILGVEVGIETGSARLAREVMPAKALPYRAEEWVEVVKDAFAIMHDNRVVPAATLILGLPGETPDDVVKTAELVDDLKPYRSLIVPMLFVPMGKLKNMEKFRREMITREHVEVMKACLRHDLYWAREIMGKFYLKGAHMAPLRFFLEAFISYVERRASRIDEEIKQLFEEKQALERRRESVVRA</t>
  </si>
  <si>
    <t>&gt;WP_211206242.1 radical SAM protein [Fervidicoccus fontis]</t>
  </si>
  <si>
    <t>MSNLDIVITTDRTMMSNHHGREFLGFVATGPSIGLPEFLWTWISSPKPKIKANGEPNEAPYGLRKVEAVLLDKGYNASIIDPSYLNRYADTSKLLLVGHHDFFAYGPPSNEWWLITGREPVNRKSFRRLMESPAVKKMRRRGVKIIAGGPAAWQWLYEVELWKKWGVTSIFDGEAERILPNIIEKALNNEELPFYIYAGSHDSPSIEEIPTIKKASVNGLIEIMRGCPRGCKFCSVTLRPLRYIPLEKIEEEVLVNVRNGVTRGLIHSEDILLYGADGVKPRPDPVLKLHDTVLKHVKSLAWSHASLAAIKYAEEEHKLITKVMEKIREKQDYIGVEVGVETGGYELAKKIMPAKSAPYKPEKWHEVVEDAFRIMHENNIIPAATLIIGLPEETEKDVMETIELIEKLRPYRSLIVPMLFVPMGNLKHGVMFKREMLKDSHIELMFKILDHSIYWSEEIMNHYYLKSRAYDPLKFLLRFFIGYVKRKTDKIRKNLIIAST</t>
  </si>
  <si>
    <t>&gt;AFH42201.1 Radical SAM domain protein [Fervidicoccus fontis Kam940]</t>
  </si>
  <si>
    <t>MSNHHGREFLGFVATGPSIGLPEFLWTWISSPKPKIKANGEPNEAPYGLRKVEAVLLDKGYNASIIDPSYLNRYADTSKLLLVGHHDFFAYGPPSNEWWLITGREPVNRKSFRRLMESPAVKKMRRRGVKIIAGGPAAWQWLYEVELWKKWGVTSIFDGEAERILPNIIEKALNNEELPFYIYAGSHDSPSIEEIPTIKKASVNGLIEIMRGCPRGCKFCSVTLRPLRYIPLEKIEEEVLVNVRNGVTRGLIHSEDILLYGADGVKPRPDPVLKLHDTVLKHVKSLAWSHASLAAIKYAEEEHKLITKVMEKIREKQDYIGVEVGVETGGYELAKKIMPAKSAPYKPEKWHEVVEDAFRIMHENNIIPAATLIIGLPEETEKDVMETIELIEKLRPYRSLIVPMLFVPMGNLKHGVMFKREMLKDSHIELMFKILDHSIYWSEEIMNHYYLKSRAYDPLKFLLRFFIGYVKRKTDKIRKNLIIAST</t>
  </si>
  <si>
    <t>&gt;WP_245526485.1 radical SAM protein [Desulfurococcus mucosus]</t>
  </si>
  <si>
    <t>MSNHHGKEFLGFVTTGPPIGMPESLWMRLAAPRIRVDEEGKPREAPYGMRKIEAVLRDAGFNAAIIDPDHLWKHVDSMKVLMLSHHDYFAYGPPSSEWWSLTGLEPVNRRSFIRLMESPAVRRAKEKGVKIIAGGPAAWQWLYELELMEKWGVDTVVDGEGEKIVVELVEKALRNEKLPRYVYVGVGDVPGVDEIPVIKGASVNGLVEVMRGCPRGCKFCSVTLRPLRFIPLEKILAEVDVNIRAGLKGIILHSEDVLLYHADGVKPRADPVVKLHVEVLKRIGERRSLAWSHASLAAVKYAEENYRLISRLMNELVLNEHRKFLGVEVGIETGSVRLAREIMRAKASPYPVEEWPNIVEDAFRIMHENKVIPAATVILGFPGETPDDVVETIELIERLKPYRSIIVPMFFVPMGALKRDKWFLREHLKREHIDALLAMYNHTIYWAEEILRGFYLKEPYYMPVRLMLRYFIRYVKKQVDKYVGRLEEIIKS</t>
  </si>
  <si>
    <t>&gt;WP_015233012.1 radical SAM protein [Caldisphaera lagunensis]</t>
  </si>
  <si>
    <t>MTYDVILTTDRTMMSDHHKHEFLGFMTTGPSIGLPESIWKWIAAPKPKVDKLGRPAVAPYGIRKIEAALVDAGINASVIDPDYIDKHLDTVKVIMIGHHDYFAYGPPSSEWWSITGKEPINRVSFRNFMESPAMRKAKEKGVKIIVGGPAAWQWLWSLDEWKKWGVDTVVDGEAEKVSVELVKKALNNEELPDYVFIGPPDVPSLNEIPKIKHASVNGLVEIMRGCPRGCKFCSVTLRAWRSIPPERVIEEVKLNLNEGVDQILLHSEDNLLYYADGIRPRPEKLLKLHTMVREISDLPIAWSHVSLAAVKYAEDTYKLISKLTDIMYSGNQDFLGVEIGLETGSVKLAKKIMPAKSAPYSADKWPDVVESAFSILMDHNIIPAVTLIVGLPEEEPDDVMATTELIERLRPYRSLIVPMFFVPMGVLKEKDWFKKNFLKREHIDLLKATLDHSTYWAKDIVSRFYIKGFKYGPVRFLLNYIVDYIRKRAMLAAEMVEKSWEENKFKNDVQQIPVKAKI</t>
  </si>
  <si>
    <t>&gt;WP_174448778.1 radical SAM protein [Conexivisphaera calida]</t>
  </si>
  <si>
    <t>MTGKFDFIISVDRTLMTTHHDREFVGFMTTGPAVLLPERLWMWLSAPKVRKGPDGLPKFAPYGLRKIEAALLDAGYSAAIVDPDDVPRYAAEAKAFMIGHHDYFAFNPPSSEWWLVTGREPVNRKSLLKFMSTVAEVKRSRNPGLKIIAGGPAAWQWLYVPHYVEQFAVDTIVDGEAEKAVVQLAKAIVGGSELPRYLSVAPRDSPKLDEISKIKGASVNGLIEIMRGCPRGCKFCNVTLRPLRYIPLEDIEEELKVNRAAGIRAGILHSEDVLLYGADGIHPRPEPLLKLHELAKRYYDKSVTWSHASLAAVVAAEREHGLIRKLSELLLRDEQSFLGFQTGIETGSPRLAHVIMPAKASPYPADKWPDVVEEAFSILHDNHMVPAATIILGLPGELPEDLTKTLELMDRLKDYRSMIVPMFFVPMGVLRREDWFRSVSLSREHAELMVATMRHSVRWAKDIVNKFYLKGVAATPMRSLIIYFLNRAAKFSEGLTPEKVLDYIEEAKERMSSERSEEPVLSPLRKRLEAALASS</t>
  </si>
  <si>
    <t>&gt;WP_013335920.1 radical SAM protein [Vulcanisaeta distributa]</t>
  </si>
  <si>
    <t>MVLPKYDVVLTTDRSMMSNYHGKEFLGFVTTGPLFITVGPFKKLGEWIHEYIAMPKMKVDKYGRPFQAPYGMRKIEAALLDAGINAAIIDPDHVHKYIPNAKILMLSHHDYFGLNPPSSTWSAIVGREPLNAYSFRRFMMRIRPYIMDAKSRNGLKVVVGGPSAWQWLYLPELMDFFGVDTVFDGEGERLVVDLVKRILNNEPVPRYIYVGVNDVPSIDEIPTIKYPAVNGFVEIGRGCPRGCAFCSVTLRPLRWYPLEKIEEELKLHVKYGIVHGLIHSDDVPLYGSTGVELNPDKLIKLHQLVKRYYLTMAWSHTTLASVLVAEKKYNRLATKIAEIIEDEHQDWWGAQVGLETGSRRLAKAIMPGKAAPFKIEDWWDVVEEALGVMHDIKLIPALTVIVGLPGETEDDVMETIELLDRIRPYRSLVVPMFYVPMNHIRAEKDGWIIKYNLMPEHIELLKKMFEHSIYWAKDIVNHFYLRGPQYWPVRVAVNYFMNYVERRVRALYDRFDQIAAEIKNKKLVSKVEAPKLMELYTSSSEED</t>
  </si>
  <si>
    <t>&gt;WP_333638808.1 radical SAM protein [Pyrobaculum aerophilum]</t>
  </si>
  <si>
    <t>MPLPKVDVILTADRSMMSNYHRKEFLGFGTTGPIFVELPFGLSERFHSYLFAPKLKTDKWGRPVEAPYGMRKIEAKLLDAGINAAVIDPDHVHKYLKHAKILMLSDHDYFGLNPPSSTWGVIVGKEPMNAVFFKRFMERLSPYIWEAKSANGLRVIVGGPAAWQWLYFPELVERWGIDTIFDGEGEKLIVDIVKNALEGKPLPKYVYVGVSEAPSVDEISTIKYPSINGLVEIGRGCPRGCAFCSVTLRAMRWYPLEKIEQELKVNAEAGVVDGILHSDEVPLYGSTGVEPDPEKLIALHKLAKRYYRKVGWSHTTLVAIYHGEKKMGKLFTKLSEIIIDEHQDWWGAQIGLETGSVRLARKIMPGKAAPYKIDQWHEIVVEAASIMHEIRLIPAITIIVGLPEEQPEDVIETIELIERLRPYRSLIVPLFYVPMSHVRSEKSGWLDKVNLYPEHIDLLKVVARHSIYWAKDIVNKFYFKGPQYAVVRLLVNYFINYVEKRLDRIEDDVERYKEELRKARAASRREILTFAS</t>
  </si>
  <si>
    <t>&gt;WP_011762465.1 radical SAM protein [Pyrobaculum islandicum]</t>
  </si>
  <si>
    <t>MPSLKFDVILTTDRSMMSNYHRKEFLGFGTTGPVFVELPFGLSERFHAFLFAPKVKVDRWGRPLEAPYGMRKIEAKLLDEGINAAVIDPDYVHRYIPYAKVLMLSHHDYFGLNPPSSTWSVIVGKEPMNAMFFKRFMEKISPLVREAKTKNKLKVIAGGPAAWQWLYFPELVERWGIDTIFDGEGEKLIVDLVKNALEDRPLPKYIYVGVHEAPDLSEISTIKYPSINGLVEIGRGCPRGCAFCPVTLRALRWYPLDKIEEELKVNAKAGVVDGILHADEVPLYGSAGVEPNPERLIALHKLAKRYYRKVGWSHSTFVAVYHGEKKMGRLFTKLSEIIIDEHQDWWGAQIGLETGSVRLAQKIMPGKAAPYKISQWHEIVTEAAAIMHEIRLIPAITLIVGLPDEQPDDVIETIELVEKLKPYRSLIVSLFYVPMSHVKSEKTGWLDKVNLYPEHIDLLKVVARHSIFWAKDIVNKFYLKGPQYALVKFLINYFISYVEKRIDKIEEDIEQYKEILRQTRAKSRKEVLTYT</t>
  </si>
  <si>
    <t>&gt;WP_013680620.1 radical SAM protein [Thermoproteus uzoniensis]</t>
  </si>
  <si>
    <t>MGFDVILTTDRGMMSNYHGKEFLGFGTTGPVFVELPFGLSEKFHTFLFAPKIKTDKMGRPIQAPYGMRKIEAKLLDAGINAAIIDPDYVPRYLKSAKILMLSHHDYFGVNPPSSTWGVILGKETLNAYLFRKFMERIEKDIWEAKRASGLKVMVGGPAAWQWLYYPDLVERWGIDTIFDGEGEKLIVEVVKNTLEGKTPPRYIYVGASEAPSVDEISTIKGASINGLVEIGRGCPRGCAFCSVTLRPLRWYPLSKIEEELKVNARAGVVDGILHSDEVPLYGSNGVELNPTALIELHKLAKKYYRKVGWSHTTFVAVLLAEKKYGKLMTKIADIIKDEHQDWWGAEIGLETGSIRVAKQIMPGKAAPYKIEQWHDIVEESMAIMHELKLIPAVTLIVGLPGEQPDDVIQTIELIERLKPYRSLIVPLFYVPMSHVKAEKTGWLDKMNLYPEHIDLLKVVAKHSIFWARDIVNKFYFKGIHYAPIRLLTNYFINYVEKRLDKAEADIERYKEMLRAKWSEKRLEVL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</si>
</sst>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0000_ "/>
    <numFmt numFmtId="177" formatCode="0.0"/>
    <numFmt numFmtId="178" formatCode="0.00_);[Red]\(0.00\)"/>
  </numFmts>
  <fonts count="30" x14ac:knownFonts="1">
    <font>
      <sz val="11"/>
      <color theme="1"/>
      <name val="等线"/>
      <charset val="134"/>
      <scheme val="minor"/>
    </font>
    <font>
      <b/>
      <sz val="14"/>
      <color theme="0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sz val="12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u/>
      <sz val="14"/>
      <color theme="10"/>
      <name val="等线"/>
      <charset val="134"/>
      <scheme val="minor"/>
    </font>
    <font>
      <sz val="14"/>
      <color rgb="FF000000"/>
      <name val="Arial"/>
      <family val="2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4"/>
      <color rgb="FF222222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b/>
      <sz val="14"/>
      <color rgb="FF00B050"/>
      <name val="Arial"/>
      <family val="2"/>
    </font>
    <font>
      <i/>
      <sz val="14"/>
      <color indexed="8"/>
      <name val="Arial"/>
      <family val="2"/>
    </font>
    <font>
      <b/>
      <sz val="14"/>
      <color rgb="FF00B0F0"/>
      <name val="Arial"/>
      <family val="2"/>
    </font>
    <font>
      <b/>
      <sz val="14"/>
      <color rgb="FFFFC000"/>
      <name val="Arial"/>
      <family val="2"/>
    </font>
    <font>
      <b/>
      <sz val="14"/>
      <color theme="5" tint="0.39979247413556324"/>
      <name val="Arial"/>
      <family val="2"/>
    </font>
    <font>
      <u/>
      <sz val="11"/>
      <color theme="10"/>
      <name val="等线"/>
      <charset val="134"/>
      <scheme val="minor"/>
    </font>
    <font>
      <i/>
      <sz val="14"/>
      <name val="Arial"/>
      <family val="2"/>
    </font>
    <font>
      <i/>
      <sz val="14"/>
      <color rgb="FF000000"/>
      <name val="Arial"/>
      <family val="2"/>
    </font>
    <font>
      <b/>
      <sz val="14"/>
      <color rgb="FF000000"/>
      <name val="Arial"/>
      <family val="2"/>
    </font>
    <font>
      <i/>
      <sz val="14"/>
      <color rgb="FF222222"/>
      <name val="Arial"/>
      <family val="2"/>
    </font>
    <font>
      <b/>
      <i/>
      <sz val="14"/>
      <color rgb="FF222222"/>
      <name val="Arial"/>
      <family val="2"/>
    </font>
    <font>
      <sz val="9"/>
      <name val="等线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5" tint="0.7997985778374584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>
      <alignment vertical="center"/>
    </xf>
  </cellStyleXfs>
  <cellXfs count="2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176" fontId="8" fillId="4" borderId="11" xfId="0" applyNumberFormat="1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176" fontId="8" fillId="5" borderId="11" xfId="0" applyNumberFormat="1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176" fontId="8" fillId="6" borderId="11" xfId="0" applyNumberFormat="1" applyFont="1" applyFill="1" applyBorder="1" applyAlignment="1">
      <alignment horizont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7" fillId="3" borderId="10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3" fontId="10" fillId="4" borderId="0" xfId="0" applyNumberFormat="1" applyFont="1" applyFill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/>
    </xf>
    <xf numFmtId="3" fontId="10" fillId="5" borderId="0" xfId="0" applyNumberFormat="1" applyFont="1" applyFill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2" applyAlignment="1">
      <alignment horizontal="center" vertical="center"/>
    </xf>
    <xf numFmtId="0" fontId="7" fillId="3" borderId="7" xfId="2" applyFont="1" applyFill="1" applyBorder="1" applyAlignment="1">
      <alignment horizontal="center"/>
    </xf>
    <xf numFmtId="0" fontId="7" fillId="3" borderId="8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8" fillId="4" borderId="10" xfId="2" applyFont="1" applyFill="1" applyBorder="1" applyAlignment="1">
      <alignment horizontal="center"/>
    </xf>
    <xf numFmtId="0" fontId="8" fillId="4" borderId="0" xfId="2" applyFont="1" applyFill="1" applyAlignment="1">
      <alignment horizontal="center"/>
    </xf>
    <xf numFmtId="3" fontId="8" fillId="4" borderId="0" xfId="2" applyNumberFormat="1" applyFont="1" applyFill="1" applyAlignment="1">
      <alignment horizontal="center"/>
    </xf>
    <xf numFmtId="176" fontId="8" fillId="4" borderId="0" xfId="2" applyNumberFormat="1" applyFont="1" applyFill="1" applyAlignment="1">
      <alignment horizontal="center"/>
    </xf>
    <xf numFmtId="0" fontId="8" fillId="4" borderId="11" xfId="2" applyFont="1" applyFill="1" applyBorder="1" applyAlignment="1">
      <alignment horizontal="center"/>
    </xf>
    <xf numFmtId="0" fontId="8" fillId="5" borderId="10" xfId="2" applyFont="1" applyFill="1" applyBorder="1" applyAlignment="1">
      <alignment horizontal="center"/>
    </xf>
    <xf numFmtId="0" fontId="8" fillId="5" borderId="0" xfId="2" applyFont="1" applyFill="1" applyAlignment="1">
      <alignment horizontal="center"/>
    </xf>
    <xf numFmtId="3" fontId="8" fillId="5" borderId="0" xfId="2" applyNumberFormat="1" applyFont="1" applyFill="1" applyAlignment="1">
      <alignment horizontal="center"/>
    </xf>
    <xf numFmtId="176" fontId="8" fillId="5" borderId="0" xfId="2" applyNumberFormat="1" applyFont="1" applyFill="1" applyAlignment="1">
      <alignment horizontal="center"/>
    </xf>
    <xf numFmtId="0" fontId="8" fillId="5" borderId="11" xfId="2" applyFont="1" applyFill="1" applyBorder="1" applyAlignment="1">
      <alignment horizontal="center" vertical="center"/>
    </xf>
    <xf numFmtId="0" fontId="8" fillId="5" borderId="11" xfId="2" applyFont="1" applyFill="1" applyBorder="1" applyAlignment="1">
      <alignment horizontal="center"/>
    </xf>
    <xf numFmtId="0" fontId="2" fillId="0" borderId="10" xfId="2" applyFont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0" xfId="2" applyFont="1" applyFill="1" applyAlignment="1">
      <alignment horizontal="center"/>
    </xf>
    <xf numFmtId="3" fontId="8" fillId="6" borderId="0" xfId="2" applyNumberFormat="1" applyFont="1" applyFill="1" applyAlignment="1">
      <alignment horizontal="center" vertical="center"/>
    </xf>
    <xf numFmtId="176" fontId="8" fillId="6" borderId="0" xfId="2" applyNumberFormat="1" applyFont="1" applyFill="1" applyAlignment="1">
      <alignment horizontal="center"/>
    </xf>
    <xf numFmtId="0" fontId="8" fillId="6" borderId="11" xfId="2" applyFont="1" applyFill="1" applyBorder="1" applyAlignment="1">
      <alignment horizontal="center" vertical="center"/>
    </xf>
    <xf numFmtId="0" fontId="8" fillId="4" borderId="10" xfId="2" applyFont="1" applyFill="1" applyBorder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177" fontId="8" fillId="4" borderId="0" xfId="2" applyNumberFormat="1" applyFont="1" applyFill="1" applyAlignment="1">
      <alignment horizontal="center" vertical="center"/>
    </xf>
    <xf numFmtId="3" fontId="8" fillId="4" borderId="0" xfId="2" applyNumberFormat="1" applyFont="1" applyFill="1" applyAlignment="1">
      <alignment horizontal="center" vertical="center"/>
    </xf>
    <xf numFmtId="0" fontId="8" fillId="4" borderId="11" xfId="2" applyFont="1" applyFill="1" applyBorder="1" applyAlignment="1">
      <alignment horizontal="center" vertical="center"/>
    </xf>
    <xf numFmtId="0" fontId="8" fillId="5" borderId="10" xfId="2" applyFont="1" applyFill="1" applyBorder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177" fontId="8" fillId="5" borderId="0" xfId="2" applyNumberFormat="1" applyFont="1" applyFill="1" applyAlignment="1">
      <alignment horizontal="center" vertical="center"/>
    </xf>
    <xf numFmtId="3" fontId="8" fillId="5" borderId="0" xfId="2" applyNumberFormat="1" applyFont="1" applyFill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3" fontId="10" fillId="4" borderId="0" xfId="2" applyNumberFormat="1" applyFont="1" applyFill="1" applyAlignment="1">
      <alignment horizontal="center"/>
    </xf>
    <xf numFmtId="177" fontId="8" fillId="4" borderId="11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/>
    </xf>
    <xf numFmtId="0" fontId="10" fillId="4" borderId="0" xfId="2" applyFont="1" applyFill="1" applyAlignment="1">
      <alignment horizontal="center"/>
    </xf>
    <xf numFmtId="3" fontId="10" fillId="5" borderId="0" xfId="2" applyNumberFormat="1" applyFont="1" applyFill="1" applyAlignment="1">
      <alignment horizontal="center"/>
    </xf>
    <xf numFmtId="177" fontId="8" fillId="5" borderId="11" xfId="2" applyNumberFormat="1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/>
    </xf>
    <xf numFmtId="0" fontId="10" fillId="5" borderId="0" xfId="2" applyFont="1" applyFill="1" applyAlignment="1">
      <alignment horizontal="center"/>
    </xf>
    <xf numFmtId="0" fontId="10" fillId="6" borderId="0" xfId="2" applyFont="1" applyFill="1" applyAlignment="1">
      <alignment horizontal="center"/>
    </xf>
    <xf numFmtId="177" fontId="8" fillId="6" borderId="11" xfId="2" applyNumberFormat="1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Font="1">
      <alignment vertical="center"/>
    </xf>
    <xf numFmtId="0" fontId="6" fillId="0" borderId="0" xfId="2" applyFont="1">
      <alignment vertical="center"/>
    </xf>
    <xf numFmtId="178" fontId="10" fillId="6" borderId="10" xfId="2" applyNumberFormat="1" applyFont="1" applyFill="1" applyBorder="1" applyAlignment="1">
      <alignment horizontal="center"/>
    </xf>
    <xf numFmtId="3" fontId="10" fillId="6" borderId="0" xfId="2" applyNumberFormat="1" applyFont="1" applyFill="1" applyAlignment="1">
      <alignment horizontal="center"/>
    </xf>
    <xf numFmtId="0" fontId="10" fillId="4" borderId="10" xfId="2" applyFont="1" applyFill="1" applyBorder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3" fontId="10" fillId="4" borderId="0" xfId="2" applyNumberFormat="1" applyFont="1" applyFill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10" fillId="5" borderId="0" xfId="2" applyFont="1" applyFill="1" applyAlignment="1">
      <alignment horizontal="center" vertical="center"/>
    </xf>
    <xf numFmtId="3" fontId="10" fillId="5" borderId="0" xfId="2" applyNumberFormat="1" applyFont="1" applyFill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0" fillId="6" borderId="10" xfId="2" applyFont="1" applyFill="1" applyBorder="1" applyAlignment="1">
      <alignment horizontal="center" vertical="center"/>
    </xf>
    <xf numFmtId="0" fontId="10" fillId="6" borderId="0" xfId="2" applyFont="1" applyFill="1" applyAlignment="1">
      <alignment horizontal="center" vertical="center"/>
    </xf>
    <xf numFmtId="3" fontId="10" fillId="6" borderId="0" xfId="2" applyNumberFormat="1" applyFont="1" applyFill="1" applyAlignment="1">
      <alignment horizontal="center" vertical="center"/>
    </xf>
    <xf numFmtId="0" fontId="10" fillId="6" borderId="11" xfId="2" applyFont="1" applyFill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3" fillId="0" borderId="0" xfId="2" applyFont="1" applyAlignment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11" fontId="10" fillId="7" borderId="0" xfId="0" applyNumberFormat="1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11" fontId="10" fillId="7" borderId="13" xfId="0" applyNumberFormat="1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11" fontId="10" fillId="8" borderId="0" xfId="0" applyNumberFormat="1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9" fillId="8" borderId="13" xfId="0" applyFont="1" applyFill="1" applyBorder="1" applyAlignment="1">
      <alignment horizontal="center" vertical="center"/>
    </xf>
    <xf numFmtId="11" fontId="10" fillId="8" borderId="13" xfId="0" applyNumberFormat="1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11" fontId="10" fillId="9" borderId="0" xfId="0" applyNumberFormat="1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/>
    </xf>
    <xf numFmtId="11" fontId="10" fillId="9" borderId="13" xfId="0" applyNumberFormat="1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11" fontId="10" fillId="10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/>
    </xf>
    <xf numFmtId="11" fontId="10" fillId="10" borderId="13" xfId="0" applyNumberFormat="1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2" fillId="10" borderId="7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4" fillId="0" borderId="13" xfId="2" applyBorder="1" applyAlignment="1">
      <alignment horizontal="center" vertical="center"/>
    </xf>
    <xf numFmtId="0" fontId="8" fillId="0" borderId="1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5" fillId="0" borderId="10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sra/SRX648445%5baccn%5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0"/>
  <sheetViews>
    <sheetView tabSelected="1" topLeftCell="A299" zoomScale="55" zoomScaleNormal="55" workbookViewId="0">
      <selection activeCell="O173" sqref="O173"/>
    </sheetView>
  </sheetViews>
  <sheetFormatPr defaultColWidth="9" defaultRowHeight="17.399999999999999" x14ac:dyDescent="0.25"/>
  <cols>
    <col min="1" max="1" width="84.6640625" style="117" customWidth="1"/>
    <col min="2" max="2" width="50" style="117" customWidth="1"/>
    <col min="3" max="3" width="13.33203125" style="117" customWidth="1"/>
    <col min="4" max="4" width="13.109375" style="117" customWidth="1"/>
    <col min="5" max="5" width="16.21875" style="117" customWidth="1"/>
    <col min="6" max="6" width="21.44140625" style="118" customWidth="1"/>
    <col min="7" max="16384" width="9" style="117"/>
  </cols>
  <sheetData>
    <row r="1" spans="1:7" s="114" customFormat="1" ht="16.8" customHeight="1" x14ac:dyDescent="0.25">
      <c r="A1" s="119" t="s">
        <v>0</v>
      </c>
      <c r="B1" s="119" t="s">
        <v>1</v>
      </c>
      <c r="C1" s="119" t="s">
        <v>2</v>
      </c>
      <c r="D1" s="119" t="s">
        <v>3</v>
      </c>
      <c r="E1" s="119" t="s">
        <v>4</v>
      </c>
      <c r="F1" s="119" t="s">
        <v>5</v>
      </c>
      <c r="G1" s="119"/>
    </row>
    <row r="2" spans="1:7" s="114" customFormat="1" x14ac:dyDescent="0.25">
      <c r="F2" s="120"/>
    </row>
    <row r="3" spans="1:7" s="115" customFormat="1" x14ac:dyDescent="0.25">
      <c r="A3" s="169" t="s">
        <v>6</v>
      </c>
      <c r="B3" s="170"/>
      <c r="C3" s="170"/>
      <c r="D3" s="170"/>
      <c r="E3" s="170"/>
      <c r="F3" s="171"/>
      <c r="G3" s="172"/>
    </row>
    <row r="4" spans="1:7" s="115" customFormat="1" ht="18" x14ac:dyDescent="0.25">
      <c r="A4" s="121" t="s">
        <v>7</v>
      </c>
      <c r="B4" s="122" t="s">
        <v>8</v>
      </c>
      <c r="C4" s="123">
        <v>1.0000000000000001E-123</v>
      </c>
      <c r="D4" s="124">
        <v>51.56</v>
      </c>
      <c r="E4" s="124">
        <v>489</v>
      </c>
      <c r="F4" s="125" t="str">
        <f>HYPERLINK("https://www.ncbi.nlm.nih.gov/protein/MCD6514147.1?report=genbank&amp;log$=prottop&amp;blast_rank=17&amp;RID=419WUBT0013","MCD6514147.1")</f>
        <v>MCD6514147.1</v>
      </c>
      <c r="G4" s="126"/>
    </row>
    <row r="5" spans="1:7" s="115" customFormat="1" ht="18" x14ac:dyDescent="0.25">
      <c r="A5" s="121" t="s">
        <v>9</v>
      </c>
      <c r="B5" s="122" t="s">
        <v>10</v>
      </c>
      <c r="C5" s="123">
        <v>9.9999999999999998E-122</v>
      </c>
      <c r="D5" s="124">
        <v>47.44</v>
      </c>
      <c r="E5" s="124">
        <v>548</v>
      </c>
      <c r="F5" s="125" t="str">
        <f>HYPERLINK("https://www.ncbi.nlm.nih.gov/protein/RLI55935.1?report=genbank&amp;log$=prottop&amp;blast_rank=31&amp;RID=419WUBT0013","RLI55935.1")</f>
        <v>RLI55935.1</v>
      </c>
      <c r="G5" s="126"/>
    </row>
    <row r="6" spans="1:7" s="115" customFormat="1" ht="18" x14ac:dyDescent="0.25">
      <c r="A6" s="121" t="s">
        <v>11</v>
      </c>
      <c r="B6" s="122" t="s">
        <v>12</v>
      </c>
      <c r="C6" s="123">
        <v>2.0000000000000001E-114</v>
      </c>
      <c r="D6" s="124">
        <v>41.77</v>
      </c>
      <c r="E6" s="124">
        <v>522</v>
      </c>
      <c r="F6" s="125" t="str">
        <f>HYPERLINK("https://www.ncbi.nlm.nih.gov/protein/WEU40370.1?report=genbank&amp;log$=prottop&amp;blast_rank=29&amp;RID=419WUBT0013","WEU40370.1")</f>
        <v>WEU40370.1</v>
      </c>
      <c r="G6" s="126"/>
    </row>
    <row r="7" spans="1:7" s="115" customFormat="1" ht="18" x14ac:dyDescent="0.25">
      <c r="A7" s="121" t="s">
        <v>13</v>
      </c>
      <c r="B7" s="122" t="s">
        <v>14</v>
      </c>
      <c r="C7" s="123">
        <v>2.9999999999999999E-108</v>
      </c>
      <c r="D7" s="124">
        <v>46.15</v>
      </c>
      <c r="E7" s="124">
        <v>515</v>
      </c>
      <c r="F7" s="125" t="str">
        <f>HYPERLINK("https://www.ncbi.nlm.nih.gov/protein/KXH72834.1?report=genbank&amp;log$=prottop&amp;blast_rank=24&amp;RID=419WUBT0013","KXH72834.1")</f>
        <v>KXH72834.1</v>
      </c>
      <c r="G7" s="126"/>
    </row>
    <row r="8" spans="1:7" s="115" customFormat="1" ht="18" x14ac:dyDescent="0.25">
      <c r="A8" s="121" t="s">
        <v>15</v>
      </c>
      <c r="B8" s="122" t="s">
        <v>16</v>
      </c>
      <c r="C8" s="123">
        <v>3.9999999999999997E-104</v>
      </c>
      <c r="D8" s="124">
        <v>46.02</v>
      </c>
      <c r="E8" s="124">
        <v>506</v>
      </c>
      <c r="F8" s="125" t="str">
        <f>HYPERLINK("https://www.ncbi.nlm.nih.gov/protein/KXH73049.1?report=genbank&amp;log$=prottop&amp;blast_rank=20&amp;RID=419WUBT0013","KXH73049.1")</f>
        <v>KXH73049.1</v>
      </c>
      <c r="G8" s="126"/>
    </row>
    <row r="9" spans="1:7" s="115" customFormat="1" ht="18" x14ac:dyDescent="0.25">
      <c r="A9" s="121" t="s">
        <v>7</v>
      </c>
      <c r="B9" s="122" t="s">
        <v>8</v>
      </c>
      <c r="C9" s="123">
        <v>1.0000000000000001E-101</v>
      </c>
      <c r="D9" s="124">
        <v>45.67</v>
      </c>
      <c r="E9" s="124">
        <v>511</v>
      </c>
      <c r="F9" s="125" t="str">
        <f>HYPERLINK("https://www.ncbi.nlm.nih.gov/protein/MCD6483520.1?report=genbank&amp;log$=prottop&amp;blast_rank=21&amp;RID=419WUBT0013","MCD6483520.1")</f>
        <v>MCD6483520.1</v>
      </c>
      <c r="G9" s="126"/>
    </row>
    <row r="10" spans="1:7" s="115" customFormat="1" ht="18" x14ac:dyDescent="0.25">
      <c r="A10" s="121" t="s">
        <v>9</v>
      </c>
      <c r="B10" s="122" t="s">
        <v>10</v>
      </c>
      <c r="C10" s="123">
        <v>1E-99</v>
      </c>
      <c r="D10" s="124">
        <v>42.23</v>
      </c>
      <c r="E10" s="124">
        <v>467</v>
      </c>
      <c r="F10" s="125" t="str">
        <f>HYPERLINK("https://www.ncbi.nlm.nih.gov/protein/RLI51163.1?report=genbank&amp;log$=prottop&amp;blast_rank=6&amp;RID=419WUBT0013","RLI51163.1")</f>
        <v>RLI51163.1</v>
      </c>
      <c r="G10" s="126"/>
    </row>
    <row r="11" spans="1:7" s="115" customFormat="1" ht="18" x14ac:dyDescent="0.25">
      <c r="A11" s="121" t="s">
        <v>17</v>
      </c>
      <c r="B11" s="122" t="s">
        <v>10</v>
      </c>
      <c r="C11" s="123">
        <v>2E-99</v>
      </c>
      <c r="D11" s="124">
        <v>42.64</v>
      </c>
      <c r="E11" s="124">
        <v>475</v>
      </c>
      <c r="F11" s="125" t="str">
        <f>HYPERLINK("https://www.ncbi.nlm.nih.gov/protein/NIU83428.1?report=genbank&amp;log$=prottop&amp;blast_rank=7&amp;RID=419WUBT0013","NIU83428.1")</f>
        <v>NIU83428.1</v>
      </c>
      <c r="G11" s="126"/>
    </row>
    <row r="12" spans="1:7" s="115" customFormat="1" ht="18" x14ac:dyDescent="0.25">
      <c r="A12" s="121" t="s">
        <v>18</v>
      </c>
      <c r="B12" s="122" t="s">
        <v>10</v>
      </c>
      <c r="C12" s="123">
        <v>9.9999999999999994E-68</v>
      </c>
      <c r="D12" s="124">
        <v>37.72</v>
      </c>
      <c r="E12" s="124">
        <v>504</v>
      </c>
      <c r="F12" s="125" t="str">
        <f>HYPERLINK("https://www.ncbi.nlm.nih.gov/protein/RDE17496.1?report=genbank&amp;log$=prottop&amp;blast_rank=19&amp;RID=419WUBT0013","RDE17496.1")</f>
        <v>RDE17496.1</v>
      </c>
      <c r="G12" s="126"/>
    </row>
    <row r="13" spans="1:7" s="115" customFormat="1" ht="18" x14ac:dyDescent="0.25">
      <c r="A13" s="121" t="s">
        <v>19</v>
      </c>
      <c r="B13" s="122" t="s">
        <v>20</v>
      </c>
      <c r="C13" s="123">
        <v>2E-66</v>
      </c>
      <c r="D13" s="124">
        <v>38.44</v>
      </c>
      <c r="E13" s="124">
        <v>489</v>
      </c>
      <c r="F13" s="125" t="str">
        <f>HYPERLINK("https://www.ncbi.nlm.nih.gov/protein/NHJ22186.1?report=genbank&amp;log$=prottop&amp;blast_rank=18&amp;RID=419WUBT0013","NHJ22186.1")</f>
        <v>NHJ22186.1</v>
      </c>
      <c r="G13" s="126"/>
    </row>
    <row r="14" spans="1:7" s="116" customFormat="1" ht="18" x14ac:dyDescent="0.25">
      <c r="A14" s="121" t="s">
        <v>21</v>
      </c>
      <c r="B14" s="122" t="s">
        <v>10</v>
      </c>
      <c r="C14" s="123">
        <v>3E-65</v>
      </c>
      <c r="D14" s="124">
        <v>34.94</v>
      </c>
      <c r="E14" s="124">
        <v>482</v>
      </c>
      <c r="F14" s="125" t="str">
        <f>HYPERLINK("https://www.ncbi.nlm.nih.gov/protein/RDE12597.1?report=genbank&amp;log$=prottop&amp;blast_rank=11&amp;RID=419WUBT0013","RDE12597.1")</f>
        <v>RDE12597.1</v>
      </c>
      <c r="G14" s="126"/>
    </row>
    <row r="15" spans="1:7" s="116" customFormat="1" ht="18" x14ac:dyDescent="0.25">
      <c r="A15" s="121" t="s">
        <v>22</v>
      </c>
      <c r="B15" s="122" t="s">
        <v>23</v>
      </c>
      <c r="C15" s="123">
        <v>2.0000000000000001E-63</v>
      </c>
      <c r="D15" s="124">
        <v>33.25</v>
      </c>
      <c r="E15" s="124">
        <v>477</v>
      </c>
      <c r="F15" s="125" t="str">
        <f>HYPERLINK("https://www.ncbi.nlm.nih.gov/protein/UCE13163.1?report=genbank&amp;log$=prottop&amp;blast_rank=10&amp;RID=419WUBT0013","UCE13163.1")</f>
        <v>UCE13163.1</v>
      </c>
      <c r="G15" s="126"/>
    </row>
    <row r="16" spans="1:7" s="116" customFormat="1" ht="18" x14ac:dyDescent="0.25">
      <c r="A16" s="121" t="s">
        <v>19</v>
      </c>
      <c r="B16" s="122" t="s">
        <v>20</v>
      </c>
      <c r="C16" s="123">
        <v>5.9999999999999996E-63</v>
      </c>
      <c r="D16" s="124">
        <v>34.950000000000003</v>
      </c>
      <c r="E16" s="124">
        <v>476</v>
      </c>
      <c r="F16" s="125" t="str">
        <f>HYPERLINK("https://www.ncbi.nlm.nih.gov/protein/MCK4380300.1?report=genbank&amp;log$=prottop&amp;blast_rank=8&amp;RID=419WUBT0013","MCK4380300.1")</f>
        <v>MCK4380300.1</v>
      </c>
      <c r="G16" s="126"/>
    </row>
    <row r="17" spans="1:7" s="115" customFormat="1" ht="18" x14ac:dyDescent="0.25">
      <c r="A17" s="121" t="s">
        <v>24</v>
      </c>
      <c r="B17" s="122" t="s">
        <v>25</v>
      </c>
      <c r="C17" s="123">
        <v>1E-61</v>
      </c>
      <c r="D17" s="124">
        <v>34.35</v>
      </c>
      <c r="E17" s="124">
        <v>476</v>
      </c>
      <c r="F17" s="125" t="str">
        <f>HYPERLINK("https://www.ncbi.nlm.nih.gov/protein/TKJ23064.1?report=genbank&amp;log$=prottop&amp;blast_rank=9&amp;RID=419WUBT0013","TKJ23064.1")</f>
        <v>TKJ23064.1</v>
      </c>
      <c r="G17" s="126"/>
    </row>
    <row r="18" spans="1:7" s="116" customFormat="1" ht="18" x14ac:dyDescent="0.25">
      <c r="A18" s="121" t="s">
        <v>22</v>
      </c>
      <c r="B18" s="122" t="s">
        <v>23</v>
      </c>
      <c r="C18" s="123">
        <v>1E-58</v>
      </c>
      <c r="D18" s="124">
        <v>31.14</v>
      </c>
      <c r="E18" s="124">
        <v>483</v>
      </c>
      <c r="F18" s="125" t="str">
        <f>HYPERLINK("https://www.ncbi.nlm.nih.gov/protein/UCG02150.1?report=genbank&amp;log$=prottop&amp;blast_rank=14&amp;RID=419WUBT0013","UCG02150.1")</f>
        <v>UCG02150.1</v>
      </c>
      <c r="G18" s="126"/>
    </row>
    <row r="19" spans="1:7" s="115" customFormat="1" ht="18" x14ac:dyDescent="0.25">
      <c r="A19" s="127" t="s">
        <v>22</v>
      </c>
      <c r="B19" s="128" t="s">
        <v>23</v>
      </c>
      <c r="C19" s="129">
        <v>8E-55</v>
      </c>
      <c r="D19" s="130">
        <v>31.65</v>
      </c>
      <c r="E19" s="130">
        <v>484</v>
      </c>
      <c r="F19" s="131" t="str">
        <f>HYPERLINK("https://www.ncbi.nlm.nih.gov/protein/UCG90286.1?report=genbank&amp;log$=prottop&amp;blast_rank=15&amp;RID=419WUBT0013","UCG90286.1")</f>
        <v>UCG90286.1</v>
      </c>
      <c r="G19" s="132"/>
    </row>
    <row r="20" spans="1:7" s="116" customFormat="1" x14ac:dyDescent="0.25">
      <c r="A20" s="115"/>
      <c r="B20" s="115"/>
      <c r="C20" s="115"/>
      <c r="D20" s="115"/>
      <c r="E20" s="115"/>
      <c r="F20" s="118"/>
      <c r="G20" s="115"/>
    </row>
    <row r="21" spans="1:7" s="115" customFormat="1" x14ac:dyDescent="0.25">
      <c r="A21" s="173" t="s">
        <v>26</v>
      </c>
      <c r="B21" s="174"/>
      <c r="C21" s="174"/>
      <c r="D21" s="174"/>
      <c r="E21" s="174"/>
      <c r="F21" s="175"/>
      <c r="G21" s="176"/>
    </row>
    <row r="22" spans="1:7" s="116" customFormat="1" ht="18" x14ac:dyDescent="0.25">
      <c r="A22" s="133" t="s">
        <v>27</v>
      </c>
      <c r="B22" s="134" t="s">
        <v>28</v>
      </c>
      <c r="C22" s="135">
        <v>2.0000000000000002E-86</v>
      </c>
      <c r="D22" s="136">
        <v>40.840000000000003</v>
      </c>
      <c r="E22" s="136">
        <v>509</v>
      </c>
      <c r="F22" s="137" t="str">
        <f>HYPERLINK("https://www.ncbi.nlm.nih.gov/protein/HDN75869.1?report=genbank&amp;log$=prottop&amp;blast_rank=313&amp;RID=41AMWJZD01N","HDN75869.1")</f>
        <v>HDN75869.1</v>
      </c>
      <c r="G22" s="138"/>
    </row>
    <row r="23" spans="1:7" s="116" customFormat="1" ht="18" x14ac:dyDescent="0.25">
      <c r="A23" s="133" t="s">
        <v>29</v>
      </c>
      <c r="B23" s="134" t="s">
        <v>30</v>
      </c>
      <c r="C23" s="135">
        <v>1E-89</v>
      </c>
      <c r="D23" s="136">
        <v>37.32</v>
      </c>
      <c r="E23" s="136">
        <v>514</v>
      </c>
      <c r="F23" s="137" t="str">
        <f>HYPERLINK("https://www.ncbi.nlm.nih.gov/protein/ADL18933.1?report=genbank&amp;log$=prottop&amp;blast_rank=275&amp;RID=41AMWJZD01N","ADL18933.1")</f>
        <v>ADL18933.1</v>
      </c>
      <c r="G23" s="138"/>
    </row>
    <row r="24" spans="1:7" s="115" customFormat="1" ht="18" x14ac:dyDescent="0.25">
      <c r="A24" s="133" t="s">
        <v>31</v>
      </c>
      <c r="B24" s="134" t="s">
        <v>32</v>
      </c>
      <c r="C24" s="135">
        <v>2E-99</v>
      </c>
      <c r="D24" s="136">
        <v>43.51</v>
      </c>
      <c r="E24" s="136">
        <v>497</v>
      </c>
      <c r="F24" s="137" t="str">
        <f>HYPERLINK("https://www.ncbi.nlm.nih.gov/protein/MCS7136280.1?report=genbank&amp;log$=prottop&amp;blast_rank=152&amp;RID=41AMWJZD01N","MCS7136280.1")</f>
        <v>MCS7136280.1</v>
      </c>
      <c r="G24" s="138"/>
    </row>
    <row r="25" spans="1:7" s="115" customFormat="1" ht="18" x14ac:dyDescent="0.25">
      <c r="A25" s="133" t="s">
        <v>31</v>
      </c>
      <c r="B25" s="134" t="s">
        <v>32</v>
      </c>
      <c r="C25" s="135">
        <v>2.9999999999999999E-88</v>
      </c>
      <c r="D25" s="136">
        <v>35.32</v>
      </c>
      <c r="E25" s="136">
        <v>484</v>
      </c>
      <c r="F25" s="137" t="str">
        <f>HYPERLINK("https://www.ncbi.nlm.nih.gov/protein/MCS7126462.1?report=genbank&amp;log$=prottop&amp;blast_rank=294&amp;RID=41AMWJZD01N","MCS7126462.1")</f>
        <v>MCS7126462.1</v>
      </c>
      <c r="G25" s="138"/>
    </row>
    <row r="26" spans="1:7" s="116" customFormat="1" ht="18" x14ac:dyDescent="0.25">
      <c r="A26" s="133" t="s">
        <v>31</v>
      </c>
      <c r="B26" s="134" t="s">
        <v>32</v>
      </c>
      <c r="C26" s="135">
        <v>4.0000000000000001E-91</v>
      </c>
      <c r="D26" s="136">
        <v>39.68</v>
      </c>
      <c r="E26" s="136">
        <v>483</v>
      </c>
      <c r="F26" s="137" t="str">
        <f>HYPERLINK("https://www.ncbi.nlm.nih.gov/protein/MCF8885165.1?report=genbank&amp;log$=prottop&amp;blast_rank=242&amp;RID=41AMWJZD01N","MCF8885165.1")</f>
        <v>MCF8885165.1</v>
      </c>
      <c r="G26" s="138"/>
    </row>
    <row r="27" spans="1:7" s="115" customFormat="1" ht="18" x14ac:dyDescent="0.25">
      <c r="A27" s="133" t="s">
        <v>31</v>
      </c>
      <c r="B27" s="134" t="s">
        <v>32</v>
      </c>
      <c r="C27" s="135">
        <v>3.0000000000000001E-86</v>
      </c>
      <c r="D27" s="136">
        <v>36.17</v>
      </c>
      <c r="E27" s="136">
        <v>482</v>
      </c>
      <c r="F27" s="137" t="str">
        <f>HYPERLINK("https://www.ncbi.nlm.nih.gov/protein/MCS7132100.1?report=genbank&amp;log$=prottop&amp;blast_rank=314&amp;RID=41AMWJZD01N","MCS7132100.1")</f>
        <v>MCS7132100.1</v>
      </c>
      <c r="G27" s="138"/>
    </row>
    <row r="28" spans="1:7" s="116" customFormat="1" ht="18" x14ac:dyDescent="0.25">
      <c r="A28" s="133" t="s">
        <v>33</v>
      </c>
      <c r="B28" s="134" t="s">
        <v>34</v>
      </c>
      <c r="C28" s="135">
        <v>3.0000000000000001E-96</v>
      </c>
      <c r="D28" s="136">
        <v>37.15</v>
      </c>
      <c r="E28" s="136">
        <v>507</v>
      </c>
      <c r="F28" s="137" t="str">
        <f>HYPERLINK("https://www.ncbi.nlm.nih.gov/protein/AFZ70470.1?report=genbank&amp;log$=prottop&amp;blast_rank=178&amp;RID=41AMWJZD01N","AFZ70470.1")</f>
        <v>AFZ70470.1</v>
      </c>
      <c r="G28" s="138"/>
    </row>
    <row r="29" spans="1:7" s="115" customFormat="1" ht="18" x14ac:dyDescent="0.25">
      <c r="A29" s="133" t="s">
        <v>35</v>
      </c>
      <c r="B29" s="134" t="s">
        <v>36</v>
      </c>
      <c r="C29" s="135">
        <v>3.0000000000000001E-94</v>
      </c>
      <c r="D29" s="136">
        <v>42.59</v>
      </c>
      <c r="E29" s="136">
        <v>509</v>
      </c>
      <c r="F29" s="137" t="str">
        <f>HYPERLINK("https://www.ncbi.nlm.nih.gov/protein/PMP90191.1?report=genbank&amp;log$=prottop&amp;blast_rank=197&amp;RID=41AMWJZD01N","PMP90191.1")</f>
        <v>PMP90191.1</v>
      </c>
      <c r="G29" s="138"/>
    </row>
    <row r="30" spans="1:7" s="115" customFormat="1" ht="18" x14ac:dyDescent="0.25">
      <c r="A30" s="133" t="s">
        <v>35</v>
      </c>
      <c r="B30" s="134" t="s">
        <v>36</v>
      </c>
      <c r="C30" s="135">
        <v>9.9999999999999999E-96</v>
      </c>
      <c r="D30" s="136">
        <v>40.74</v>
      </c>
      <c r="E30" s="136">
        <v>505</v>
      </c>
      <c r="F30" s="137" t="str">
        <f>HYPERLINK("https://www.ncbi.nlm.nih.gov/protein/PMP59570.1?report=genbank&amp;log$=prottop&amp;blast_rank=182&amp;RID=41AMWJZD01N","PMP59570.1")</f>
        <v>PMP59570.1</v>
      </c>
      <c r="G30" s="138"/>
    </row>
    <row r="31" spans="1:7" s="115" customFormat="1" ht="18" x14ac:dyDescent="0.25">
      <c r="A31" s="133" t="s">
        <v>37</v>
      </c>
      <c r="B31" s="134" t="s">
        <v>38</v>
      </c>
      <c r="C31" s="135">
        <v>1.0000000000000001E-86</v>
      </c>
      <c r="D31" s="136">
        <v>36.97</v>
      </c>
      <c r="E31" s="136">
        <v>516</v>
      </c>
      <c r="F31" s="137" t="str">
        <f>HYPERLINK("https://www.ncbi.nlm.nih.gov/protein/MCE4607594.1?report=genbank&amp;log$=prottop&amp;blast_rank=311&amp;RID=41AMWJZD01N","MCE4607594.1")</f>
        <v>MCE4607594.1</v>
      </c>
      <c r="G31" s="138"/>
    </row>
    <row r="32" spans="1:7" ht="18" x14ac:dyDescent="0.25">
      <c r="A32" s="133" t="s">
        <v>39</v>
      </c>
      <c r="B32" s="134" t="s">
        <v>40</v>
      </c>
      <c r="C32" s="135">
        <v>4.9999999999999997E-89</v>
      </c>
      <c r="D32" s="136">
        <v>39.68</v>
      </c>
      <c r="E32" s="136">
        <v>501</v>
      </c>
      <c r="F32" s="137" t="str">
        <f>HYPERLINK("https://www.ncbi.nlm.nih.gov/protein/ABW01927.1?report=genbank&amp;log$=prottop&amp;blast_rank=280&amp;RID=41AMWJZD01N","ABW01927.1")</f>
        <v>ABW01927.1</v>
      </c>
      <c r="G32" s="138"/>
    </row>
    <row r="33" spans="1:7" s="115" customFormat="1" ht="18" x14ac:dyDescent="0.25">
      <c r="A33" s="133" t="s">
        <v>41</v>
      </c>
      <c r="B33" s="134" t="s">
        <v>42</v>
      </c>
      <c r="C33" s="135">
        <v>4.0000000000000001E-91</v>
      </c>
      <c r="D33" s="136">
        <v>37.18</v>
      </c>
      <c r="E33" s="136">
        <v>501</v>
      </c>
      <c r="F33" s="137" t="str">
        <f>HYPERLINK("https://www.ncbi.nlm.nih.gov/protein/KUO91937.1?report=genbank&amp;log$=prottop&amp;blast_rank=240&amp;RID=41AMWJZD01N","KUO91937.1")</f>
        <v>KUO91937.1</v>
      </c>
      <c r="G33" s="138"/>
    </row>
    <row r="34" spans="1:7" s="115" customFormat="1" ht="18" x14ac:dyDescent="0.25">
      <c r="A34" s="133" t="s">
        <v>43</v>
      </c>
      <c r="B34" s="134" t="s">
        <v>44</v>
      </c>
      <c r="C34" s="135">
        <v>9.9999999999999993E-89</v>
      </c>
      <c r="D34" s="136">
        <v>35.700000000000003</v>
      </c>
      <c r="E34" s="136">
        <v>528</v>
      </c>
      <c r="F34" s="137" t="str">
        <f>HYPERLINK("https://www.ncbi.nlm.nih.gov/protein/RLI11264.1?report=genbank&amp;log$=prottop&amp;blast_rank=286&amp;RID=41AMWJZD01N","RLI11264.1")</f>
        <v>RLI11264.1</v>
      </c>
      <c r="G34" s="138"/>
    </row>
    <row r="35" spans="1:7" s="115" customFormat="1" ht="18" x14ac:dyDescent="0.25">
      <c r="A35" s="133" t="s">
        <v>45</v>
      </c>
      <c r="B35" s="134" t="s">
        <v>44</v>
      </c>
      <c r="C35" s="135">
        <v>7.9999999999999999E-92</v>
      </c>
      <c r="D35" s="136">
        <v>41.61</v>
      </c>
      <c r="E35" s="136">
        <v>526</v>
      </c>
      <c r="F35" s="137" t="str">
        <f>HYPERLINK("https://www.ncbi.nlm.nih.gov/protein/NIV67656.1?report=genbank&amp;log$=prottop&amp;blast_rank=222&amp;RID=41AMWJZD01N","NIV67656.1")</f>
        <v>NIV67656.1</v>
      </c>
      <c r="G35" s="138"/>
    </row>
    <row r="36" spans="1:7" s="115" customFormat="1" ht="18" x14ac:dyDescent="0.25">
      <c r="A36" s="133" t="s">
        <v>45</v>
      </c>
      <c r="B36" s="134" t="s">
        <v>44</v>
      </c>
      <c r="C36" s="135">
        <v>1.9999999999999998E-96</v>
      </c>
      <c r="D36" s="136">
        <v>43.63</v>
      </c>
      <c r="E36" s="136">
        <v>521</v>
      </c>
      <c r="F36" s="137" t="str">
        <f>HYPERLINK("https://www.ncbi.nlm.nih.gov/protein/MCL6579421.1?report=genbank&amp;log$=prottop&amp;blast_rank=174&amp;RID=41AMWJZD01N","MCL6579421.1")</f>
        <v>MCL6579421.1</v>
      </c>
      <c r="G36" s="138"/>
    </row>
    <row r="37" spans="1:7" s="115" customFormat="1" ht="18" x14ac:dyDescent="0.25">
      <c r="A37" s="133" t="s">
        <v>45</v>
      </c>
      <c r="B37" s="134" t="s">
        <v>44</v>
      </c>
      <c r="C37" s="135">
        <v>3.0000000000000001E-92</v>
      </c>
      <c r="D37" s="136">
        <v>40.83</v>
      </c>
      <c r="E37" s="136">
        <v>520</v>
      </c>
      <c r="F37" s="137" t="str">
        <f>HYPERLINK("https://www.ncbi.nlm.nih.gov/protein/MCS7096082.1?report=genbank&amp;log$=prottop&amp;blast_rank=215&amp;RID=41AMWJZD01N","MCS7096082.1")</f>
        <v>MCS7096082.1</v>
      </c>
      <c r="G37" s="138"/>
    </row>
    <row r="38" spans="1:7" s="115" customFormat="1" ht="18" x14ac:dyDescent="0.25">
      <c r="A38" s="133" t="s">
        <v>45</v>
      </c>
      <c r="B38" s="134" t="s">
        <v>44</v>
      </c>
      <c r="C38" s="135">
        <v>3.0000000000000002E-87</v>
      </c>
      <c r="D38" s="136">
        <v>40.83</v>
      </c>
      <c r="E38" s="136">
        <v>518</v>
      </c>
      <c r="F38" s="137" t="str">
        <f>HYPERLINK("https://www.ncbi.nlm.nih.gov/protein/UCH32130.1?report=genbank&amp;log$=prottop&amp;blast_rank=308&amp;RID=41AMWJZD01N","UCH32130.1")</f>
        <v>UCH32130.1</v>
      </c>
      <c r="G38" s="138"/>
    </row>
    <row r="39" spans="1:7" s="115" customFormat="1" ht="18" x14ac:dyDescent="0.25">
      <c r="A39" s="133" t="s">
        <v>45</v>
      </c>
      <c r="B39" s="134" t="s">
        <v>44</v>
      </c>
      <c r="C39" s="135">
        <v>8.9999999999999998E-89</v>
      </c>
      <c r="D39" s="136">
        <v>40.83</v>
      </c>
      <c r="E39" s="136">
        <v>515</v>
      </c>
      <c r="F39" s="137" t="str">
        <f>HYPERLINK("https://www.ncbi.nlm.nih.gov/protein/UCE96651.1?report=genbank&amp;log$=prottop&amp;blast_rank=285&amp;RID=41AMWJZD01N","UCE96651.1")</f>
        <v>UCE96651.1</v>
      </c>
      <c r="G39" s="138"/>
    </row>
    <row r="40" spans="1:7" s="115" customFormat="1" ht="18" x14ac:dyDescent="0.25">
      <c r="A40" s="133" t="s">
        <v>46</v>
      </c>
      <c r="B40" s="134" t="s">
        <v>44</v>
      </c>
      <c r="C40" s="135">
        <v>6.0000000000000003E-92</v>
      </c>
      <c r="D40" s="136">
        <v>38.36</v>
      </c>
      <c r="E40" s="136">
        <v>512</v>
      </c>
      <c r="F40" s="137" t="str">
        <f>HYPERLINK("https://www.ncbi.nlm.nih.gov/protein/RLI43606.1?report=genbank&amp;log$=prottop&amp;blast_rank=219&amp;RID=41AMWJZD01N","RLI43606.1")</f>
        <v>RLI43606.1</v>
      </c>
      <c r="G40" s="138"/>
    </row>
    <row r="41" spans="1:7" s="115" customFormat="1" ht="18" x14ac:dyDescent="0.25">
      <c r="A41" s="133" t="s">
        <v>45</v>
      </c>
      <c r="B41" s="134" t="s">
        <v>44</v>
      </c>
      <c r="C41" s="135">
        <v>1E-87</v>
      </c>
      <c r="D41" s="136">
        <v>40.83</v>
      </c>
      <c r="E41" s="136">
        <v>511</v>
      </c>
      <c r="F41" s="137" t="str">
        <f>HYPERLINK("https://www.ncbi.nlm.nih.gov/protein/MBS7647068.1?report=genbank&amp;log$=prottop&amp;blast_rank=303&amp;RID=41AMWJZD01N","MBS7647068.1")</f>
        <v>MBS7647068.1</v>
      </c>
      <c r="G41" s="138"/>
    </row>
    <row r="42" spans="1:7" s="115" customFormat="1" ht="18" x14ac:dyDescent="0.25">
      <c r="A42" s="133" t="s">
        <v>45</v>
      </c>
      <c r="B42" s="134" t="s">
        <v>44</v>
      </c>
      <c r="C42" s="135">
        <v>6.0000000000000004E-118</v>
      </c>
      <c r="D42" s="136">
        <v>46.27</v>
      </c>
      <c r="E42" s="136">
        <v>510</v>
      </c>
      <c r="F42" s="137" t="str">
        <f>HYPERLINK("https://www.ncbi.nlm.nih.gov/protein/UCC28473.1?report=genbank&amp;log$=prottop&amp;blast_rank=68&amp;RID=41AMWJZD01N","UCC28473.1")</f>
        <v>UCC28473.1</v>
      </c>
      <c r="G42" s="138"/>
    </row>
    <row r="43" spans="1:7" s="115" customFormat="1" ht="18" x14ac:dyDescent="0.25">
      <c r="A43" s="133" t="s">
        <v>46</v>
      </c>
      <c r="B43" s="134" t="s">
        <v>44</v>
      </c>
      <c r="C43" s="135">
        <v>7.9999999999999993E-96</v>
      </c>
      <c r="D43" s="136">
        <v>44.07</v>
      </c>
      <c r="E43" s="136">
        <v>510</v>
      </c>
      <c r="F43" s="137" t="str">
        <f>HYPERLINK("https://www.ncbi.nlm.nih.gov/protein/RLG95883.1?report=genbank&amp;log$=prottop&amp;blast_rank=179&amp;RID=41AMWJZD01N","RLG95883.1")</f>
        <v>RLG95883.1</v>
      </c>
      <c r="G43" s="138"/>
    </row>
    <row r="44" spans="1:7" s="115" customFormat="1" ht="18" x14ac:dyDescent="0.25">
      <c r="A44" s="133" t="s">
        <v>45</v>
      </c>
      <c r="B44" s="134" t="s">
        <v>44</v>
      </c>
      <c r="C44" s="135">
        <v>4.9999999999999998E-95</v>
      </c>
      <c r="D44" s="136">
        <v>38.96</v>
      </c>
      <c r="E44" s="136">
        <v>510</v>
      </c>
      <c r="F44" s="137" t="str">
        <f>HYPERLINK("https://www.ncbi.nlm.nih.gov/protein/MBS7659745.1?report=genbank&amp;log$=prottop&amp;blast_rank=186&amp;RID=41AMWJZD01N","MBS7659745.1")</f>
        <v>MBS7659745.1</v>
      </c>
      <c r="G44" s="138"/>
    </row>
    <row r="45" spans="1:7" s="115" customFormat="1" ht="18" x14ac:dyDescent="0.25">
      <c r="A45" s="133" t="s">
        <v>46</v>
      </c>
      <c r="B45" s="134" t="s">
        <v>44</v>
      </c>
      <c r="C45" s="135">
        <v>9.9999999999999996E-95</v>
      </c>
      <c r="D45" s="136">
        <v>39.4</v>
      </c>
      <c r="E45" s="136">
        <v>510</v>
      </c>
      <c r="F45" s="137" t="str">
        <f>HYPERLINK("https://www.ncbi.nlm.nih.gov/protein/RLI22746.1?report=genbank&amp;log$=prottop&amp;blast_rank=191&amp;RID=41AMWJZD01N","RLI22746.1")</f>
        <v>RLI22746.1</v>
      </c>
      <c r="G45" s="138"/>
    </row>
    <row r="46" spans="1:7" s="115" customFormat="1" ht="18" x14ac:dyDescent="0.25">
      <c r="A46" s="133" t="s">
        <v>45</v>
      </c>
      <c r="B46" s="134" t="s">
        <v>44</v>
      </c>
      <c r="C46" s="135">
        <v>3.0000000000000001E-96</v>
      </c>
      <c r="D46" s="136">
        <v>45.04</v>
      </c>
      <c r="E46" s="136">
        <v>509</v>
      </c>
      <c r="F46" s="137" t="str">
        <f>HYPERLINK("https://www.ncbi.nlm.nih.gov/protein/MCD6243498.1?report=genbank&amp;log$=prottop&amp;blast_rank=175&amp;RID=41AMWJZD01N","MCD6243498.1")</f>
        <v>MCD6243498.1</v>
      </c>
      <c r="G46" s="138"/>
    </row>
    <row r="47" spans="1:7" s="115" customFormat="1" ht="18" x14ac:dyDescent="0.25">
      <c r="A47" s="133" t="s">
        <v>45</v>
      </c>
      <c r="B47" s="134" t="s">
        <v>44</v>
      </c>
      <c r="C47" s="135">
        <v>2E-90</v>
      </c>
      <c r="D47" s="136">
        <v>42.16</v>
      </c>
      <c r="E47" s="136">
        <v>509</v>
      </c>
      <c r="F47" s="137" t="str">
        <f>HYPERLINK("https://www.ncbi.nlm.nih.gov/protein/RJS78406.1?report=genbank&amp;log$=prottop&amp;blast_rank=254&amp;RID=41AMWJZD01N","RJS78406.1")</f>
        <v>RJS78406.1</v>
      </c>
      <c r="G47" s="138"/>
    </row>
    <row r="48" spans="1:7" s="115" customFormat="1" ht="18" x14ac:dyDescent="0.25">
      <c r="A48" s="133" t="s">
        <v>45</v>
      </c>
      <c r="B48" s="134" t="s">
        <v>44</v>
      </c>
      <c r="C48" s="135">
        <v>5.0000000000000002E-90</v>
      </c>
      <c r="D48" s="136">
        <v>40.35</v>
      </c>
      <c r="E48" s="136">
        <v>509</v>
      </c>
      <c r="F48" s="137" t="str">
        <f>HYPERLINK("https://www.ncbi.nlm.nih.gov/protein/MCS7114615.1?report=genbank&amp;log$=prottop&amp;blast_rank=266&amp;RID=41AMWJZD01N","MCS7114615.1")</f>
        <v>MCS7114615.1</v>
      </c>
      <c r="G48" s="138"/>
    </row>
    <row r="49" spans="1:7" s="115" customFormat="1" ht="18" x14ac:dyDescent="0.25">
      <c r="A49" s="133" t="s">
        <v>45</v>
      </c>
      <c r="B49" s="134" t="s">
        <v>44</v>
      </c>
      <c r="C49" s="135">
        <v>5.0000000000000001E-88</v>
      </c>
      <c r="D49" s="136">
        <v>41.4</v>
      </c>
      <c r="E49" s="136">
        <v>509</v>
      </c>
      <c r="F49" s="137" t="str">
        <f>HYPERLINK("https://www.ncbi.nlm.nih.gov/protein/NWF87478.1?report=genbank&amp;log$=prottop&amp;blast_rank=299&amp;RID=41AMWJZD01N","NWF87478.1")</f>
        <v>NWF87478.1</v>
      </c>
      <c r="G49" s="138"/>
    </row>
    <row r="50" spans="1:7" s="115" customFormat="1" ht="18" x14ac:dyDescent="0.25">
      <c r="A50" s="133" t="s">
        <v>46</v>
      </c>
      <c r="B50" s="134" t="s">
        <v>44</v>
      </c>
      <c r="C50" s="135">
        <v>7.9999999999999999E-95</v>
      </c>
      <c r="D50" s="136">
        <v>39.159999999999997</v>
      </c>
      <c r="E50" s="136">
        <v>508</v>
      </c>
      <c r="F50" s="137" t="str">
        <f>HYPERLINK("https://www.ncbi.nlm.nih.gov/protein/RLG92572.1?report=genbank&amp;log$=prottop&amp;blast_rank=190&amp;RID=41AMWJZD01N","RLG92572.1")</f>
        <v>RLG92572.1</v>
      </c>
      <c r="G50" s="138"/>
    </row>
    <row r="51" spans="1:7" s="115" customFormat="1" ht="18" x14ac:dyDescent="0.25">
      <c r="A51" s="133" t="s">
        <v>45</v>
      </c>
      <c r="B51" s="134" t="s">
        <v>44</v>
      </c>
      <c r="C51" s="135">
        <v>6.0000000000000003E-92</v>
      </c>
      <c r="D51" s="136">
        <v>42.86</v>
      </c>
      <c r="E51" s="136">
        <v>508</v>
      </c>
      <c r="F51" s="137" t="str">
        <f>HYPERLINK("https://www.ncbi.nlm.nih.gov/protein/MBS7621380.1?report=genbank&amp;log$=prottop&amp;blast_rank=218&amp;RID=41AMWJZD01N","MBS7621380.1")</f>
        <v>MBS7621380.1</v>
      </c>
      <c r="G51" s="138"/>
    </row>
    <row r="52" spans="1:7" s="115" customFormat="1" ht="18" x14ac:dyDescent="0.25">
      <c r="A52" s="133" t="s">
        <v>45</v>
      </c>
      <c r="B52" s="134" t="s">
        <v>44</v>
      </c>
      <c r="C52" s="135">
        <v>6.0000000000000003E-92</v>
      </c>
      <c r="D52" s="136">
        <v>42.37</v>
      </c>
      <c r="E52" s="136">
        <v>508</v>
      </c>
      <c r="F52" s="137" t="str">
        <f>HYPERLINK("https://www.ncbi.nlm.nih.gov/protein/NWG11101.1?report=genbank&amp;log$=prottop&amp;blast_rank=220&amp;RID=41AMWJZD01N","NWG11101.1")</f>
        <v>NWG11101.1</v>
      </c>
      <c r="G52" s="138"/>
    </row>
    <row r="53" spans="1:7" s="115" customFormat="1" ht="18" x14ac:dyDescent="0.25">
      <c r="A53" s="133" t="s">
        <v>45</v>
      </c>
      <c r="B53" s="134" t="s">
        <v>44</v>
      </c>
      <c r="C53" s="135">
        <v>6.0000000000000004E-90</v>
      </c>
      <c r="D53" s="136">
        <v>41.32</v>
      </c>
      <c r="E53" s="136">
        <v>508</v>
      </c>
      <c r="F53" s="137" t="str">
        <f>HYPERLINK("https://www.ncbi.nlm.nih.gov/protein/MBS7616492.1?report=genbank&amp;log$=prottop&amp;blast_rank=268&amp;RID=41AMWJZD01N","MBS7616492.1")</f>
        <v>MBS7616492.1</v>
      </c>
      <c r="G53" s="138"/>
    </row>
    <row r="54" spans="1:7" s="115" customFormat="1" ht="18" x14ac:dyDescent="0.25">
      <c r="A54" s="133" t="s">
        <v>45</v>
      </c>
      <c r="B54" s="134" t="s">
        <v>44</v>
      </c>
      <c r="C54" s="135">
        <v>1E-89</v>
      </c>
      <c r="D54" s="136">
        <v>41.91</v>
      </c>
      <c r="E54" s="136">
        <v>508</v>
      </c>
      <c r="F54" s="137" t="str">
        <f>HYPERLINK("https://www.ncbi.nlm.nih.gov/protein/MCS7124119.1?report=genbank&amp;log$=prottop&amp;blast_rank=274&amp;RID=41AMWJZD01N","MCS7124119.1")</f>
        <v>MCS7124119.1</v>
      </c>
      <c r="G54" s="138"/>
    </row>
    <row r="55" spans="1:7" s="116" customFormat="1" ht="18" x14ac:dyDescent="0.25">
      <c r="A55" s="133" t="s">
        <v>45</v>
      </c>
      <c r="B55" s="134" t="s">
        <v>44</v>
      </c>
      <c r="C55" s="135">
        <v>2E-91</v>
      </c>
      <c r="D55" s="136">
        <v>42.16</v>
      </c>
      <c r="E55" s="136">
        <v>507</v>
      </c>
      <c r="F55" s="137" t="str">
        <f>HYPERLINK("https://www.ncbi.nlm.nih.gov/protein/MCD6445188.1?report=genbank&amp;log$=prottop&amp;blast_rank=230&amp;RID=41AMWJZD01N","MCD6445188.1")</f>
        <v>MCD6445188.1</v>
      </c>
      <c r="G55" s="138"/>
    </row>
    <row r="56" spans="1:7" s="116" customFormat="1" ht="18" x14ac:dyDescent="0.25">
      <c r="A56" s="133" t="s">
        <v>46</v>
      </c>
      <c r="B56" s="134" t="s">
        <v>44</v>
      </c>
      <c r="C56" s="135">
        <v>1.9999999999999998E-93</v>
      </c>
      <c r="D56" s="136">
        <v>43.03</v>
      </c>
      <c r="E56" s="136">
        <v>506</v>
      </c>
      <c r="F56" s="137" t="str">
        <f>HYPERLINK("https://www.ncbi.nlm.nih.gov/protein/RLI45831.1?report=genbank&amp;log$=prottop&amp;blast_rank=206&amp;RID=41AMWJZD01N","RLI45831.1")</f>
        <v>RLI45831.1</v>
      </c>
      <c r="G56" s="138"/>
    </row>
    <row r="57" spans="1:7" s="116" customFormat="1" ht="18" x14ac:dyDescent="0.25">
      <c r="A57" s="133" t="s">
        <v>45</v>
      </c>
      <c r="B57" s="134" t="s">
        <v>44</v>
      </c>
      <c r="C57" s="135">
        <v>5.0000000000000001E-92</v>
      </c>
      <c r="D57" s="136">
        <v>37.450000000000003</v>
      </c>
      <c r="E57" s="136">
        <v>506</v>
      </c>
      <c r="F57" s="137" t="str">
        <f>HYPERLINK("https://www.ncbi.nlm.nih.gov/protein/UCC33155.1?report=genbank&amp;log$=prottop&amp;blast_rank=217&amp;RID=41AMWJZD01N","UCC33155.1")</f>
        <v>UCC33155.1</v>
      </c>
      <c r="G57" s="138"/>
    </row>
    <row r="58" spans="1:7" s="116" customFormat="1" ht="18" x14ac:dyDescent="0.25">
      <c r="A58" s="133" t="s">
        <v>45</v>
      </c>
      <c r="B58" s="134" t="s">
        <v>44</v>
      </c>
      <c r="C58" s="135">
        <v>9.9999999999999999E-91</v>
      </c>
      <c r="D58" s="136">
        <v>41.4</v>
      </c>
      <c r="E58" s="136">
        <v>505</v>
      </c>
      <c r="F58" s="137" t="str">
        <f>HYPERLINK("https://www.ncbi.nlm.nih.gov/protein/MBC7130508.1?report=genbank&amp;log$=prottop&amp;blast_rank=248&amp;RID=41AMWJZD01N","MBC7130508.1")</f>
        <v>MBC7130508.1</v>
      </c>
      <c r="G58" s="138"/>
    </row>
    <row r="59" spans="1:7" s="116" customFormat="1" ht="18" x14ac:dyDescent="0.25">
      <c r="A59" s="133" t="s">
        <v>45</v>
      </c>
      <c r="B59" s="134" t="s">
        <v>44</v>
      </c>
      <c r="C59" s="135">
        <v>8.9999999999999995E-86</v>
      </c>
      <c r="D59" s="136">
        <v>38.29</v>
      </c>
      <c r="E59" s="136">
        <v>505</v>
      </c>
      <c r="F59" s="137" t="str">
        <f>HYPERLINK("https://www.ncbi.nlm.nih.gov/protein/MCD6444503.1?report=genbank&amp;log$=prottop&amp;blast_rank=322&amp;RID=41AMWJZD01N","MCD6444503.1")</f>
        <v>MCD6444503.1</v>
      </c>
      <c r="G59" s="138"/>
    </row>
    <row r="60" spans="1:7" s="116" customFormat="1" ht="18" x14ac:dyDescent="0.25">
      <c r="A60" s="133" t="s">
        <v>45</v>
      </c>
      <c r="B60" s="134" t="s">
        <v>44</v>
      </c>
      <c r="C60" s="135">
        <v>9.9999999999999999E-91</v>
      </c>
      <c r="D60" s="136">
        <v>41.56</v>
      </c>
      <c r="E60" s="136">
        <v>504</v>
      </c>
      <c r="F60" s="137" t="str">
        <f>HYPERLINK("https://www.ncbi.nlm.nih.gov/protein/UCG36916.1?report=genbank&amp;log$=prottop&amp;blast_rank=250&amp;RID=41AMWJZD01N","UCG36916.1")</f>
        <v>UCG36916.1</v>
      </c>
      <c r="G60" s="138"/>
    </row>
    <row r="61" spans="1:7" s="115" customFormat="1" ht="18" x14ac:dyDescent="0.25">
      <c r="A61" s="133" t="s">
        <v>46</v>
      </c>
      <c r="B61" s="134" t="s">
        <v>44</v>
      </c>
      <c r="C61" s="135">
        <v>4.9999999999999999E-122</v>
      </c>
      <c r="D61" s="136">
        <v>43.45</v>
      </c>
      <c r="E61" s="136">
        <v>503</v>
      </c>
      <c r="F61" s="137" t="str">
        <f>HYPERLINK("https://www.ncbi.nlm.nih.gov/protein/RLI29450.1?report=genbank&amp;log$=prottop&amp;blast_rank=47&amp;RID=41AMWJZD01N","RLI29450.1")</f>
        <v>RLI29450.1</v>
      </c>
      <c r="G61" s="138"/>
    </row>
    <row r="62" spans="1:7" s="116" customFormat="1" ht="18" x14ac:dyDescent="0.25">
      <c r="A62" s="133" t="s">
        <v>45</v>
      </c>
      <c r="B62" s="134" t="s">
        <v>44</v>
      </c>
      <c r="C62" s="135">
        <v>6.0000000000000004E-106</v>
      </c>
      <c r="D62" s="136">
        <v>38.89</v>
      </c>
      <c r="E62" s="136">
        <v>494</v>
      </c>
      <c r="F62" s="137" t="str">
        <f>HYPERLINK("https://www.ncbi.nlm.nih.gov/protein/MCL2477210.1?report=genbank&amp;log$=prottop&amp;blast_rank=123&amp;RID=41AMWJZD01N","MCL2477210.1")</f>
        <v>MCL2477210.1</v>
      </c>
      <c r="G62" s="138"/>
    </row>
    <row r="63" spans="1:7" s="116" customFormat="1" ht="18" x14ac:dyDescent="0.25">
      <c r="A63" s="133" t="s">
        <v>46</v>
      </c>
      <c r="B63" s="134" t="s">
        <v>44</v>
      </c>
      <c r="C63" s="135">
        <v>9.9999999999999998E-114</v>
      </c>
      <c r="D63" s="136">
        <v>48.4</v>
      </c>
      <c r="E63" s="136">
        <v>492</v>
      </c>
      <c r="F63" s="137" t="str">
        <f>HYPERLINK("https://www.ncbi.nlm.nih.gov/protein/PVX27788.1?report=genbank&amp;log$=prottop&amp;blast_rank=81&amp;RID=41AMWJZD01N","PVX27788.1")</f>
        <v>PVX27788.1</v>
      </c>
      <c r="G63" s="138"/>
    </row>
    <row r="64" spans="1:7" s="115" customFormat="1" ht="18" x14ac:dyDescent="0.25">
      <c r="A64" s="133" t="s">
        <v>45</v>
      </c>
      <c r="B64" s="134" t="s">
        <v>44</v>
      </c>
      <c r="C64" s="135">
        <v>9.0000000000000005E-115</v>
      </c>
      <c r="D64" s="136">
        <v>42.86</v>
      </c>
      <c r="E64" s="136">
        <v>491</v>
      </c>
      <c r="F64" s="137" t="str">
        <f>HYPERLINK("https://www.ncbi.nlm.nih.gov/protein/MBS7651664.1?report=genbank&amp;log$=prottop&amp;blast_rank=76&amp;RID=41AMWJZD01N","MBS7651664.1")</f>
        <v>MBS7651664.1</v>
      </c>
      <c r="G64" s="138"/>
    </row>
    <row r="65" spans="1:7" s="116" customFormat="1" ht="18" x14ac:dyDescent="0.25">
      <c r="A65" s="133" t="s">
        <v>45</v>
      </c>
      <c r="B65" s="134" t="s">
        <v>44</v>
      </c>
      <c r="C65" s="135">
        <v>8.0000000000000003E-61</v>
      </c>
      <c r="D65" s="136">
        <v>34.450000000000003</v>
      </c>
      <c r="E65" s="136">
        <v>491</v>
      </c>
      <c r="F65" s="137" t="str">
        <f>HYPERLINK("https://www.ncbi.nlm.nih.gov/protein/MBE0511745.1?report=genbank&amp;log$=prottop&amp;blast_rank=451&amp;RID=41AMWJZD01N","MBE0511745.1")</f>
        <v>MBE0511745.1</v>
      </c>
      <c r="G65" s="138"/>
    </row>
    <row r="66" spans="1:7" s="116" customFormat="1" ht="18" x14ac:dyDescent="0.25">
      <c r="A66" s="133" t="s">
        <v>45</v>
      </c>
      <c r="B66" s="134" t="s">
        <v>44</v>
      </c>
      <c r="C66" s="135">
        <v>6.0000000000000003E-95</v>
      </c>
      <c r="D66" s="136">
        <v>40.61</v>
      </c>
      <c r="E66" s="136">
        <v>487</v>
      </c>
      <c r="F66" s="137" t="str">
        <f>HYPERLINK("https://www.ncbi.nlm.nih.gov/protein/MBS7650513.1?report=genbank&amp;log$=prottop&amp;blast_rank=187&amp;RID=41AMWJZD01N","MBS7650513.1")</f>
        <v>MBS7650513.1</v>
      </c>
      <c r="G66" s="138"/>
    </row>
    <row r="67" spans="1:7" s="115" customFormat="1" ht="18" x14ac:dyDescent="0.25">
      <c r="A67" s="133" t="s">
        <v>47</v>
      </c>
      <c r="B67" s="134" t="s">
        <v>44</v>
      </c>
      <c r="C67" s="135">
        <v>1.9999999999999999E-103</v>
      </c>
      <c r="D67" s="136">
        <v>40.090000000000003</v>
      </c>
      <c r="E67" s="136">
        <v>486</v>
      </c>
      <c r="F67" s="137" t="str">
        <f>HYPERLINK("https://www.ncbi.nlm.nih.gov/protein/HDO21043.1?report=genbank&amp;log$=prottop&amp;blast_rank=138&amp;RID=41AMWJZD01N","HDO21043.1")</f>
        <v>HDO21043.1</v>
      </c>
      <c r="G67" s="138"/>
    </row>
    <row r="68" spans="1:7" s="116" customFormat="1" ht="18" x14ac:dyDescent="0.25">
      <c r="A68" s="133" t="s">
        <v>45</v>
      </c>
      <c r="B68" s="134" t="s">
        <v>44</v>
      </c>
      <c r="C68" s="135">
        <v>9.9999999999999994E-68</v>
      </c>
      <c r="D68" s="136">
        <v>36.409999999999997</v>
      </c>
      <c r="E68" s="136">
        <v>486</v>
      </c>
      <c r="F68" s="137" t="str">
        <f>HYPERLINK("https://www.ncbi.nlm.nih.gov/protein/MCK4440143.1?report=genbank&amp;log$=prottop&amp;blast_rank=384&amp;RID=41AMWJZD01N","MCK4440143.1")</f>
        <v>MCK4440143.1</v>
      </c>
      <c r="G68" s="138"/>
    </row>
    <row r="69" spans="1:7" s="116" customFormat="1" ht="18" x14ac:dyDescent="0.25">
      <c r="A69" s="133" t="s">
        <v>45</v>
      </c>
      <c r="B69" s="134" t="s">
        <v>44</v>
      </c>
      <c r="C69" s="135">
        <v>2.0000000000000001E-108</v>
      </c>
      <c r="D69" s="136">
        <v>43.53</v>
      </c>
      <c r="E69" s="136">
        <v>485</v>
      </c>
      <c r="F69" s="137" t="str">
        <f>HYPERLINK("https://www.ncbi.nlm.nih.gov/protein/UCE15671.1?report=genbank&amp;log$=prottop&amp;blast_rank=112&amp;RID=41AMWJZD01N","UCE15671.1")</f>
        <v>UCE15671.1</v>
      </c>
      <c r="G69" s="138"/>
    </row>
    <row r="70" spans="1:7" s="115" customFormat="1" ht="18" x14ac:dyDescent="0.25">
      <c r="A70" s="133" t="s">
        <v>45</v>
      </c>
      <c r="B70" s="134" t="s">
        <v>44</v>
      </c>
      <c r="C70" s="135">
        <v>2E-113</v>
      </c>
      <c r="D70" s="136">
        <v>47.63</v>
      </c>
      <c r="E70" s="136">
        <v>484</v>
      </c>
      <c r="F70" s="137" t="str">
        <f>HYPERLINK("https://www.ncbi.nlm.nih.gov/protein/TET26702.1?report=genbank&amp;log$=prottop&amp;blast_rank=86&amp;RID=41AMWJZD01N","TET26702.1")</f>
        <v>TET26702.1</v>
      </c>
      <c r="G70" s="138"/>
    </row>
    <row r="71" spans="1:7" s="115" customFormat="1" ht="18" x14ac:dyDescent="0.25">
      <c r="A71" s="133" t="s">
        <v>45</v>
      </c>
      <c r="B71" s="134" t="s">
        <v>44</v>
      </c>
      <c r="C71" s="135">
        <v>1.9999999999999998E-71</v>
      </c>
      <c r="D71" s="136">
        <v>37.44</v>
      </c>
      <c r="E71" s="136">
        <v>484</v>
      </c>
      <c r="F71" s="137" t="str">
        <f>HYPERLINK("https://www.ncbi.nlm.nih.gov/protein/UCC58851.1?report=genbank&amp;log$=prottop&amp;blast_rank=377&amp;RID=41AMWJZD01N","UCC58851.1")</f>
        <v>UCC58851.1</v>
      </c>
      <c r="G71" s="138"/>
    </row>
    <row r="72" spans="1:7" s="115" customFormat="1" ht="18" x14ac:dyDescent="0.25">
      <c r="A72" s="133" t="s">
        <v>47</v>
      </c>
      <c r="B72" s="134" t="s">
        <v>44</v>
      </c>
      <c r="C72" s="135">
        <v>9.0000000000000004E-71</v>
      </c>
      <c r="D72" s="136">
        <v>37.47</v>
      </c>
      <c r="E72" s="136">
        <v>484</v>
      </c>
      <c r="F72" s="137" t="str">
        <f>HYPERLINK("https://www.ncbi.nlm.nih.gov/protein/HDQ05971.1?report=genbank&amp;log$=prottop&amp;blast_rank=378&amp;RID=41AMWJZD01N","HDQ05971.1")</f>
        <v>HDQ05971.1</v>
      </c>
      <c r="G72" s="138"/>
    </row>
    <row r="73" spans="1:7" s="115" customFormat="1" ht="18" x14ac:dyDescent="0.25">
      <c r="A73" s="133" t="s">
        <v>47</v>
      </c>
      <c r="B73" s="134" t="s">
        <v>44</v>
      </c>
      <c r="C73" s="135">
        <v>1.0000000000000001E-122</v>
      </c>
      <c r="D73" s="136">
        <v>50.39</v>
      </c>
      <c r="E73" s="136">
        <v>483</v>
      </c>
      <c r="F73" s="137" t="str">
        <f>HYPERLINK("https://www.ncbi.nlm.nih.gov/protein/HDM23956.1?report=genbank&amp;log$=prottop&amp;blast_rank=46&amp;RID=41AMWJZD01N","HDM23956.1")</f>
        <v>HDM23956.1</v>
      </c>
      <c r="G73" s="138"/>
    </row>
    <row r="74" spans="1:7" s="115" customFormat="1" ht="18" x14ac:dyDescent="0.25">
      <c r="A74" s="133" t="s">
        <v>45</v>
      </c>
      <c r="B74" s="134" t="s">
        <v>44</v>
      </c>
      <c r="C74" s="135">
        <v>3.0000000000000001E-113</v>
      </c>
      <c r="D74" s="136">
        <v>47.63</v>
      </c>
      <c r="E74" s="136">
        <v>483</v>
      </c>
      <c r="F74" s="137" t="str">
        <f>HYPERLINK("https://www.ncbi.nlm.nih.gov/protein/MBS7606095.1?report=genbank&amp;log$=prottop&amp;blast_rank=87&amp;RID=41AMWJZD01N","MBS7606095.1")</f>
        <v>MBS7606095.1</v>
      </c>
      <c r="G74" s="138"/>
    </row>
    <row r="75" spans="1:7" s="115" customFormat="1" ht="18" x14ac:dyDescent="0.25">
      <c r="A75" s="133" t="s">
        <v>45</v>
      </c>
      <c r="B75" s="134" t="s">
        <v>44</v>
      </c>
      <c r="C75" s="135">
        <v>7.0000000000000006E-113</v>
      </c>
      <c r="D75" s="136">
        <v>48.42</v>
      </c>
      <c r="E75" s="136">
        <v>483</v>
      </c>
      <c r="F75" s="137" t="str">
        <f>HYPERLINK("https://www.ncbi.nlm.nih.gov/protein/MBS7640029.1?report=genbank&amp;log$=prottop&amp;blast_rank=89&amp;RID=41AMWJZD01N","MBS7640029.1")</f>
        <v>MBS7640029.1</v>
      </c>
      <c r="G75" s="138"/>
    </row>
    <row r="76" spans="1:7" s="115" customFormat="1" ht="18" x14ac:dyDescent="0.25">
      <c r="A76" s="133" t="s">
        <v>45</v>
      </c>
      <c r="B76" s="134" t="s">
        <v>44</v>
      </c>
      <c r="C76" s="135">
        <v>4.0000000000000002E-62</v>
      </c>
      <c r="D76" s="136">
        <v>35.57</v>
      </c>
      <c r="E76" s="136">
        <v>483</v>
      </c>
      <c r="F76" s="137" t="str">
        <f>HYPERLINK("https://www.ncbi.nlm.nih.gov/protein/MCJ7559806.1?report=genbank&amp;log$=prottop&amp;blast_rank=429&amp;RID=41AMWJZD01N","MCJ7559806.1")</f>
        <v>MCJ7559806.1</v>
      </c>
      <c r="G76" s="138"/>
    </row>
    <row r="77" spans="1:7" s="115" customFormat="1" ht="18" x14ac:dyDescent="0.25">
      <c r="A77" s="133" t="s">
        <v>45</v>
      </c>
      <c r="B77" s="134" t="s">
        <v>44</v>
      </c>
      <c r="C77" s="135">
        <v>9.9999999999999994E-107</v>
      </c>
      <c r="D77" s="136">
        <v>41.6</v>
      </c>
      <c r="E77" s="136">
        <v>482</v>
      </c>
      <c r="F77" s="137" t="str">
        <f>HYPERLINK("https://www.ncbi.nlm.nih.gov/protein/MBS7643289.1?report=genbank&amp;log$=prottop&amp;blast_rank=117&amp;RID=41AMWJZD01N","MBS7643289.1")</f>
        <v>MBS7643289.1</v>
      </c>
      <c r="G77" s="138"/>
    </row>
    <row r="78" spans="1:7" s="115" customFormat="1" ht="18" x14ac:dyDescent="0.25">
      <c r="A78" s="133" t="s">
        <v>46</v>
      </c>
      <c r="B78" s="134" t="s">
        <v>44</v>
      </c>
      <c r="C78" s="135">
        <v>4.9999999999999999E-133</v>
      </c>
      <c r="D78" s="136">
        <v>53.47</v>
      </c>
      <c r="E78" s="136">
        <v>481</v>
      </c>
      <c r="F78" s="137" t="str">
        <f>HYPERLINK("https://www.ncbi.nlm.nih.gov/protein/RLI32125.1?report=genbank&amp;log$=prottop&amp;blast_rank=14&amp;RID=41AMWJZD01N","RLI32125.1")</f>
        <v>RLI32125.1</v>
      </c>
      <c r="G78" s="138"/>
    </row>
    <row r="79" spans="1:7" s="115" customFormat="1" ht="18" x14ac:dyDescent="0.25">
      <c r="A79" s="133" t="s">
        <v>45</v>
      </c>
      <c r="B79" s="134" t="s">
        <v>44</v>
      </c>
      <c r="C79" s="135">
        <v>6.9999999999999999E-112</v>
      </c>
      <c r="D79" s="136">
        <v>45.58</v>
      </c>
      <c r="E79" s="136">
        <v>481</v>
      </c>
      <c r="F79" s="137" t="str">
        <f>HYPERLINK("https://www.ncbi.nlm.nih.gov/protein/UCE57934.1?report=genbank&amp;log$=prottop&amp;blast_rank=95&amp;RID=41AMWJZD01N","UCE57934.1")</f>
        <v>UCE57934.1</v>
      </c>
      <c r="G79" s="138"/>
    </row>
    <row r="80" spans="1:7" s="115" customFormat="1" ht="18" x14ac:dyDescent="0.25">
      <c r="A80" s="133" t="s">
        <v>45</v>
      </c>
      <c r="B80" s="134" t="s">
        <v>44</v>
      </c>
      <c r="C80" s="135">
        <v>1.9999999999999999E-94</v>
      </c>
      <c r="D80" s="136">
        <v>43.55</v>
      </c>
      <c r="E80" s="136">
        <v>481</v>
      </c>
      <c r="F80" s="137" t="str">
        <f>HYPERLINK("https://www.ncbi.nlm.nih.gov/protein/MBE0513269.1?report=genbank&amp;log$=prottop&amp;blast_rank=194&amp;RID=41AMWJZD01N","MBE0513269.1")</f>
        <v>MBE0513269.1</v>
      </c>
      <c r="G80" s="138"/>
    </row>
    <row r="81" spans="1:7" s="115" customFormat="1" ht="18" x14ac:dyDescent="0.25">
      <c r="A81" s="133" t="s">
        <v>45</v>
      </c>
      <c r="B81" s="134" t="s">
        <v>44</v>
      </c>
      <c r="C81" s="135">
        <v>3E-131</v>
      </c>
      <c r="D81" s="136">
        <v>49.28</v>
      </c>
      <c r="E81" s="136">
        <v>480</v>
      </c>
      <c r="F81" s="137" t="str">
        <f>HYPERLINK("https://www.ncbi.nlm.nih.gov/protein/MBS7645768.1?report=genbank&amp;log$=prottop&amp;blast_rank=15&amp;RID=41AMWJZD01N","MBS7645768.1")</f>
        <v>MBS7645768.1</v>
      </c>
      <c r="G81" s="138"/>
    </row>
    <row r="82" spans="1:7" s="115" customFormat="1" ht="18" x14ac:dyDescent="0.25">
      <c r="A82" s="133" t="s">
        <v>45</v>
      </c>
      <c r="B82" s="134" t="s">
        <v>44</v>
      </c>
      <c r="C82" s="135">
        <v>7.9999999999999998E-121</v>
      </c>
      <c r="D82" s="136">
        <v>43.97</v>
      </c>
      <c r="E82" s="136">
        <v>480</v>
      </c>
      <c r="F82" s="137" t="str">
        <f>HYPERLINK("https://www.ncbi.nlm.nih.gov/protein/RJS86487.1?report=genbank&amp;log$=prottop&amp;blast_rank=54&amp;RID=41AMWJZD01N","RJS86487.1")</f>
        <v>RJS86487.1</v>
      </c>
      <c r="G82" s="138"/>
    </row>
    <row r="83" spans="1:7" s="115" customFormat="1" ht="18" x14ac:dyDescent="0.25">
      <c r="A83" s="133" t="s">
        <v>46</v>
      </c>
      <c r="B83" s="134" t="s">
        <v>44</v>
      </c>
      <c r="C83" s="135">
        <v>2E-120</v>
      </c>
      <c r="D83" s="136">
        <v>43.97</v>
      </c>
      <c r="E83" s="136">
        <v>480</v>
      </c>
      <c r="F83" s="137" t="str">
        <f>HYPERLINK("https://www.ncbi.nlm.nih.gov/protein/RLI08885.1?report=genbank&amp;log$=prottop&amp;blast_rank=57&amp;RID=41AMWJZD01N","RLI08885.1")</f>
        <v>RLI08885.1</v>
      </c>
      <c r="G83" s="138"/>
    </row>
    <row r="84" spans="1:7" s="115" customFormat="1" ht="18" x14ac:dyDescent="0.25">
      <c r="A84" s="133" t="s">
        <v>45</v>
      </c>
      <c r="B84" s="134" t="s">
        <v>44</v>
      </c>
      <c r="C84" s="135">
        <v>2E-118</v>
      </c>
      <c r="D84" s="136">
        <v>44.78</v>
      </c>
      <c r="E84" s="136">
        <v>480</v>
      </c>
      <c r="F84" s="137" t="str">
        <f>HYPERLINK("https://www.ncbi.nlm.nih.gov/protein/MCD6445976.1?report=genbank&amp;log$=prottop&amp;blast_rank=63&amp;RID=41AMWJZD01N","MCD6445976.1")</f>
        <v>MCD6445976.1</v>
      </c>
      <c r="G84" s="138"/>
    </row>
    <row r="85" spans="1:7" s="115" customFormat="1" ht="18" x14ac:dyDescent="0.25">
      <c r="A85" s="133" t="s">
        <v>46</v>
      </c>
      <c r="B85" s="134" t="s">
        <v>44</v>
      </c>
      <c r="C85" s="135">
        <v>5.0000000000000001E-118</v>
      </c>
      <c r="D85" s="136">
        <v>42.89</v>
      </c>
      <c r="E85" s="136">
        <v>478</v>
      </c>
      <c r="F85" s="137" t="str">
        <f>HYPERLINK("https://www.ncbi.nlm.nih.gov/protein/RLI43425.1?report=genbank&amp;log$=prottop&amp;blast_rank=67&amp;RID=41AMWJZD01N","RLI43425.1")</f>
        <v>RLI43425.1</v>
      </c>
      <c r="G85" s="138"/>
    </row>
    <row r="86" spans="1:7" s="115" customFormat="1" ht="18" x14ac:dyDescent="0.25">
      <c r="A86" s="133" t="s">
        <v>45</v>
      </c>
      <c r="B86" s="134" t="s">
        <v>44</v>
      </c>
      <c r="C86" s="135">
        <v>1.0000000000000001E-130</v>
      </c>
      <c r="D86" s="136">
        <v>52.38</v>
      </c>
      <c r="E86" s="136">
        <v>477</v>
      </c>
      <c r="F86" s="137" t="str">
        <f>HYPERLINK("https://www.ncbi.nlm.nih.gov/protein/MBS7658551.1?report=genbank&amp;log$=prottop&amp;blast_rank=16&amp;RID=41AMWJZD01N","MBS7658551.1")</f>
        <v>MBS7658551.1</v>
      </c>
      <c r="G86" s="138"/>
    </row>
    <row r="87" spans="1:7" s="115" customFormat="1" ht="18" x14ac:dyDescent="0.25">
      <c r="A87" s="133" t="s">
        <v>47</v>
      </c>
      <c r="B87" s="134" t="s">
        <v>44</v>
      </c>
      <c r="C87" s="135">
        <v>4E-95</v>
      </c>
      <c r="D87" s="136">
        <v>42.41</v>
      </c>
      <c r="E87" s="136">
        <v>477</v>
      </c>
      <c r="F87" s="137" t="str">
        <f>HYPERLINK("https://www.ncbi.nlm.nih.gov/protein/HID90683.1?report=genbank&amp;log$=prottop&amp;blast_rank=185&amp;RID=41AMWJZD01N","HID90683.1")</f>
        <v>HID90683.1</v>
      </c>
      <c r="G87" s="138"/>
    </row>
    <row r="88" spans="1:7" s="115" customFormat="1" ht="18" x14ac:dyDescent="0.25">
      <c r="A88" s="133" t="s">
        <v>45</v>
      </c>
      <c r="B88" s="134" t="s">
        <v>44</v>
      </c>
      <c r="C88" s="135">
        <v>4E-116</v>
      </c>
      <c r="D88" s="136">
        <v>46.1</v>
      </c>
      <c r="E88" s="136">
        <v>476</v>
      </c>
      <c r="F88" s="137" t="str">
        <f>HYPERLINK("https://www.ncbi.nlm.nih.gov/protein/MBE0519534.1?report=genbank&amp;log$=prottop&amp;blast_rank=73&amp;RID=41AMWJZD01N","MBE0519534.1")</f>
        <v>MBE0519534.1</v>
      </c>
      <c r="G88" s="138"/>
    </row>
    <row r="89" spans="1:7" s="115" customFormat="1" ht="18" x14ac:dyDescent="0.25">
      <c r="A89" s="133" t="s">
        <v>45</v>
      </c>
      <c r="B89" s="134" t="s">
        <v>44</v>
      </c>
      <c r="C89" s="135">
        <v>4.9999999999999995E-94</v>
      </c>
      <c r="D89" s="136">
        <v>43.3</v>
      </c>
      <c r="E89" s="136">
        <v>476</v>
      </c>
      <c r="F89" s="137" t="str">
        <f>HYPERLINK("https://www.ncbi.nlm.nih.gov/protein/MCL1971037.1?report=genbank&amp;log$=prottop&amp;blast_rank=200&amp;RID=41AMWJZD01N","MCL1971037.1")</f>
        <v>MCL1971037.1</v>
      </c>
      <c r="G89" s="138"/>
    </row>
    <row r="90" spans="1:7" s="115" customFormat="1" ht="18" x14ac:dyDescent="0.25">
      <c r="A90" s="133" t="s">
        <v>45</v>
      </c>
      <c r="B90" s="134" t="s">
        <v>44</v>
      </c>
      <c r="C90" s="135">
        <v>2.9999999999999999E-110</v>
      </c>
      <c r="D90" s="136">
        <v>45.19</v>
      </c>
      <c r="E90" s="136">
        <v>475</v>
      </c>
      <c r="F90" s="137" t="str">
        <f>HYPERLINK("https://www.ncbi.nlm.nih.gov/protein/MCS7096415.1?report=genbank&amp;log$=prottop&amp;blast_rank=102&amp;RID=41AMWJZD01N","MCS7096415.1")</f>
        <v>MCS7096415.1</v>
      </c>
      <c r="G90" s="138"/>
    </row>
    <row r="91" spans="1:7" s="115" customFormat="1" ht="18" x14ac:dyDescent="0.25">
      <c r="A91" s="133" t="s">
        <v>46</v>
      </c>
      <c r="B91" s="134" t="s">
        <v>44</v>
      </c>
      <c r="C91" s="135">
        <v>4E-92</v>
      </c>
      <c r="D91" s="136">
        <v>39.15</v>
      </c>
      <c r="E91" s="136">
        <v>475</v>
      </c>
      <c r="F91" s="137" t="str">
        <f>HYPERLINK("https://www.ncbi.nlm.nih.gov/protein/RLG93690.1?report=genbank&amp;log$=prottop&amp;blast_rank=216&amp;RID=41AMWJZD01N","RLG93690.1")</f>
        <v>RLG93690.1</v>
      </c>
      <c r="G91" s="138"/>
    </row>
    <row r="92" spans="1:7" s="115" customFormat="1" ht="18" x14ac:dyDescent="0.25">
      <c r="A92" s="133" t="s">
        <v>45</v>
      </c>
      <c r="B92" s="134" t="s">
        <v>44</v>
      </c>
      <c r="C92" s="135">
        <v>9.9999999999999998E-138</v>
      </c>
      <c r="D92" s="136">
        <v>52.37</v>
      </c>
      <c r="E92" s="136">
        <v>474</v>
      </c>
      <c r="F92" s="137" t="str">
        <f>HYPERLINK("https://www.ncbi.nlm.nih.gov/protein/RJX16273.1?report=genbank&amp;log$=prottop&amp;blast_rank=5&amp;RID=41AMWJZD01N","RJX16273.1")</f>
        <v>RJX16273.1</v>
      </c>
      <c r="G92" s="138"/>
    </row>
    <row r="93" spans="1:7" s="115" customFormat="1" ht="18" x14ac:dyDescent="0.25">
      <c r="A93" s="133" t="s">
        <v>45</v>
      </c>
      <c r="B93" s="134" t="s">
        <v>44</v>
      </c>
      <c r="C93" s="135">
        <v>3.0000000000000002E-104</v>
      </c>
      <c r="D93" s="136">
        <v>39.28</v>
      </c>
      <c r="E93" s="136">
        <v>474</v>
      </c>
      <c r="F93" s="137" t="str">
        <f>HYPERLINK("https://www.ncbi.nlm.nih.gov/protein/MCL2691225.1?report=genbank&amp;log$=prottop&amp;blast_rank=133&amp;RID=41AMWJZD01N","MCL2691225.1")</f>
        <v>MCL2691225.1</v>
      </c>
      <c r="G93" s="138"/>
    </row>
    <row r="94" spans="1:7" s="115" customFormat="1" ht="18" x14ac:dyDescent="0.25">
      <c r="A94" s="133" t="s">
        <v>45</v>
      </c>
      <c r="B94" s="134" t="s">
        <v>44</v>
      </c>
      <c r="C94" s="135">
        <v>8.0000000000000003E-134</v>
      </c>
      <c r="D94" s="136">
        <v>49.76</v>
      </c>
      <c r="E94" s="136">
        <v>473</v>
      </c>
      <c r="F94" s="137" t="str">
        <f>HYPERLINK("https://www.ncbi.nlm.nih.gov/protein/MBS7655069.1?report=genbank&amp;log$=prottop&amp;blast_rank=11&amp;RID=41AMWJZD01N","MBS7655069.1")</f>
        <v>MBS7655069.1</v>
      </c>
      <c r="G94" s="138"/>
    </row>
    <row r="95" spans="1:7" s="115" customFormat="1" ht="18" x14ac:dyDescent="0.25">
      <c r="A95" s="133" t="s">
        <v>45</v>
      </c>
      <c r="B95" s="134" t="s">
        <v>44</v>
      </c>
      <c r="C95" s="135">
        <v>9E-102</v>
      </c>
      <c r="D95" s="136">
        <v>45.19</v>
      </c>
      <c r="E95" s="136">
        <v>473</v>
      </c>
      <c r="F95" s="137" t="str">
        <f>HYPERLINK("https://www.ncbi.nlm.nih.gov/protein/MCL2289059.1?report=genbank&amp;log$=prottop&amp;blast_rank=146&amp;RID=41AMWJZD01N","MCL2289059.1")</f>
        <v>MCL2289059.1</v>
      </c>
      <c r="G95" s="138"/>
    </row>
    <row r="96" spans="1:7" s="115" customFormat="1" ht="18" x14ac:dyDescent="0.25">
      <c r="A96" s="133" t="s">
        <v>45</v>
      </c>
      <c r="B96" s="134" t="s">
        <v>44</v>
      </c>
      <c r="C96" s="135">
        <v>6.0000000000000004E-106</v>
      </c>
      <c r="D96" s="136">
        <v>41.28</v>
      </c>
      <c r="E96" s="136">
        <v>472</v>
      </c>
      <c r="F96" s="137" t="str">
        <f>HYPERLINK("https://www.ncbi.nlm.nih.gov/protein/MCL2172040.1?report=genbank&amp;log$=prottop&amp;blast_rank=121&amp;RID=41AMWJZD01N","MCL2172040.1")</f>
        <v>MCL2172040.1</v>
      </c>
      <c r="G96" s="138"/>
    </row>
    <row r="97" spans="1:7" s="115" customFormat="1" ht="18" x14ac:dyDescent="0.25">
      <c r="A97" s="133" t="s">
        <v>45</v>
      </c>
      <c r="B97" s="134" t="s">
        <v>44</v>
      </c>
      <c r="C97" s="135">
        <v>2.0000000000000001E-114</v>
      </c>
      <c r="D97" s="136">
        <v>48.94</v>
      </c>
      <c r="E97" s="136">
        <v>470</v>
      </c>
      <c r="F97" s="137" t="str">
        <f>HYPERLINK("https://www.ncbi.nlm.nih.gov/protein/TET26177.1?report=genbank&amp;log$=prottop&amp;blast_rank=79&amp;RID=41AMWJZD01N","TET26177.1")</f>
        <v>TET26177.1</v>
      </c>
      <c r="G97" s="138"/>
    </row>
    <row r="98" spans="1:7" s="115" customFormat="1" ht="18" x14ac:dyDescent="0.25">
      <c r="A98" s="133" t="s">
        <v>47</v>
      </c>
      <c r="B98" s="134" t="s">
        <v>44</v>
      </c>
      <c r="C98" s="135">
        <v>1.9999999999999999E-112</v>
      </c>
      <c r="D98" s="136">
        <v>46.26</v>
      </c>
      <c r="E98" s="136">
        <v>470</v>
      </c>
      <c r="F98" s="137" t="str">
        <f>HYPERLINK("https://www.ncbi.nlm.nih.gov/protein/HDQ05501.1?report=genbank&amp;log$=prottop&amp;blast_rank=93&amp;RID=41AMWJZD01N","HDQ05501.1")</f>
        <v>HDQ05501.1</v>
      </c>
      <c r="G98" s="138"/>
    </row>
    <row r="99" spans="1:7" s="115" customFormat="1" ht="18" x14ac:dyDescent="0.25">
      <c r="A99" s="133" t="s">
        <v>45</v>
      </c>
      <c r="B99" s="134" t="s">
        <v>44</v>
      </c>
      <c r="C99" s="135">
        <v>6.9999999999999999E-112</v>
      </c>
      <c r="D99" s="136">
        <v>48.15</v>
      </c>
      <c r="E99" s="136">
        <v>470</v>
      </c>
      <c r="F99" s="137" t="str">
        <f>HYPERLINK("https://www.ncbi.nlm.nih.gov/protein/MCJ7613185.1?report=genbank&amp;log$=prottop&amp;blast_rank=94&amp;RID=41AMWJZD01N","MCJ7613185.1")</f>
        <v>MCJ7613185.1</v>
      </c>
      <c r="G99" s="138"/>
    </row>
    <row r="100" spans="1:7" s="115" customFormat="1" ht="18" x14ac:dyDescent="0.25">
      <c r="A100" s="133" t="s">
        <v>46</v>
      </c>
      <c r="B100" s="134" t="s">
        <v>44</v>
      </c>
      <c r="C100" s="135">
        <v>1.0000000000000001E-110</v>
      </c>
      <c r="D100" s="136">
        <v>46.28</v>
      </c>
      <c r="E100" s="136">
        <v>470</v>
      </c>
      <c r="F100" s="137" t="str">
        <f>HYPERLINK("https://www.ncbi.nlm.nih.gov/protein/PVX24752.1?report=genbank&amp;log$=prottop&amp;blast_rank=100&amp;RID=41AMWJZD01N","PVX24752.1")</f>
        <v>PVX24752.1</v>
      </c>
      <c r="G100" s="138"/>
    </row>
    <row r="101" spans="1:7" s="115" customFormat="1" ht="18" x14ac:dyDescent="0.25">
      <c r="A101" s="133" t="s">
        <v>45</v>
      </c>
      <c r="B101" s="134" t="s">
        <v>44</v>
      </c>
      <c r="C101" s="135">
        <v>2.9999999999999999E-108</v>
      </c>
      <c r="D101" s="136">
        <v>44.65</v>
      </c>
      <c r="E101" s="136">
        <v>470</v>
      </c>
      <c r="F101" s="137" t="str">
        <f>HYPERLINK("https://www.ncbi.nlm.nih.gov/protein/UCC58939.1?report=genbank&amp;log$=prottop&amp;blast_rank=113&amp;RID=41AMWJZD01N","UCC58939.1")</f>
        <v>UCC58939.1</v>
      </c>
      <c r="G101" s="138"/>
    </row>
    <row r="102" spans="1:7" s="115" customFormat="1" ht="18" x14ac:dyDescent="0.25">
      <c r="A102" s="133" t="s">
        <v>45</v>
      </c>
      <c r="B102" s="134" t="s">
        <v>44</v>
      </c>
      <c r="C102" s="135">
        <v>2.0000000000000001E-117</v>
      </c>
      <c r="D102" s="136">
        <v>41.31</v>
      </c>
      <c r="E102" s="136">
        <v>469</v>
      </c>
      <c r="F102" s="137" t="str">
        <f>HYPERLINK("https://www.ncbi.nlm.nih.gov/protein/MCS7124304.1?report=genbank&amp;log$=prottop&amp;blast_rank=70&amp;RID=41AMWJZD01N","MCS7124304.1")</f>
        <v>MCS7124304.1</v>
      </c>
      <c r="G102" s="138"/>
    </row>
    <row r="103" spans="1:7" s="115" customFormat="1" ht="18" x14ac:dyDescent="0.25">
      <c r="A103" s="133" t="s">
        <v>46</v>
      </c>
      <c r="B103" s="134" t="s">
        <v>44</v>
      </c>
      <c r="C103" s="135">
        <v>9.9999999999999998E-114</v>
      </c>
      <c r="D103" s="136">
        <v>49.33</v>
      </c>
      <c r="E103" s="136">
        <v>469</v>
      </c>
      <c r="F103" s="137" t="str">
        <f>HYPERLINK("https://www.ncbi.nlm.nih.gov/protein/PVX24567.1?report=genbank&amp;log$=prottop&amp;blast_rank=82&amp;RID=41AMWJZD01N","PVX24567.1")</f>
        <v>PVX24567.1</v>
      </c>
      <c r="G103" s="138"/>
    </row>
    <row r="104" spans="1:7" s="115" customFormat="1" ht="18" x14ac:dyDescent="0.25">
      <c r="A104" s="133" t="s">
        <v>45</v>
      </c>
      <c r="B104" s="134" t="s">
        <v>44</v>
      </c>
      <c r="C104" s="135">
        <v>3.0000000000000001E-105</v>
      </c>
      <c r="D104" s="136">
        <v>45.04</v>
      </c>
      <c r="E104" s="136">
        <v>469</v>
      </c>
      <c r="F104" s="137" t="str">
        <f>HYPERLINK("https://www.ncbi.nlm.nih.gov/protein/MBE0513303.1?report=genbank&amp;log$=prottop&amp;blast_rank=130&amp;RID=41AMWJZD01N","MBE0513303.1")</f>
        <v>MBE0513303.1</v>
      </c>
      <c r="G104" s="138"/>
    </row>
    <row r="105" spans="1:7" s="115" customFormat="1" ht="18" x14ac:dyDescent="0.25">
      <c r="A105" s="133" t="s">
        <v>45</v>
      </c>
      <c r="B105" s="134" t="s">
        <v>44</v>
      </c>
      <c r="C105" s="135">
        <v>9.9999999999999999E-110</v>
      </c>
      <c r="D105" s="136">
        <v>48.66</v>
      </c>
      <c r="E105" s="136">
        <v>468</v>
      </c>
      <c r="F105" s="137" t="str">
        <f>HYPERLINK("https://www.ncbi.nlm.nih.gov/protein/TRO51186.1?report=genbank&amp;log$=prottop&amp;blast_rank=104&amp;RID=41AMWJZD01N","TRO51186.1")</f>
        <v>TRO51186.1</v>
      </c>
      <c r="G105" s="138"/>
    </row>
    <row r="106" spans="1:7" s="115" customFormat="1" ht="18" x14ac:dyDescent="0.25">
      <c r="A106" s="133" t="s">
        <v>45</v>
      </c>
      <c r="B106" s="134" t="s">
        <v>44</v>
      </c>
      <c r="C106" s="135">
        <v>1.0000000000000001E-114</v>
      </c>
      <c r="D106" s="136">
        <v>40.82</v>
      </c>
      <c r="E106" s="136">
        <v>465</v>
      </c>
      <c r="F106" s="137" t="str">
        <f>HYPERLINK("https://www.ncbi.nlm.nih.gov/protein/MBS7651441.1?report=genbank&amp;log$=prottop&amp;blast_rank=78&amp;RID=41AMWJZD01N","MBS7651441.1")</f>
        <v>MBS7651441.1</v>
      </c>
      <c r="G106" s="138"/>
    </row>
    <row r="107" spans="1:7" s="115" customFormat="1" ht="18" x14ac:dyDescent="0.25">
      <c r="A107" s="133" t="s">
        <v>47</v>
      </c>
      <c r="B107" s="134" t="s">
        <v>44</v>
      </c>
      <c r="C107" s="135">
        <v>1.0000000000000001E-110</v>
      </c>
      <c r="D107" s="136">
        <v>40.270000000000003</v>
      </c>
      <c r="E107" s="136">
        <v>463</v>
      </c>
      <c r="F107" s="137" t="str">
        <f>HYPERLINK("https://www.ncbi.nlm.nih.gov/protein/HID19179.1?report=genbank&amp;log$=prottop&amp;blast_rank=99&amp;RID=41AMWJZD01N","HID19179.1")</f>
        <v>HID19179.1</v>
      </c>
      <c r="G107" s="138"/>
    </row>
    <row r="108" spans="1:7" s="115" customFormat="1" ht="18" x14ac:dyDescent="0.25">
      <c r="A108" s="133" t="s">
        <v>45</v>
      </c>
      <c r="B108" s="134" t="s">
        <v>44</v>
      </c>
      <c r="C108" s="135">
        <v>9.9999999999999998E-67</v>
      </c>
      <c r="D108" s="136">
        <v>34.630000000000003</v>
      </c>
      <c r="E108" s="136">
        <v>462</v>
      </c>
      <c r="F108" s="137" t="str">
        <f>HYPERLINK("https://www.ncbi.nlm.nih.gov/protein/MCJ7456503.1?report=genbank&amp;log$=prottop&amp;blast_rank=387&amp;RID=41AMWJZD01N","MCJ7456503.1")</f>
        <v>MCJ7456503.1</v>
      </c>
      <c r="G108" s="138"/>
    </row>
    <row r="109" spans="1:7" s="115" customFormat="1" ht="18" x14ac:dyDescent="0.25">
      <c r="A109" s="133" t="s">
        <v>45</v>
      </c>
      <c r="B109" s="134" t="s">
        <v>44</v>
      </c>
      <c r="C109" s="135">
        <v>2.9999999999999999E-110</v>
      </c>
      <c r="D109" s="136">
        <v>45.36</v>
      </c>
      <c r="E109" s="136">
        <v>461</v>
      </c>
      <c r="F109" s="137" t="str">
        <f>HYPERLINK("https://www.ncbi.nlm.nih.gov/protein/MCJ7713327.1?report=genbank&amp;log$=prottop&amp;blast_rank=101&amp;RID=41AMWJZD01N","MCJ7713327.1")</f>
        <v>MCJ7713327.1</v>
      </c>
      <c r="G109" s="138"/>
    </row>
    <row r="110" spans="1:7" s="115" customFormat="1" ht="18" x14ac:dyDescent="0.25">
      <c r="A110" s="133" t="s">
        <v>46</v>
      </c>
      <c r="B110" s="134" t="s">
        <v>44</v>
      </c>
      <c r="C110" s="135">
        <v>2E-118</v>
      </c>
      <c r="D110" s="136">
        <v>47.63</v>
      </c>
      <c r="E110" s="136">
        <v>454</v>
      </c>
      <c r="F110" s="137" t="str">
        <f>HYPERLINK("https://www.ncbi.nlm.nih.gov/protein/RLI44376.1?report=genbank&amp;log$=prottop&amp;blast_rank=65&amp;RID=41AMWJZD01N","RLI44376.1")</f>
        <v>RLI44376.1</v>
      </c>
      <c r="G110" s="138"/>
    </row>
    <row r="111" spans="1:7" s="115" customFormat="1" ht="18" x14ac:dyDescent="0.25">
      <c r="A111" s="133" t="s">
        <v>45</v>
      </c>
      <c r="B111" s="134" t="s">
        <v>44</v>
      </c>
      <c r="C111" s="135">
        <v>8E-90</v>
      </c>
      <c r="D111" s="136">
        <v>41.4</v>
      </c>
      <c r="E111" s="136">
        <v>450</v>
      </c>
      <c r="F111" s="137" t="str">
        <f>HYPERLINK("https://www.ncbi.nlm.nih.gov/protein/UCE29087.1?report=genbank&amp;log$=prottop&amp;blast_rank=272&amp;RID=41AMWJZD01N","UCE29087.1")</f>
        <v>UCE29087.1</v>
      </c>
      <c r="G111" s="138"/>
    </row>
    <row r="112" spans="1:7" s="115" customFormat="1" ht="18" x14ac:dyDescent="0.25">
      <c r="A112" s="133" t="s">
        <v>45</v>
      </c>
      <c r="B112" s="134" t="s">
        <v>44</v>
      </c>
      <c r="C112" s="135">
        <v>9.9999999999999997E-106</v>
      </c>
      <c r="D112" s="136">
        <v>43.39</v>
      </c>
      <c r="E112" s="136">
        <v>447</v>
      </c>
      <c r="F112" s="137" t="str">
        <f>HYPERLINK("https://www.ncbi.nlm.nih.gov/protein/MBS7623461.1?report=genbank&amp;log$=prottop&amp;blast_rank=128&amp;RID=41AMWJZD01N","MBS7623461.1")</f>
        <v>MBS7623461.1</v>
      </c>
      <c r="G112" s="138"/>
    </row>
    <row r="113" spans="1:7" s="115" customFormat="1" ht="18" x14ac:dyDescent="0.25">
      <c r="A113" s="133" t="s">
        <v>45</v>
      </c>
      <c r="B113" s="134" t="s">
        <v>44</v>
      </c>
      <c r="C113" s="135">
        <v>4.0000000000000002E-62</v>
      </c>
      <c r="D113" s="136">
        <v>33.67</v>
      </c>
      <c r="E113" s="136">
        <v>442</v>
      </c>
      <c r="F113" s="137" t="str">
        <f>HYPERLINK("https://www.ncbi.nlm.nih.gov/protein/UCH01767.1?report=genbank&amp;log$=prottop&amp;blast_rank=432&amp;RID=41AMWJZD01N","UCH01767.1")</f>
        <v>UCH01767.1</v>
      </c>
      <c r="G113" s="138"/>
    </row>
    <row r="114" spans="1:7" s="115" customFormat="1" ht="18" x14ac:dyDescent="0.25">
      <c r="A114" s="133" t="s">
        <v>47</v>
      </c>
      <c r="B114" s="134" t="s">
        <v>44</v>
      </c>
      <c r="C114" s="135">
        <v>1E-125</v>
      </c>
      <c r="D114" s="136">
        <v>47.79</v>
      </c>
      <c r="E114" s="136">
        <v>441</v>
      </c>
      <c r="F114" s="137" t="str">
        <f>HYPERLINK("https://www.ncbi.nlm.nih.gov/protein/HID17307.1?report=genbank&amp;log$=prottop&amp;blast_rank=40&amp;RID=41AMWJZD01N","HID17307.1")</f>
        <v>HID17307.1</v>
      </c>
      <c r="G114" s="138"/>
    </row>
    <row r="115" spans="1:7" s="115" customFormat="1" ht="18" x14ac:dyDescent="0.25">
      <c r="A115" s="133" t="s">
        <v>46</v>
      </c>
      <c r="B115" s="134" t="s">
        <v>44</v>
      </c>
      <c r="C115" s="135">
        <v>6.0000000000000002E-127</v>
      </c>
      <c r="D115" s="136">
        <v>50.52</v>
      </c>
      <c r="E115" s="136">
        <v>436</v>
      </c>
      <c r="F115" s="137" t="str">
        <f>HYPERLINK("https://www.ncbi.nlm.nih.gov/protein/RLI31508.1?report=genbank&amp;log$=prottop&amp;blast_rank=30&amp;RID=41AMWJZD01N","RLI31508.1")</f>
        <v>RLI31508.1</v>
      </c>
      <c r="G115" s="138"/>
    </row>
    <row r="116" spans="1:7" s="115" customFormat="1" ht="18" x14ac:dyDescent="0.25">
      <c r="A116" s="133" t="s">
        <v>46</v>
      </c>
      <c r="B116" s="134" t="s">
        <v>44</v>
      </c>
      <c r="C116" s="135">
        <v>9.9999999999999998E-86</v>
      </c>
      <c r="D116" s="136">
        <v>40.53</v>
      </c>
      <c r="E116" s="136">
        <v>423</v>
      </c>
      <c r="F116" s="137" t="str">
        <f>HYPERLINK("https://www.ncbi.nlm.nih.gov/protein/RLI42666.1?report=genbank&amp;log$=prottop&amp;blast_rank=323&amp;RID=41AMWJZD01N","RLI42666.1")</f>
        <v>RLI42666.1</v>
      </c>
      <c r="G116" s="138"/>
    </row>
    <row r="117" spans="1:7" s="115" customFormat="1" ht="18" x14ac:dyDescent="0.25">
      <c r="A117" s="133" t="s">
        <v>45</v>
      </c>
      <c r="B117" s="134" t="s">
        <v>44</v>
      </c>
      <c r="C117" s="135">
        <v>3.0000000000000002E-109</v>
      </c>
      <c r="D117" s="136">
        <v>45.53</v>
      </c>
      <c r="E117" s="136">
        <v>422</v>
      </c>
      <c r="F117" s="137" t="str">
        <f>HYPERLINK("https://www.ncbi.nlm.nih.gov/protein/MBS7631303.1?report=genbank&amp;log$=prottop&amp;blast_rank=105&amp;RID=41AMWJZD01N","MBS7631303.1")</f>
        <v>MBS7631303.1</v>
      </c>
      <c r="G117" s="138"/>
    </row>
    <row r="118" spans="1:7" s="115" customFormat="1" ht="18" x14ac:dyDescent="0.25">
      <c r="A118" s="133" t="s">
        <v>45</v>
      </c>
      <c r="B118" s="134" t="s">
        <v>44</v>
      </c>
      <c r="C118" s="135">
        <v>1.9999999999999998E-65</v>
      </c>
      <c r="D118" s="136">
        <v>36.25</v>
      </c>
      <c r="E118" s="136">
        <v>422</v>
      </c>
      <c r="F118" s="137" t="str">
        <f>HYPERLINK("https://www.ncbi.nlm.nih.gov/protein/MCJ7505093.1?report=genbank&amp;log$=prottop&amp;blast_rank=395&amp;RID=41AMWJZD01N","MCJ7505093.1")</f>
        <v>MCJ7505093.1</v>
      </c>
      <c r="G118" s="138"/>
    </row>
    <row r="119" spans="1:7" s="115" customFormat="1" ht="18" x14ac:dyDescent="0.25">
      <c r="A119" s="133" t="s">
        <v>48</v>
      </c>
      <c r="B119" s="134" t="s">
        <v>49</v>
      </c>
      <c r="C119" s="135">
        <v>7.0000000000000002E-84</v>
      </c>
      <c r="D119" s="136">
        <v>39.950000000000003</v>
      </c>
      <c r="E119" s="136">
        <v>509</v>
      </c>
      <c r="F119" s="137" t="str">
        <f>HYPERLINK("https://www.ncbi.nlm.nih.gov/protein/MBT0160087.1?report=genbank&amp;log$=prottop&amp;blast_rank=335&amp;RID=41AMWJZD01N","MBT0160087.1")</f>
        <v>MBT0160087.1</v>
      </c>
      <c r="G119" s="138"/>
    </row>
    <row r="120" spans="1:7" s="115" customFormat="1" ht="18" x14ac:dyDescent="0.25">
      <c r="A120" s="133" t="s">
        <v>48</v>
      </c>
      <c r="B120" s="134" t="s">
        <v>49</v>
      </c>
      <c r="C120" s="135">
        <v>3.0000000000000003E-116</v>
      </c>
      <c r="D120" s="136">
        <v>46.23</v>
      </c>
      <c r="E120" s="136">
        <v>473</v>
      </c>
      <c r="F120" s="137" t="str">
        <f>HYPERLINK("https://www.ncbi.nlm.nih.gov/protein/MBT0158889.1?report=genbank&amp;log$=prottop&amp;blast_rank=72&amp;RID=41AMWJZD01N","MBT0158889.1")</f>
        <v>MBT0158889.1</v>
      </c>
      <c r="G120" s="138"/>
    </row>
    <row r="121" spans="1:7" s="115" customFormat="1" ht="18" x14ac:dyDescent="0.25">
      <c r="A121" s="133" t="s">
        <v>50</v>
      </c>
      <c r="B121" s="134" t="s">
        <v>51</v>
      </c>
      <c r="C121" s="135">
        <v>8E-90</v>
      </c>
      <c r="D121" s="136">
        <v>40.590000000000003</v>
      </c>
      <c r="E121" s="136">
        <v>508</v>
      </c>
      <c r="F121" s="137" t="str">
        <f>HYPERLINK("https://www.ncbi.nlm.nih.gov/protein/MBX5320706.1?report=genbank&amp;log$=prottop&amp;blast_rank=271&amp;RID=41AMWJZD01N","MBX5320706.1")</f>
        <v>MBX5320706.1</v>
      </c>
      <c r="G121" s="138"/>
    </row>
    <row r="122" spans="1:7" s="115" customFormat="1" ht="18" x14ac:dyDescent="0.25">
      <c r="A122" s="133" t="s">
        <v>50</v>
      </c>
      <c r="B122" s="134" t="s">
        <v>51</v>
      </c>
      <c r="C122" s="135">
        <v>6.0000000000000004E-119</v>
      </c>
      <c r="D122" s="136">
        <v>47.91</v>
      </c>
      <c r="E122" s="136">
        <v>446</v>
      </c>
      <c r="F122" s="137" t="str">
        <f>HYPERLINK("https://www.ncbi.nlm.nih.gov/protein/MBX5320482.1?report=genbank&amp;log$=prottop&amp;blast_rank=60&amp;RID=41AMWJZD01N","MBX5320482.1")</f>
        <v>MBX5320482.1</v>
      </c>
      <c r="G122" s="138"/>
    </row>
    <row r="123" spans="1:7" s="115" customFormat="1" ht="18" x14ac:dyDescent="0.25">
      <c r="A123" s="133" t="s">
        <v>52</v>
      </c>
      <c r="B123" s="134" t="s">
        <v>53</v>
      </c>
      <c r="C123" s="135">
        <v>4.9999999999999997E-89</v>
      </c>
      <c r="D123" s="136">
        <v>37.94</v>
      </c>
      <c r="E123" s="136">
        <v>507</v>
      </c>
      <c r="F123" s="137" t="str">
        <f>HYPERLINK("https://www.ncbi.nlm.nih.gov/protein/MBX5326430.1?report=genbank&amp;log$=prottop&amp;blast_rank=282&amp;RID=41AMWJZD01N","MBX5326430.1")</f>
        <v>MBX5326430.1</v>
      </c>
      <c r="G123" s="138"/>
    </row>
    <row r="124" spans="1:7" s="115" customFormat="1" ht="18" x14ac:dyDescent="0.25">
      <c r="A124" s="133" t="s">
        <v>54</v>
      </c>
      <c r="B124" s="134" t="s">
        <v>55</v>
      </c>
      <c r="C124" s="135">
        <v>2.9999999999999999E-81</v>
      </c>
      <c r="D124" s="136">
        <v>40.200000000000003</v>
      </c>
      <c r="E124" s="136">
        <v>525</v>
      </c>
      <c r="F124" s="137" t="str">
        <f>HYPERLINK("https://www.ncbi.nlm.nih.gov/protein/PDM26725.1?report=genbank&amp;log$=prottop&amp;blast_rank=348&amp;RID=41AMWJZD01N","PDM26725.1")</f>
        <v>PDM26725.1</v>
      </c>
      <c r="G124" s="138"/>
    </row>
    <row r="125" spans="1:7" s="115" customFormat="1" ht="18" x14ac:dyDescent="0.25">
      <c r="A125" s="133" t="s">
        <v>54</v>
      </c>
      <c r="B125" s="134" t="s">
        <v>55</v>
      </c>
      <c r="C125" s="135">
        <v>2.0000000000000001E-127</v>
      </c>
      <c r="D125" s="136">
        <v>45.63</v>
      </c>
      <c r="E125" s="136">
        <v>496</v>
      </c>
      <c r="F125" s="137" t="str">
        <f>HYPERLINK("https://www.ncbi.nlm.nih.gov/protein/PDM27109.1?report=genbank&amp;log$=prottop&amp;blast_rank=28&amp;RID=41AMWJZD01N","PDM27109.1")</f>
        <v>PDM27109.1</v>
      </c>
      <c r="G125" s="138"/>
    </row>
    <row r="126" spans="1:7" s="115" customFormat="1" ht="18" x14ac:dyDescent="0.25">
      <c r="A126" s="133" t="s">
        <v>56</v>
      </c>
      <c r="B126" s="134" t="s">
        <v>57</v>
      </c>
      <c r="C126" s="135">
        <v>9.999999999999999E-94</v>
      </c>
      <c r="D126" s="136">
        <v>39.200000000000003</v>
      </c>
      <c r="E126" s="136">
        <v>506</v>
      </c>
      <c r="F126" s="137" t="str">
        <f>HYPERLINK("https://www.ncbi.nlm.nih.gov/protein/KPV62991.1?report=genbank&amp;log$=prottop&amp;blast_rank=203&amp;RID=41AMWJZD01N","KPV62991.1")</f>
        <v>KPV62991.1</v>
      </c>
      <c r="G126" s="138"/>
    </row>
    <row r="127" spans="1:7" s="115" customFormat="1" ht="18" x14ac:dyDescent="0.25">
      <c r="A127" s="133" t="s">
        <v>56</v>
      </c>
      <c r="B127" s="134" t="s">
        <v>57</v>
      </c>
      <c r="C127" s="135">
        <v>9.9999999999999997E-61</v>
      </c>
      <c r="D127" s="136">
        <v>35.729999999999997</v>
      </c>
      <c r="E127" s="136">
        <v>486</v>
      </c>
      <c r="F127" s="137" t="str">
        <f>HYPERLINK("https://www.ncbi.nlm.nih.gov/protein/KPV61756.1?report=genbank&amp;log$=prottop&amp;blast_rank=459&amp;RID=41AMWJZD01N","KPV61756.1")</f>
        <v>KPV61756.1</v>
      </c>
      <c r="G127" s="138"/>
    </row>
    <row r="128" spans="1:7" s="115" customFormat="1" ht="18" x14ac:dyDescent="0.25">
      <c r="A128" s="133" t="s">
        <v>58</v>
      </c>
      <c r="B128" s="134" t="s">
        <v>59</v>
      </c>
      <c r="C128" s="135">
        <v>9.0000000000000002E-125</v>
      </c>
      <c r="D128" s="136">
        <v>44.12</v>
      </c>
      <c r="E128" s="136">
        <v>503</v>
      </c>
      <c r="F128" s="137" t="str">
        <f>HYPERLINK("https://www.ncbi.nlm.nih.gov/protein/MBO3832887.1?report=genbank&amp;log$=prottop&amp;blast_rank=41&amp;RID=41AMWJZD01N","MBO3832887.1")</f>
        <v>MBO3832887.1</v>
      </c>
      <c r="G128" s="138"/>
    </row>
    <row r="129" spans="1:7" s="115" customFormat="1" ht="18" x14ac:dyDescent="0.25">
      <c r="A129" s="133" t="s">
        <v>60</v>
      </c>
      <c r="B129" s="134" t="s">
        <v>61</v>
      </c>
      <c r="C129" s="135">
        <v>9.9999999999999995E-113</v>
      </c>
      <c r="D129" s="136">
        <v>43.49</v>
      </c>
      <c r="E129" s="136">
        <v>471</v>
      </c>
      <c r="F129" s="137" t="str">
        <f>HYPERLINK("https://www.ncbi.nlm.nih.gov/protein/MCR6624162.1?report=genbank&amp;log$=prottop&amp;blast_rank=90&amp;RID=41AMWJZD01N","MCR6624162.1")</f>
        <v>MCR6624162.1</v>
      </c>
      <c r="G129" s="138"/>
    </row>
    <row r="130" spans="1:7" s="115" customFormat="1" ht="18" x14ac:dyDescent="0.25">
      <c r="A130" s="133" t="s">
        <v>62</v>
      </c>
      <c r="B130" s="134" t="s">
        <v>63</v>
      </c>
      <c r="C130" s="135">
        <v>8.9999999999999999E-98</v>
      </c>
      <c r="D130" s="136">
        <v>43.54</v>
      </c>
      <c r="E130" s="136">
        <v>465</v>
      </c>
      <c r="F130" s="137" t="str">
        <f>HYPERLINK("https://www.ncbi.nlm.nih.gov/protein/RLG59577.1?report=genbank&amp;log$=prottop&amp;blast_rank=164&amp;RID=41AMWJZD01N","RLG59577.1")</f>
        <v>RLG59577.1</v>
      </c>
      <c r="G130" s="138"/>
    </row>
    <row r="131" spans="1:7" s="115" customFormat="1" ht="18" x14ac:dyDescent="0.25">
      <c r="A131" s="133" t="s">
        <v>64</v>
      </c>
      <c r="B131" s="134" t="s">
        <v>65</v>
      </c>
      <c r="C131" s="135">
        <v>9.9999999999999994E-99</v>
      </c>
      <c r="D131" s="136">
        <v>43.38</v>
      </c>
      <c r="E131" s="136">
        <v>488</v>
      </c>
      <c r="F131" s="137" t="str">
        <f>HYPERLINK("https://www.ncbi.nlm.nih.gov/protein/MCD6349073.1?report=genbank&amp;log$=prottop&amp;blast_rank=159&amp;RID=41AMWJZD01N","MCD6349073.1")</f>
        <v>MCD6349073.1</v>
      </c>
      <c r="G131" s="138"/>
    </row>
    <row r="132" spans="1:7" s="115" customFormat="1" ht="18" x14ac:dyDescent="0.25">
      <c r="A132" s="133" t="s">
        <v>64</v>
      </c>
      <c r="B132" s="134" t="s">
        <v>65</v>
      </c>
      <c r="C132" s="135">
        <v>1.9999999999999999E-104</v>
      </c>
      <c r="D132" s="136">
        <v>46.21</v>
      </c>
      <c r="E132" s="136">
        <v>487</v>
      </c>
      <c r="F132" s="137" t="str">
        <f>HYPERLINK("https://www.ncbi.nlm.nih.gov/protein/MCD6491359.1?report=genbank&amp;log$=prottop&amp;blast_rank=132&amp;RID=41AMWJZD01N","MCD6491359.1")</f>
        <v>MCD6491359.1</v>
      </c>
      <c r="G132" s="138"/>
    </row>
    <row r="133" spans="1:7" s="115" customFormat="1" ht="18" x14ac:dyDescent="0.25">
      <c r="A133" s="133" t="s">
        <v>66</v>
      </c>
      <c r="B133" s="134" t="s">
        <v>65</v>
      </c>
      <c r="C133" s="135">
        <v>1.9999999999999999E-126</v>
      </c>
      <c r="D133" s="136">
        <v>50.92</v>
      </c>
      <c r="E133" s="136">
        <v>484</v>
      </c>
      <c r="F133" s="137" t="str">
        <f>HYPERLINK("https://www.ncbi.nlm.nih.gov/protein/RLG54565.1?report=genbank&amp;log$=prottop&amp;blast_rank=34&amp;RID=41AMWJZD01N","RLG54565.1")</f>
        <v>RLG54565.1</v>
      </c>
      <c r="G133" s="138"/>
    </row>
    <row r="134" spans="1:7" s="115" customFormat="1" ht="18" x14ac:dyDescent="0.25">
      <c r="A134" s="133" t="s">
        <v>66</v>
      </c>
      <c r="B134" s="134" t="s">
        <v>65</v>
      </c>
      <c r="C134" s="135">
        <v>6.0000000000000001E-99</v>
      </c>
      <c r="D134" s="136">
        <v>45.12</v>
      </c>
      <c r="E134" s="136">
        <v>481</v>
      </c>
      <c r="F134" s="137" t="str">
        <f>HYPERLINK("https://www.ncbi.nlm.nih.gov/protein/RLG39649.1?report=genbank&amp;log$=prottop&amp;blast_rank=157&amp;RID=41AMWJZD01N","RLG39649.1")</f>
        <v>RLG39649.1</v>
      </c>
      <c r="G134" s="138"/>
    </row>
    <row r="135" spans="1:7" s="115" customFormat="1" ht="18" x14ac:dyDescent="0.25">
      <c r="A135" s="133" t="s">
        <v>66</v>
      </c>
      <c r="B135" s="134" t="s">
        <v>65</v>
      </c>
      <c r="C135" s="135">
        <v>3.0000000000000002E-133</v>
      </c>
      <c r="D135" s="136">
        <v>46.22</v>
      </c>
      <c r="E135" s="136">
        <v>480</v>
      </c>
      <c r="F135" s="137" t="str">
        <f>HYPERLINK("https://www.ncbi.nlm.nih.gov/protein/RLG36634.1?report=genbank&amp;log$=prottop&amp;blast_rank=12&amp;RID=41AMWJZD01N","RLG36634.1")</f>
        <v>RLG36634.1</v>
      </c>
      <c r="G135" s="138"/>
    </row>
    <row r="136" spans="1:7" s="115" customFormat="1" ht="18" x14ac:dyDescent="0.25">
      <c r="A136" s="133" t="s">
        <v>64</v>
      </c>
      <c r="B136" s="134" t="s">
        <v>65</v>
      </c>
      <c r="C136" s="135">
        <v>2.0000000000000001E-97</v>
      </c>
      <c r="D136" s="136">
        <v>42.6</v>
      </c>
      <c r="E136" s="136">
        <v>480</v>
      </c>
      <c r="F136" s="137" t="str">
        <f>HYPERLINK("https://www.ncbi.nlm.nih.gov/protein/MCD6244490.1?report=genbank&amp;log$=prottop&amp;blast_rank=168&amp;RID=41AMWJZD01N","MCD6244490.1")</f>
        <v>MCD6244490.1</v>
      </c>
      <c r="G136" s="138"/>
    </row>
    <row r="137" spans="1:7" s="115" customFormat="1" ht="18" x14ac:dyDescent="0.25">
      <c r="A137" s="133" t="s">
        <v>66</v>
      </c>
      <c r="B137" s="134" t="s">
        <v>65</v>
      </c>
      <c r="C137" s="135">
        <v>4E-136</v>
      </c>
      <c r="D137" s="136">
        <v>52.03</v>
      </c>
      <c r="E137" s="136">
        <v>479</v>
      </c>
      <c r="F137" s="137" t="str">
        <f>HYPERLINK("https://www.ncbi.nlm.nih.gov/protein/PNV77584.1?report=genbank&amp;log$=prottop&amp;blast_rank=8&amp;RID=41AMWJZD01N","PNV77584.1")</f>
        <v>PNV77584.1</v>
      </c>
      <c r="G137" s="138"/>
    </row>
    <row r="138" spans="1:7" s="115" customFormat="1" ht="18" x14ac:dyDescent="0.25">
      <c r="A138" s="133" t="s">
        <v>66</v>
      </c>
      <c r="B138" s="134" t="s">
        <v>65</v>
      </c>
      <c r="C138" s="135">
        <v>9.9999999999999998E-141</v>
      </c>
      <c r="D138" s="136">
        <v>50.21</v>
      </c>
      <c r="E138" s="136">
        <v>477</v>
      </c>
      <c r="F138" s="137" t="str">
        <f>HYPERLINK("https://www.ncbi.nlm.nih.gov/protein/RLG43931.1?report=genbank&amp;log$=prottop&amp;blast_rank=2&amp;RID=41AMWJZD01N","RLG43931.1")</f>
        <v>RLG43931.1</v>
      </c>
      <c r="G138" s="138"/>
    </row>
    <row r="139" spans="1:7" s="115" customFormat="1" ht="18" x14ac:dyDescent="0.25">
      <c r="A139" s="133" t="s">
        <v>67</v>
      </c>
      <c r="B139" s="134" t="s">
        <v>68</v>
      </c>
      <c r="C139" s="135">
        <v>3.0000000000000002E-97</v>
      </c>
      <c r="D139" s="136">
        <v>43.78</v>
      </c>
      <c r="E139" s="136">
        <v>479</v>
      </c>
      <c r="F139" s="137" t="str">
        <f>HYPERLINK("https://www.ncbi.nlm.nih.gov/protein/RDD53895.1?report=genbank&amp;log$=prottop&amp;blast_rank=170&amp;RID=41AMWJZD01N","RDD53895.1")</f>
        <v>RDD53895.1</v>
      </c>
      <c r="G139" s="138"/>
    </row>
    <row r="140" spans="1:7" s="115" customFormat="1" ht="18" x14ac:dyDescent="0.25">
      <c r="A140" s="133" t="s">
        <v>69</v>
      </c>
      <c r="B140" s="134" t="s">
        <v>70</v>
      </c>
      <c r="C140" s="135">
        <v>3.9999999999999998E-98</v>
      </c>
      <c r="D140" s="136">
        <v>44.82</v>
      </c>
      <c r="E140" s="136">
        <v>477</v>
      </c>
      <c r="F140" s="137" t="str">
        <f>HYPERLINK("https://www.ncbi.nlm.nih.gov/protein/ACB06850.1?report=genbank&amp;log$=prottop&amp;blast_rank=161&amp;RID=41AMWJZD01N","ACB06850.1")</f>
        <v>ACB06850.1</v>
      </c>
      <c r="G140" s="138"/>
    </row>
    <row r="141" spans="1:7" s="115" customFormat="1" ht="18" x14ac:dyDescent="0.25">
      <c r="A141" s="133" t="s">
        <v>71</v>
      </c>
      <c r="B141" s="134" t="s">
        <v>72</v>
      </c>
      <c r="C141" s="135">
        <v>6.9999999999999997E-124</v>
      </c>
      <c r="D141" s="136">
        <v>50.52</v>
      </c>
      <c r="E141" s="136">
        <v>471</v>
      </c>
      <c r="F141" s="137" t="str">
        <f>HYPERLINK("https://www.ncbi.nlm.nih.gov/protein/MCS7097411.1?report=genbank&amp;log$=prottop&amp;blast_rank=45&amp;RID=41AMWJZD01N","MCS7097411.1")</f>
        <v>MCS7097411.1</v>
      </c>
      <c r="G141" s="138"/>
    </row>
    <row r="142" spans="1:7" s="115" customFormat="1" ht="18" x14ac:dyDescent="0.25">
      <c r="A142" s="133" t="s">
        <v>73</v>
      </c>
      <c r="B142" s="134" t="s">
        <v>74</v>
      </c>
      <c r="C142" s="135">
        <v>2.0000000000000001E-128</v>
      </c>
      <c r="D142" s="136">
        <v>53.81</v>
      </c>
      <c r="E142" s="136">
        <v>489</v>
      </c>
      <c r="F142" s="137" t="str">
        <f>HYPERLINK("https://www.ncbi.nlm.nih.gov/protein/MCQ5362886.1?report=genbank&amp;log$=prottop&amp;blast_rank=24&amp;RID=41AMWJZD01N","MCQ5362886.1")</f>
        <v>MCQ5362886.1</v>
      </c>
      <c r="G142" s="138"/>
    </row>
    <row r="143" spans="1:7" s="115" customFormat="1" ht="18" x14ac:dyDescent="0.25">
      <c r="A143" s="133" t="s">
        <v>73</v>
      </c>
      <c r="B143" s="134" t="s">
        <v>74</v>
      </c>
      <c r="C143" s="135">
        <v>2.9999999999999999E-121</v>
      </c>
      <c r="D143" s="136">
        <v>48.46</v>
      </c>
      <c r="E143" s="136">
        <v>483</v>
      </c>
      <c r="F143" s="137" t="str">
        <f>HYPERLINK("https://www.ncbi.nlm.nih.gov/protein/MCQ5376902.1?report=genbank&amp;log$=prottop&amp;blast_rank=51&amp;RID=41AMWJZD01N","MCQ5376902.1")</f>
        <v>MCQ5376902.1</v>
      </c>
      <c r="G143" s="138"/>
    </row>
    <row r="144" spans="1:7" s="115" customFormat="1" ht="18" x14ac:dyDescent="0.25">
      <c r="A144" s="133" t="s">
        <v>75</v>
      </c>
      <c r="B144" s="134" t="s">
        <v>76</v>
      </c>
      <c r="C144" s="135">
        <v>7E-114</v>
      </c>
      <c r="D144" s="136">
        <v>46.25</v>
      </c>
      <c r="E144" s="136">
        <v>510</v>
      </c>
      <c r="F144" s="137" t="str">
        <f>HYPERLINK("https://www.ncbi.nlm.nih.gov/protein/MBC7120463.1?report=genbank&amp;log$=prottop&amp;blast_rank=80&amp;RID=41AMWJZD01N","MBC7120463.1")</f>
        <v>MBC7120463.1</v>
      </c>
      <c r="G144" s="138"/>
    </row>
    <row r="145" spans="1:7" s="115" customFormat="1" ht="18" x14ac:dyDescent="0.25">
      <c r="A145" s="133" t="s">
        <v>77</v>
      </c>
      <c r="B145" s="134" t="s">
        <v>78</v>
      </c>
      <c r="C145" s="135">
        <v>7.9999999999999999E-118</v>
      </c>
      <c r="D145" s="136">
        <v>45.06</v>
      </c>
      <c r="E145" s="136">
        <v>478</v>
      </c>
      <c r="F145" s="137" t="str">
        <f>HYPERLINK("https://www.ncbi.nlm.nih.gov/protein/RWX73259.1?report=genbank&amp;log$=prottop&amp;blast_rank=69&amp;RID=41AMWJZD01N","RWX73259.1")</f>
        <v>RWX73259.1</v>
      </c>
      <c r="G145" s="138"/>
    </row>
    <row r="146" spans="1:7" s="115" customFormat="1" ht="18" x14ac:dyDescent="0.25">
      <c r="A146" s="133" t="s">
        <v>79</v>
      </c>
      <c r="B146" s="134" t="s">
        <v>80</v>
      </c>
      <c r="C146" s="135">
        <v>9.9999999999999997E-73</v>
      </c>
      <c r="D146" s="136">
        <v>38.6</v>
      </c>
      <c r="E146" s="136">
        <v>487</v>
      </c>
      <c r="F146" s="137" t="str">
        <f>HYPERLINK("https://www.ncbi.nlm.nih.gov/protein/MCP8318792.1?report=genbank&amp;log$=prottop&amp;blast_rank=373&amp;RID=41AMWJZD01N","MCP8318792.1")</f>
        <v>MCP8318792.1</v>
      </c>
      <c r="G146" s="138"/>
    </row>
    <row r="147" spans="1:7" s="115" customFormat="1" ht="18" x14ac:dyDescent="0.25">
      <c r="A147" s="133" t="s">
        <v>81</v>
      </c>
      <c r="B147" s="134" t="s">
        <v>82</v>
      </c>
      <c r="C147" s="135">
        <v>2.0000000000000001E-63</v>
      </c>
      <c r="D147" s="136">
        <v>36.67</v>
      </c>
      <c r="E147" s="136">
        <v>482</v>
      </c>
      <c r="F147" s="137" t="str">
        <f>HYPERLINK("https://www.ncbi.nlm.nih.gov/protein/MCP8312283.1?report=genbank&amp;log$=prottop&amp;blast_rank=413&amp;RID=41AMWJZD01N","MCP8312283.1")</f>
        <v>MCP8312283.1</v>
      </c>
      <c r="G147" s="138"/>
    </row>
    <row r="148" spans="1:7" s="115" customFormat="1" ht="18" x14ac:dyDescent="0.25">
      <c r="A148" s="133" t="s">
        <v>83</v>
      </c>
      <c r="B148" s="134" t="s">
        <v>84</v>
      </c>
      <c r="C148" s="135">
        <v>3.0000000000000002E-66</v>
      </c>
      <c r="D148" s="136">
        <v>36.950000000000003</v>
      </c>
      <c r="E148" s="136">
        <v>483</v>
      </c>
      <c r="F148" s="137" t="str">
        <f>HYPERLINK("https://www.ncbi.nlm.nih.gov/protein/MCP8323932.1?report=genbank&amp;log$=prottop&amp;blast_rank=390&amp;RID=41AMWJZD01N","MCP8323932.1")</f>
        <v>MCP8323932.1</v>
      </c>
      <c r="G148" s="138"/>
    </row>
    <row r="149" spans="1:7" s="115" customFormat="1" ht="18" x14ac:dyDescent="0.25">
      <c r="A149" s="133" t="s">
        <v>85</v>
      </c>
      <c r="B149" s="134" t="s">
        <v>86</v>
      </c>
      <c r="C149" s="135">
        <v>3.0000000000000001E-93</v>
      </c>
      <c r="D149" s="136">
        <v>40.799999999999997</v>
      </c>
      <c r="E149" s="136">
        <v>483</v>
      </c>
      <c r="F149" s="137" t="str">
        <f>HYPERLINK("https://www.ncbi.nlm.nih.gov/protein/MCS7139704.1?report=genbank&amp;log$=prottop&amp;blast_rank=207&amp;RID=41AMWJZD01N","MCS7139704.1")</f>
        <v>MCS7139704.1</v>
      </c>
      <c r="G149" s="138"/>
    </row>
    <row r="150" spans="1:7" s="115" customFormat="1" ht="18" x14ac:dyDescent="0.25">
      <c r="A150" s="133" t="s">
        <v>87</v>
      </c>
      <c r="B150" s="134" t="s">
        <v>88</v>
      </c>
      <c r="C150" s="135">
        <v>9.9999999999999996E-95</v>
      </c>
      <c r="D150" s="136">
        <v>40.799999999999997</v>
      </c>
      <c r="E150" s="136">
        <v>457</v>
      </c>
      <c r="F150" s="137" t="str">
        <f>HYPERLINK("https://www.ncbi.nlm.nih.gov/protein/TDA35621.1?report=genbank&amp;log$=prottop&amp;blast_rank=192&amp;RID=41AMWJZD01N","TDA35621.1")</f>
        <v>TDA35621.1</v>
      </c>
      <c r="G150" s="138"/>
    </row>
    <row r="151" spans="1:7" s="115" customFormat="1" ht="18" x14ac:dyDescent="0.25">
      <c r="A151" s="133" t="s">
        <v>89</v>
      </c>
      <c r="B151" s="134" t="s">
        <v>90</v>
      </c>
      <c r="C151" s="135">
        <v>3E-103</v>
      </c>
      <c r="D151" s="136">
        <v>44.78</v>
      </c>
      <c r="E151" s="136">
        <v>500</v>
      </c>
      <c r="F151" s="137" t="str">
        <f>HYPERLINK("https://www.ncbi.nlm.nih.gov/protein/PUA33037.1?report=genbank&amp;log$=prottop&amp;blast_rank=140&amp;RID=41AMWJZD01N","PUA33037.1")</f>
        <v>PUA33037.1</v>
      </c>
      <c r="G151" s="138"/>
    </row>
    <row r="152" spans="1:7" s="115" customFormat="1" ht="18" x14ac:dyDescent="0.25">
      <c r="A152" s="133" t="s">
        <v>91</v>
      </c>
      <c r="B152" s="134" t="s">
        <v>92</v>
      </c>
      <c r="C152" s="135">
        <v>3.9999999999999997E-88</v>
      </c>
      <c r="D152" s="136">
        <v>39.6</v>
      </c>
      <c r="E152" s="136">
        <v>507</v>
      </c>
      <c r="F152" s="137" t="str">
        <f>HYPERLINK("https://www.ncbi.nlm.nih.gov/protein/TDA37299.1?report=genbank&amp;log$=prottop&amp;blast_rank=297&amp;RID=41AMWJZD01N","TDA37299.1")</f>
        <v>TDA37299.1</v>
      </c>
      <c r="G152" s="138"/>
    </row>
    <row r="153" spans="1:7" s="115" customFormat="1" ht="18" x14ac:dyDescent="0.25">
      <c r="A153" s="133" t="s">
        <v>91</v>
      </c>
      <c r="B153" s="134" t="s">
        <v>92</v>
      </c>
      <c r="C153" s="135">
        <v>6.0000000000000002E-135</v>
      </c>
      <c r="D153" s="136">
        <v>50.27</v>
      </c>
      <c r="E153" s="136">
        <v>487</v>
      </c>
      <c r="F153" s="137" t="str">
        <f>HYPERLINK("https://www.ncbi.nlm.nih.gov/protein/RLE50720.1?report=genbank&amp;log$=prottop&amp;blast_rank=9&amp;RID=41AMWJZD01N","RLE50720.1")</f>
        <v>RLE50720.1</v>
      </c>
      <c r="G153" s="138"/>
    </row>
    <row r="154" spans="1:7" s="115" customFormat="1" ht="18" x14ac:dyDescent="0.25">
      <c r="A154" s="133" t="s">
        <v>91</v>
      </c>
      <c r="B154" s="134" t="s">
        <v>92</v>
      </c>
      <c r="C154" s="135">
        <v>9.9999999999999997E-106</v>
      </c>
      <c r="D154" s="136">
        <v>44.33</v>
      </c>
      <c r="E154" s="136">
        <v>487</v>
      </c>
      <c r="F154" s="137" t="str">
        <f>HYPERLINK("https://www.ncbi.nlm.nih.gov/protein/RLE51708.1?report=genbank&amp;log$=prottop&amp;blast_rank=126&amp;RID=41AMWJZD01N","RLE51708.1")</f>
        <v>RLE51708.1</v>
      </c>
      <c r="G154" s="138"/>
    </row>
    <row r="155" spans="1:7" s="115" customFormat="1" ht="18" x14ac:dyDescent="0.25">
      <c r="A155" s="133" t="s">
        <v>93</v>
      </c>
      <c r="B155" s="134" t="s">
        <v>92</v>
      </c>
      <c r="C155" s="135">
        <v>9.9999999999999996E-95</v>
      </c>
      <c r="D155" s="136">
        <v>36.97</v>
      </c>
      <c r="E155" s="136">
        <v>483</v>
      </c>
      <c r="F155" s="137" t="str">
        <f>HYPERLINK("https://www.ncbi.nlm.nih.gov/protein/MCC6018082.1?report=genbank&amp;log$=prottop&amp;blast_rank=193&amp;RID=41AMWJZD01N","MCC6018082.1")</f>
        <v>MCC6018082.1</v>
      </c>
      <c r="G155" s="138"/>
    </row>
    <row r="156" spans="1:7" s="115" customFormat="1" ht="18" x14ac:dyDescent="0.25">
      <c r="A156" s="133" t="s">
        <v>93</v>
      </c>
      <c r="B156" s="134" t="s">
        <v>92</v>
      </c>
      <c r="C156" s="135">
        <v>2.9999999999999999E-130</v>
      </c>
      <c r="D156" s="136">
        <v>54.97</v>
      </c>
      <c r="E156" s="136">
        <v>478</v>
      </c>
      <c r="F156" s="137" t="str">
        <f>HYPERLINK("https://www.ncbi.nlm.nih.gov/protein/RZN57473.1?report=genbank&amp;log$=prottop&amp;blast_rank=17&amp;RID=41AMWJZD01N","RZN57473.1")</f>
        <v>RZN57473.1</v>
      </c>
      <c r="G156" s="138"/>
    </row>
    <row r="157" spans="1:7" s="115" customFormat="1" ht="18" x14ac:dyDescent="0.25">
      <c r="A157" s="133" t="s">
        <v>91</v>
      </c>
      <c r="B157" s="134" t="s">
        <v>92</v>
      </c>
      <c r="C157" s="135">
        <v>1.9999999999999999E-126</v>
      </c>
      <c r="D157" s="136">
        <v>50</v>
      </c>
      <c r="E157" s="136">
        <v>473</v>
      </c>
      <c r="F157" s="137" t="str">
        <f>HYPERLINK("https://www.ncbi.nlm.nih.gov/protein/RLE51083.1?report=genbank&amp;log$=prottop&amp;blast_rank=32&amp;RID=41AMWJZD01N","RLE51083.1")</f>
        <v>RLE51083.1</v>
      </c>
      <c r="G157" s="138"/>
    </row>
    <row r="158" spans="1:7" s="115" customFormat="1" ht="18" x14ac:dyDescent="0.25">
      <c r="A158" s="133" t="s">
        <v>93</v>
      </c>
      <c r="B158" s="134" t="s">
        <v>92</v>
      </c>
      <c r="C158" s="135">
        <v>1E-125</v>
      </c>
      <c r="D158" s="136">
        <v>50.6</v>
      </c>
      <c r="E158" s="136">
        <v>461</v>
      </c>
      <c r="F158" s="137" t="str">
        <f>HYPERLINK("https://www.ncbi.nlm.nih.gov/protein/MBM5805340.1?report=genbank&amp;log$=prottop&amp;blast_rank=38&amp;RID=41AMWJZD01N","MBM5805340.1")</f>
        <v>MBM5805340.1</v>
      </c>
      <c r="G158" s="138"/>
    </row>
    <row r="159" spans="1:7" s="115" customFormat="1" ht="18" x14ac:dyDescent="0.25">
      <c r="A159" s="133" t="s">
        <v>93</v>
      </c>
      <c r="B159" s="134" t="s">
        <v>92</v>
      </c>
      <c r="C159" s="135">
        <v>3.9999999999999997E-102</v>
      </c>
      <c r="D159" s="136">
        <v>43.49</v>
      </c>
      <c r="E159" s="136">
        <v>421</v>
      </c>
      <c r="F159" s="137" t="str">
        <f>HYPERLINK("https://www.ncbi.nlm.nih.gov/protein/MCD6154227.1?report=genbank&amp;log$=prottop&amp;blast_rank=143&amp;RID=41AMWJZD01N","MCD6154227.1")</f>
        <v>MCD6154227.1</v>
      </c>
      <c r="G159" s="138"/>
    </row>
    <row r="160" spans="1:7" s="115" customFormat="1" ht="18" x14ac:dyDescent="0.25">
      <c r="A160" s="133" t="s">
        <v>94</v>
      </c>
      <c r="B160" s="134" t="s">
        <v>95</v>
      </c>
      <c r="C160" s="135">
        <v>7.9999999999999996E-94</v>
      </c>
      <c r="D160" s="136">
        <v>37.28</v>
      </c>
      <c r="E160" s="136">
        <v>523</v>
      </c>
      <c r="F160" s="137" t="str">
        <f>HYPERLINK("https://www.ncbi.nlm.nih.gov/protein/BBE41781.1?report=genbank&amp;log$=prottop&amp;blast_rank=202&amp;RID=41AMWJZD01N","BBE41781.1")</f>
        <v>BBE41781.1</v>
      </c>
      <c r="G160" s="138"/>
    </row>
    <row r="161" spans="1:7" s="115" customFormat="1" ht="18" x14ac:dyDescent="0.25">
      <c r="A161" s="133" t="s">
        <v>96</v>
      </c>
      <c r="B161" s="134" t="s">
        <v>97</v>
      </c>
      <c r="C161" s="135">
        <v>2.0000000000000002E-86</v>
      </c>
      <c r="D161" s="136">
        <v>37.57</v>
      </c>
      <c r="E161" s="136">
        <v>491</v>
      </c>
      <c r="F161" s="137" t="str">
        <f>HYPERLINK("https://www.ncbi.nlm.nih.gov/protein/MCI4456643.1?report=genbank&amp;log$=prottop&amp;blast_rank=312&amp;RID=41AMWJZD01N","MCI4456643.1")</f>
        <v>MCI4456643.1</v>
      </c>
      <c r="G161" s="138"/>
    </row>
    <row r="162" spans="1:7" s="115" customFormat="1" ht="18" x14ac:dyDescent="0.25">
      <c r="A162" s="133" t="s">
        <v>96</v>
      </c>
      <c r="B162" s="134" t="s">
        <v>97</v>
      </c>
      <c r="C162" s="135">
        <v>1E-78</v>
      </c>
      <c r="D162" s="136">
        <v>36.590000000000003</v>
      </c>
      <c r="E162" s="136">
        <v>486</v>
      </c>
      <c r="F162" s="137" t="str">
        <f>HYPERLINK("https://www.ncbi.nlm.nih.gov/protein/MCC6016947.1?report=genbank&amp;log$=prottop&amp;blast_rank=357&amp;RID=41AMWJZD01N","MCC6016947.1")</f>
        <v>MCC6016947.1</v>
      </c>
      <c r="G162" s="138"/>
    </row>
    <row r="163" spans="1:7" s="115" customFormat="1" ht="18" x14ac:dyDescent="0.25">
      <c r="A163" s="133" t="s">
        <v>98</v>
      </c>
      <c r="B163" s="134" t="s">
        <v>99</v>
      </c>
      <c r="C163" s="135">
        <v>6.9999999999999994E-95</v>
      </c>
      <c r="D163" s="136">
        <v>37.93</v>
      </c>
      <c r="E163" s="136">
        <v>510</v>
      </c>
      <c r="F163" s="137" t="str">
        <f>HYPERLINK("https://www.ncbi.nlm.nih.gov/protein/MCD6323519.1?report=genbank&amp;log$=prottop&amp;blast_rank=189&amp;RID=41AMWJZD01N","MCD6323519.1")</f>
        <v>MCD6323519.1</v>
      </c>
      <c r="G163" s="138"/>
    </row>
    <row r="164" spans="1:7" s="115" customFormat="1" ht="18" x14ac:dyDescent="0.25">
      <c r="A164" s="133" t="s">
        <v>98</v>
      </c>
      <c r="B164" s="134" t="s">
        <v>99</v>
      </c>
      <c r="C164" s="135">
        <v>2.0000000000000001E-84</v>
      </c>
      <c r="D164" s="136">
        <v>38.36</v>
      </c>
      <c r="E164" s="136">
        <v>509</v>
      </c>
      <c r="F164" s="137" t="str">
        <f>HYPERLINK("https://www.ncbi.nlm.nih.gov/protein/MCD6278468.1?report=genbank&amp;log$=prottop&amp;blast_rank=333&amp;RID=41AMWJZD01N","MCD6278468.1")</f>
        <v>MCD6278468.1</v>
      </c>
      <c r="G164" s="138"/>
    </row>
    <row r="165" spans="1:7" s="115" customFormat="1" ht="18" x14ac:dyDescent="0.25">
      <c r="A165" s="133" t="s">
        <v>98</v>
      </c>
      <c r="B165" s="134" t="s">
        <v>99</v>
      </c>
      <c r="C165" s="135">
        <v>1E-97</v>
      </c>
      <c r="D165" s="136">
        <v>40.729999999999997</v>
      </c>
      <c r="E165" s="136">
        <v>508</v>
      </c>
      <c r="F165" s="137" t="str">
        <f>HYPERLINK("https://www.ncbi.nlm.nih.gov/protein/MCE4628081.1?report=genbank&amp;log$=prottop&amp;blast_rank=165&amp;RID=41AMWJZD01N","MCE4628081.1")</f>
        <v>MCE4628081.1</v>
      </c>
      <c r="G165" s="138"/>
    </row>
    <row r="166" spans="1:7" s="115" customFormat="1" ht="18" x14ac:dyDescent="0.25">
      <c r="A166" s="133" t="s">
        <v>98</v>
      </c>
      <c r="B166" s="134" t="s">
        <v>99</v>
      </c>
      <c r="C166" s="135">
        <v>9.9999999999999999E-96</v>
      </c>
      <c r="D166" s="136">
        <v>42.78</v>
      </c>
      <c r="E166" s="136">
        <v>508</v>
      </c>
      <c r="F166" s="137" t="str">
        <f>HYPERLINK("https://www.ncbi.nlm.nih.gov/protein/MCE4619730.1?report=genbank&amp;log$=prottop&amp;blast_rank=183&amp;RID=41AMWJZD01N","MCE4619730.1")</f>
        <v>MCE4619730.1</v>
      </c>
      <c r="G166" s="138"/>
    </row>
    <row r="167" spans="1:7" s="115" customFormat="1" ht="18" x14ac:dyDescent="0.25">
      <c r="A167" s="133" t="s">
        <v>98</v>
      </c>
      <c r="B167" s="134" t="s">
        <v>99</v>
      </c>
      <c r="C167" s="135">
        <v>2E-99</v>
      </c>
      <c r="D167" s="136">
        <v>42.13</v>
      </c>
      <c r="E167" s="136">
        <v>506</v>
      </c>
      <c r="F167" s="137" t="str">
        <f>HYPERLINK("https://www.ncbi.nlm.nih.gov/protein/MCE4606389.1?report=genbank&amp;log$=prottop&amp;blast_rank=153&amp;RID=41AMWJZD01N","MCE4606389.1")</f>
        <v>MCE4606389.1</v>
      </c>
      <c r="G167" s="138"/>
    </row>
    <row r="168" spans="1:7" s="115" customFormat="1" ht="18" x14ac:dyDescent="0.25">
      <c r="A168" s="133" t="s">
        <v>98</v>
      </c>
      <c r="B168" s="134" t="s">
        <v>99</v>
      </c>
      <c r="C168" s="135">
        <v>9.0000000000000004E-96</v>
      </c>
      <c r="D168" s="136">
        <v>42.41</v>
      </c>
      <c r="E168" s="136">
        <v>506</v>
      </c>
      <c r="F168" s="137" t="str">
        <f>HYPERLINK("https://www.ncbi.nlm.nih.gov/protein/MCE4599749.1?report=genbank&amp;log$=prottop&amp;blast_rank=180&amp;RID=41AMWJZD01N","MCE4599749.1")</f>
        <v>MCE4599749.1</v>
      </c>
      <c r="G168" s="138"/>
    </row>
    <row r="169" spans="1:7" s="115" customFormat="1" ht="18" x14ac:dyDescent="0.25">
      <c r="A169" s="133" t="s">
        <v>98</v>
      </c>
      <c r="B169" s="134" t="s">
        <v>99</v>
      </c>
      <c r="C169" s="135">
        <v>1E-99</v>
      </c>
      <c r="D169" s="136">
        <v>42.41</v>
      </c>
      <c r="E169" s="136">
        <v>505</v>
      </c>
      <c r="F169" s="137" t="str">
        <f>HYPERLINK("https://www.ncbi.nlm.nih.gov/protein/MCE4624895.1?report=genbank&amp;log$=prottop&amp;blast_rank=150&amp;RID=41AMWJZD01N","MCE4624895.1")</f>
        <v>MCE4624895.1</v>
      </c>
      <c r="G169" s="138"/>
    </row>
    <row r="170" spans="1:7" s="115" customFormat="1" ht="18" x14ac:dyDescent="0.25">
      <c r="A170" s="133" t="s">
        <v>100</v>
      </c>
      <c r="B170" s="134" t="s">
        <v>99</v>
      </c>
      <c r="C170" s="135">
        <v>6.0000000000000003E-94</v>
      </c>
      <c r="D170" s="136">
        <v>41.67</v>
      </c>
      <c r="E170" s="136">
        <v>504</v>
      </c>
      <c r="F170" s="137" t="str">
        <f>HYPERLINK("https://www.ncbi.nlm.nih.gov/protein/HIQ03235.1?report=genbank&amp;log$=prottop&amp;blast_rank=201&amp;RID=41AMWJZD01N","HIQ03235.1")</f>
        <v>HIQ03235.1</v>
      </c>
      <c r="G170" s="138"/>
    </row>
    <row r="171" spans="1:7" s="115" customFormat="1" ht="18" x14ac:dyDescent="0.25">
      <c r="A171" s="133" t="s">
        <v>98</v>
      </c>
      <c r="B171" s="134" t="s">
        <v>99</v>
      </c>
      <c r="C171" s="135">
        <v>2E-91</v>
      </c>
      <c r="D171" s="136">
        <v>38.54</v>
      </c>
      <c r="E171" s="136">
        <v>504</v>
      </c>
      <c r="F171" s="137" t="str">
        <f>HYPERLINK("https://www.ncbi.nlm.nih.gov/protein/MCD6488530.1?report=genbank&amp;log$=prottop&amp;blast_rank=227&amp;RID=41AMWJZD01N","MCD6488530.1")</f>
        <v>MCD6488530.1</v>
      </c>
      <c r="G171" s="138"/>
    </row>
    <row r="172" spans="1:7" s="115" customFormat="1" ht="18" x14ac:dyDescent="0.25">
      <c r="A172" s="133" t="s">
        <v>98</v>
      </c>
      <c r="B172" s="134" t="s">
        <v>99</v>
      </c>
      <c r="C172" s="135">
        <v>4.0000000000000001E-100</v>
      </c>
      <c r="D172" s="136">
        <v>37.53</v>
      </c>
      <c r="E172" s="136">
        <v>498</v>
      </c>
      <c r="F172" s="137" t="str">
        <f>HYPERLINK("https://www.ncbi.nlm.nih.gov/protein/MCE4609720.1?report=genbank&amp;log$=prottop&amp;blast_rank=149&amp;RID=41AMWJZD01N","MCE4609720.1")</f>
        <v>MCE4609720.1</v>
      </c>
      <c r="G172" s="138"/>
    </row>
    <row r="173" spans="1:7" s="115" customFormat="1" ht="18" x14ac:dyDescent="0.25">
      <c r="A173" s="133" t="s">
        <v>98</v>
      </c>
      <c r="B173" s="134" t="s">
        <v>99</v>
      </c>
      <c r="C173" s="135">
        <v>8.9999999999999995E-91</v>
      </c>
      <c r="D173" s="136">
        <v>41.32</v>
      </c>
      <c r="E173" s="136">
        <v>494</v>
      </c>
      <c r="F173" s="137" t="str">
        <f>HYPERLINK("https://www.ncbi.nlm.nih.gov/protein/MCE4619111.1?report=genbank&amp;log$=prottop&amp;blast_rank=247&amp;RID=41AMWJZD01N","MCE4619111.1")</f>
        <v>MCE4619111.1</v>
      </c>
      <c r="G173" s="138"/>
    </row>
    <row r="174" spans="1:7" s="115" customFormat="1" ht="18" x14ac:dyDescent="0.25">
      <c r="A174" s="133" t="s">
        <v>101</v>
      </c>
      <c r="B174" s="134" t="s">
        <v>102</v>
      </c>
      <c r="C174" s="135">
        <v>1.9999999999999999E-88</v>
      </c>
      <c r="D174" s="136">
        <v>39.630000000000003</v>
      </c>
      <c r="E174" s="136">
        <v>483</v>
      </c>
      <c r="F174" s="137" t="str">
        <f>HYPERLINK("https://www.ncbi.nlm.nih.gov/protein/OYT47768.1?report=genbank&amp;log$=prottop&amp;blast_rank=291&amp;RID=41AMWJZD01N","OYT47768.1")</f>
        <v>OYT47768.1</v>
      </c>
      <c r="G174" s="138"/>
    </row>
    <row r="175" spans="1:7" s="115" customFormat="1" ht="18" x14ac:dyDescent="0.25">
      <c r="A175" s="133" t="s">
        <v>103</v>
      </c>
      <c r="B175" s="134" t="s">
        <v>104</v>
      </c>
      <c r="C175" s="135">
        <v>3.9999999999999997E-88</v>
      </c>
      <c r="D175" s="136">
        <v>35.92</v>
      </c>
      <c r="E175" s="136">
        <v>512</v>
      </c>
      <c r="F175" s="137" t="str">
        <f>HYPERLINK("https://www.ncbi.nlm.nih.gov/protein/RUM47282.1?report=genbank&amp;log$=prottop&amp;blast_rank=295&amp;RID=41AMWJZD01N","RUM47282.1")</f>
        <v>RUM47282.1</v>
      </c>
      <c r="G175" s="138"/>
    </row>
    <row r="176" spans="1:7" s="115" customFormat="1" ht="18" x14ac:dyDescent="0.25">
      <c r="A176" s="133" t="s">
        <v>105</v>
      </c>
      <c r="B176" s="134" t="s">
        <v>106</v>
      </c>
      <c r="C176" s="135">
        <v>4.0000000000000001E-91</v>
      </c>
      <c r="D176" s="136">
        <v>36.99</v>
      </c>
      <c r="E176" s="136">
        <v>515</v>
      </c>
      <c r="F176" s="137" t="str">
        <f>HYPERLINK("https://www.ncbi.nlm.nih.gov/protein/ABU81670.1?report=genbank&amp;log$=prottop&amp;blast_rank=241&amp;RID=41AMWJZD01N","ABU81670.1")</f>
        <v>ABU81670.1</v>
      </c>
      <c r="G176" s="138"/>
    </row>
    <row r="177" spans="1:7" s="115" customFormat="1" ht="18" x14ac:dyDescent="0.25">
      <c r="A177" s="133" t="s">
        <v>107</v>
      </c>
      <c r="B177" s="134" t="s">
        <v>108</v>
      </c>
      <c r="C177" s="135">
        <v>7.0000000000000004E-97</v>
      </c>
      <c r="D177" s="136">
        <v>37.85</v>
      </c>
      <c r="E177" s="136">
        <v>483</v>
      </c>
      <c r="F177" s="137" t="str">
        <f>HYPERLINK("https://www.ncbi.nlm.nih.gov/protein/ALU11537.1?report=genbank&amp;log$=prottop&amp;blast_rank=171&amp;RID=41AMWJZD01N","ALU11537.1")</f>
        <v>ALU11537.1</v>
      </c>
      <c r="G177" s="138"/>
    </row>
    <row r="178" spans="1:7" s="115" customFormat="1" ht="18" x14ac:dyDescent="0.25">
      <c r="A178" s="133" t="s">
        <v>109</v>
      </c>
      <c r="B178" s="134" t="s">
        <v>110</v>
      </c>
      <c r="C178" s="135">
        <v>3.0000000000000001E-92</v>
      </c>
      <c r="D178" s="136">
        <v>39.71</v>
      </c>
      <c r="E178" s="136">
        <v>489</v>
      </c>
      <c r="F178" s="137" t="str">
        <f>HYPERLINK("https://www.ncbi.nlm.nih.gov/protein/UXD21828.1?report=genbank&amp;log$=prottop&amp;blast_rank=214&amp;RID=41AMWJZD01N","UXD21828.1")</f>
        <v>UXD21828.1</v>
      </c>
      <c r="G178" s="138"/>
    </row>
    <row r="179" spans="1:7" s="115" customFormat="1" ht="18" x14ac:dyDescent="0.25">
      <c r="A179" s="133" t="s">
        <v>111</v>
      </c>
      <c r="B179" s="134" t="s">
        <v>112</v>
      </c>
      <c r="C179" s="135">
        <v>1E-83</v>
      </c>
      <c r="D179" s="136">
        <v>39.42</v>
      </c>
      <c r="E179" s="136">
        <v>486</v>
      </c>
      <c r="F179" s="137" t="str">
        <f>HYPERLINK("https://www.ncbi.nlm.nih.gov/protein/ADM28611.1?report=genbank&amp;log$=prottop&amp;blast_rank=339&amp;RID=41AMWJZD01N","ADM28611.1")</f>
        <v>ADM28611.1</v>
      </c>
      <c r="G179" s="138"/>
    </row>
    <row r="180" spans="1:7" s="115" customFormat="1" ht="18" x14ac:dyDescent="0.25">
      <c r="A180" s="133" t="s">
        <v>113</v>
      </c>
      <c r="B180" s="134" t="s">
        <v>114</v>
      </c>
      <c r="C180" s="135">
        <v>6E-79</v>
      </c>
      <c r="D180" s="136">
        <v>37.47</v>
      </c>
      <c r="E180" s="136">
        <v>504</v>
      </c>
      <c r="F180" s="137" t="str">
        <f>HYPERLINK("https://www.ncbi.nlm.nih.gov/protein/MCC6046037.1?report=genbank&amp;log$=prottop&amp;blast_rank=355&amp;RID=41AMWJZD01N","MCC6046037.1")</f>
        <v>MCC6046037.1</v>
      </c>
      <c r="G180" s="138"/>
    </row>
    <row r="181" spans="1:7" s="115" customFormat="1" ht="18" x14ac:dyDescent="0.25">
      <c r="A181" s="133" t="s">
        <v>113</v>
      </c>
      <c r="B181" s="134" t="s">
        <v>114</v>
      </c>
      <c r="C181" s="135">
        <v>1.9999999999999999E-82</v>
      </c>
      <c r="D181" s="136">
        <v>37.65</v>
      </c>
      <c r="E181" s="136">
        <v>496</v>
      </c>
      <c r="F181" s="137" t="str">
        <f>HYPERLINK("https://www.ncbi.nlm.nih.gov/protein/MCI4436009.1?report=genbank&amp;log$=prottop&amp;blast_rank=344&amp;RID=41AMWJZD01N","MCI4436009.1")</f>
        <v>MCI4436009.1</v>
      </c>
      <c r="G181" s="138"/>
    </row>
    <row r="182" spans="1:7" s="115" customFormat="1" ht="18" x14ac:dyDescent="0.25">
      <c r="A182" s="133" t="s">
        <v>115</v>
      </c>
      <c r="B182" s="134" t="s">
        <v>114</v>
      </c>
      <c r="C182" s="135">
        <v>9.9999999999999998E-86</v>
      </c>
      <c r="D182" s="136">
        <v>39.11</v>
      </c>
      <c r="E182" s="136">
        <v>493</v>
      </c>
      <c r="F182" s="137" t="str">
        <f>HYPERLINK("https://www.ncbi.nlm.nih.gov/protein/HDI02226.1?report=genbank&amp;log$=prottop&amp;blast_rank=325&amp;RID=41AMWJZD01N","HDI02226.1")</f>
        <v>HDI02226.1</v>
      </c>
      <c r="G182" s="138"/>
    </row>
    <row r="183" spans="1:7" s="115" customFormat="1" ht="18" x14ac:dyDescent="0.25">
      <c r="A183" s="133" t="s">
        <v>116</v>
      </c>
      <c r="B183" s="134" t="s">
        <v>117</v>
      </c>
      <c r="C183" s="135">
        <v>6.0000000000000002E-111</v>
      </c>
      <c r="D183" s="136">
        <v>45.99</v>
      </c>
      <c r="E183" s="136">
        <v>470</v>
      </c>
      <c r="F183" s="137" t="str">
        <f>HYPERLINK("https://www.ncbi.nlm.nih.gov/protein/KON32860.1?report=genbank&amp;log$=prottop&amp;blast_rank=98&amp;RID=41AMWJZD01N","KON32860.1")</f>
        <v>KON32860.1</v>
      </c>
      <c r="G183" s="138"/>
    </row>
    <row r="184" spans="1:7" s="115" customFormat="1" ht="18" x14ac:dyDescent="0.25">
      <c r="A184" s="133" t="s">
        <v>118</v>
      </c>
      <c r="B184" s="134" t="s">
        <v>119</v>
      </c>
      <c r="C184" s="135">
        <v>3.0000000000000002E-109</v>
      </c>
      <c r="D184" s="136">
        <v>47.15</v>
      </c>
      <c r="E184" s="136">
        <v>470</v>
      </c>
      <c r="F184" s="137" t="str">
        <f>HYPERLINK("https://www.ncbi.nlm.nih.gov/protein/KON32415.1?report=genbank&amp;log$=prottop&amp;blast_rank=106&amp;RID=41AMWJZD01N","KON32415.1")</f>
        <v>KON32415.1</v>
      </c>
      <c r="G184" s="138"/>
    </row>
    <row r="185" spans="1:7" s="115" customFormat="1" ht="18" x14ac:dyDescent="0.25">
      <c r="A185" s="133" t="s">
        <v>120</v>
      </c>
      <c r="B185" s="134" t="s">
        <v>121</v>
      </c>
      <c r="C185" s="135">
        <v>6.0000000000000002E-111</v>
      </c>
      <c r="D185" s="136">
        <v>46.32</v>
      </c>
      <c r="E185" s="136">
        <v>472</v>
      </c>
      <c r="F185" s="137" t="str">
        <f>HYPERLINK("https://www.ncbi.nlm.nih.gov/protein/KON34098.1?report=genbank&amp;log$=prottop&amp;blast_rank=97&amp;RID=41AMWJZD01N","KON34098.1")</f>
        <v>KON34098.1</v>
      </c>
      <c r="G185" s="138"/>
    </row>
    <row r="186" spans="1:7" s="115" customFormat="1" ht="18" x14ac:dyDescent="0.25">
      <c r="A186" s="133" t="s">
        <v>122</v>
      </c>
      <c r="B186" s="134" t="s">
        <v>123</v>
      </c>
      <c r="C186" s="135">
        <v>4.0000000000000003E-63</v>
      </c>
      <c r="D186" s="136">
        <v>35.479999999999997</v>
      </c>
      <c r="E186" s="136">
        <v>484</v>
      </c>
      <c r="F186" s="137" t="str">
        <f>HYPERLINK("https://www.ncbi.nlm.nih.gov/protein/NIN52404.1?report=genbank&amp;log$=prottop&amp;blast_rank=418&amp;RID=41AMWJZD01N","NIN52404.1")</f>
        <v>NIN52404.1</v>
      </c>
      <c r="G186" s="138"/>
    </row>
    <row r="187" spans="1:7" s="115" customFormat="1" ht="18" x14ac:dyDescent="0.25">
      <c r="A187" s="133" t="s">
        <v>124</v>
      </c>
      <c r="B187" s="134" t="s">
        <v>123</v>
      </c>
      <c r="C187" s="135">
        <v>9.9999999999999999E-91</v>
      </c>
      <c r="D187" s="136">
        <v>40.31</v>
      </c>
      <c r="E187" s="136">
        <v>480</v>
      </c>
      <c r="F187" s="137" t="str">
        <f>HYPERLINK("https://www.ncbi.nlm.nih.gov/protein/HDD39682.1?report=genbank&amp;log$=prottop&amp;blast_rank=249&amp;RID=41AMWJZD01N","HDD39682.1")</f>
        <v>HDD39682.1</v>
      </c>
      <c r="G187" s="138"/>
    </row>
    <row r="188" spans="1:7" s="115" customFormat="1" ht="18" x14ac:dyDescent="0.25">
      <c r="A188" s="133" t="s">
        <v>125</v>
      </c>
      <c r="B188" s="134" t="s">
        <v>126</v>
      </c>
      <c r="C188" s="135">
        <v>5.0000000000000003E-102</v>
      </c>
      <c r="D188" s="136">
        <v>39.71</v>
      </c>
      <c r="E188" s="136">
        <v>535</v>
      </c>
      <c r="F188" s="137" t="str">
        <f>HYPERLINK("https://www.ncbi.nlm.nih.gov/protein/MCL4344314.1?report=genbank&amp;log$=prottop&amp;blast_rank=144&amp;RID=41AMWJZD01N","MCL4344314.1")</f>
        <v>MCL4344314.1</v>
      </c>
      <c r="G188" s="138"/>
    </row>
    <row r="189" spans="1:7" s="115" customFormat="1" ht="18" x14ac:dyDescent="0.25">
      <c r="A189" s="133" t="s">
        <v>125</v>
      </c>
      <c r="B189" s="134" t="s">
        <v>126</v>
      </c>
      <c r="C189" s="135">
        <v>2.0000000000000002E-111</v>
      </c>
      <c r="D189" s="136">
        <v>40.82</v>
      </c>
      <c r="E189" s="136">
        <v>499</v>
      </c>
      <c r="F189" s="137" t="str">
        <f>HYPERLINK("https://www.ncbi.nlm.nih.gov/protein/NHV96704.1?report=genbank&amp;log$=prottop&amp;blast_rank=96&amp;RID=41AMWJZD01N","NHV96704.1")</f>
        <v>NHV96704.1</v>
      </c>
      <c r="G189" s="138"/>
    </row>
    <row r="190" spans="1:7" s="116" customFormat="1" ht="18" x14ac:dyDescent="0.25">
      <c r="A190" s="133" t="s">
        <v>125</v>
      </c>
      <c r="B190" s="134" t="s">
        <v>126</v>
      </c>
      <c r="C190" s="135">
        <v>7.9999999999999999E-109</v>
      </c>
      <c r="D190" s="136">
        <v>44.78</v>
      </c>
      <c r="E190" s="136">
        <v>496</v>
      </c>
      <c r="F190" s="137" t="str">
        <f>HYPERLINK("https://www.ncbi.nlm.nih.gov/protein/MCL7387133.1?report=genbank&amp;log$=prottop&amp;blast_rank=107&amp;RID=41AMWJZD01N","MCL7387133.1")</f>
        <v>MCL7387133.1</v>
      </c>
      <c r="G190" s="138"/>
    </row>
    <row r="191" spans="1:7" s="115" customFormat="1" ht="18" x14ac:dyDescent="0.25">
      <c r="A191" s="133" t="s">
        <v>125</v>
      </c>
      <c r="B191" s="134" t="s">
        <v>126</v>
      </c>
      <c r="C191" s="135">
        <v>2E-87</v>
      </c>
      <c r="D191" s="136">
        <v>39.950000000000003</v>
      </c>
      <c r="E191" s="136">
        <v>495</v>
      </c>
      <c r="F191" s="137" t="str">
        <f>HYPERLINK("https://www.ncbi.nlm.nih.gov/protein/MCC6023618.1?report=genbank&amp;log$=prottop&amp;blast_rank=307&amp;RID=41AMWJZD01N","MCC6023618.1")</f>
        <v>MCC6023618.1</v>
      </c>
      <c r="G191" s="138"/>
    </row>
    <row r="192" spans="1:7" s="115" customFormat="1" ht="18" x14ac:dyDescent="0.25">
      <c r="A192" s="133" t="s">
        <v>125</v>
      </c>
      <c r="B192" s="134" t="s">
        <v>126</v>
      </c>
      <c r="C192" s="135">
        <v>2E-90</v>
      </c>
      <c r="D192" s="136">
        <v>38.619999999999997</v>
      </c>
      <c r="E192" s="136">
        <v>490</v>
      </c>
      <c r="F192" s="137" t="str">
        <f>HYPERLINK("https://www.ncbi.nlm.nih.gov/protein/MCL7388477.1?report=genbank&amp;log$=prottop&amp;blast_rank=258&amp;RID=41AMWJZD01N","MCL7388477.1")</f>
        <v>MCL7388477.1</v>
      </c>
      <c r="G192" s="138"/>
    </row>
    <row r="193" spans="1:7" s="115" customFormat="1" ht="18" x14ac:dyDescent="0.25">
      <c r="A193" s="133" t="s">
        <v>127</v>
      </c>
      <c r="B193" s="134" t="s">
        <v>126</v>
      </c>
      <c r="C193" s="135">
        <v>4.0000000000000001E-91</v>
      </c>
      <c r="D193" s="136">
        <v>37.08</v>
      </c>
      <c r="E193" s="136">
        <v>483</v>
      </c>
      <c r="F193" s="137" t="str">
        <f>HYPERLINK("https://www.ncbi.nlm.nih.gov/protein/RLG09495.1?report=genbank&amp;log$=prottop&amp;blast_rank=238&amp;RID=41AMWJZD01N","RLG09495.1")</f>
        <v>RLG09495.1</v>
      </c>
      <c r="G193" s="138"/>
    </row>
    <row r="194" spans="1:7" s="115" customFormat="1" ht="18" x14ac:dyDescent="0.25">
      <c r="A194" s="133" t="s">
        <v>125</v>
      </c>
      <c r="B194" s="134" t="s">
        <v>126</v>
      </c>
      <c r="C194" s="135">
        <v>3.9999999999999997E-88</v>
      </c>
      <c r="D194" s="136">
        <v>41.32</v>
      </c>
      <c r="E194" s="136">
        <v>482</v>
      </c>
      <c r="F194" s="137" t="str">
        <f>HYPERLINK("https://www.ncbi.nlm.nih.gov/protein/MCD6261365.1?report=genbank&amp;log$=prottop&amp;blast_rank=296&amp;RID=41AMWJZD01N","MCD6261365.1")</f>
        <v>MCD6261365.1</v>
      </c>
      <c r="G194" s="138"/>
    </row>
    <row r="195" spans="1:7" s="115" customFormat="1" ht="18" x14ac:dyDescent="0.25">
      <c r="A195" s="133" t="s">
        <v>127</v>
      </c>
      <c r="B195" s="134" t="s">
        <v>126</v>
      </c>
      <c r="C195" s="135">
        <v>6.9999999999999996E-85</v>
      </c>
      <c r="D195" s="136">
        <v>40.369999999999997</v>
      </c>
      <c r="E195" s="136">
        <v>482</v>
      </c>
      <c r="F195" s="137" t="str">
        <f>HYPERLINK("https://www.ncbi.nlm.nih.gov/protein/RLG05429.1?report=genbank&amp;log$=prottop&amp;blast_rank=329&amp;RID=41AMWJZD01N","RLG05429.1")</f>
        <v>RLG05429.1</v>
      </c>
      <c r="G195" s="138"/>
    </row>
    <row r="196" spans="1:7" s="115" customFormat="1" ht="18" x14ac:dyDescent="0.25">
      <c r="A196" s="133" t="s">
        <v>125</v>
      </c>
      <c r="B196" s="134" t="s">
        <v>126</v>
      </c>
      <c r="C196" s="135">
        <v>8.0000000000000003E-84</v>
      </c>
      <c r="D196" s="136">
        <v>38.18</v>
      </c>
      <c r="E196" s="136">
        <v>482</v>
      </c>
      <c r="F196" s="137" t="str">
        <f>HYPERLINK("https://www.ncbi.nlm.nih.gov/protein/MCD6312216.1?report=genbank&amp;log$=prottop&amp;blast_rank=338&amp;RID=41AMWJZD01N","MCD6312216.1")</f>
        <v>MCD6312216.1</v>
      </c>
      <c r="G196" s="138"/>
    </row>
    <row r="197" spans="1:7" s="115" customFormat="1" ht="18" x14ac:dyDescent="0.25">
      <c r="A197" s="133" t="s">
        <v>125</v>
      </c>
      <c r="B197" s="134" t="s">
        <v>126</v>
      </c>
      <c r="C197" s="135">
        <v>6.9999999999999994E-89</v>
      </c>
      <c r="D197" s="136">
        <v>41.04</v>
      </c>
      <c r="E197" s="136">
        <v>471</v>
      </c>
      <c r="F197" s="137" t="str">
        <f>HYPERLINK("https://www.ncbi.nlm.nih.gov/protein/MCD6591637.1?report=genbank&amp;log$=prottop&amp;blast_rank=284&amp;RID=41AMWJZD01N","MCD6591637.1")</f>
        <v>MCD6591637.1</v>
      </c>
      <c r="G197" s="138"/>
    </row>
    <row r="198" spans="1:7" s="115" customFormat="1" ht="18" x14ac:dyDescent="0.25">
      <c r="A198" s="133" t="s">
        <v>125</v>
      </c>
      <c r="B198" s="134" t="s">
        <v>126</v>
      </c>
      <c r="C198" s="135">
        <v>1.9999999999999999E-88</v>
      </c>
      <c r="D198" s="136">
        <v>36.799999999999997</v>
      </c>
      <c r="E198" s="136">
        <v>468</v>
      </c>
      <c r="F198" s="137" t="str">
        <f>HYPERLINK("https://www.ncbi.nlm.nih.gov/protein/MCD6341869.1?report=genbank&amp;log$=prottop&amp;blast_rank=290&amp;RID=41AMWJZD01N","MCD6341869.1")</f>
        <v>MCD6341869.1</v>
      </c>
      <c r="G198" s="138"/>
    </row>
    <row r="199" spans="1:7" s="115" customFormat="1" ht="18" x14ac:dyDescent="0.25">
      <c r="A199" s="133" t="s">
        <v>128</v>
      </c>
      <c r="B199" s="134" t="s">
        <v>129</v>
      </c>
      <c r="C199" s="135">
        <v>3.9999999999999996E-93</v>
      </c>
      <c r="D199" s="136">
        <v>40.74</v>
      </c>
      <c r="E199" s="136">
        <v>500</v>
      </c>
      <c r="F199" s="137" t="str">
        <f>HYPERLINK("https://www.ncbi.nlm.nih.gov/protein/HIC99049.1?report=genbank&amp;log$=prottop&amp;blast_rank=208&amp;RID=41AMWJZD01N","HIC99049.1")</f>
        <v>HIC99049.1</v>
      </c>
      <c r="G199" s="138"/>
    </row>
    <row r="200" spans="1:7" s="115" customFormat="1" ht="18" x14ac:dyDescent="0.25">
      <c r="A200" s="133" t="s">
        <v>130</v>
      </c>
      <c r="B200" s="134" t="s">
        <v>131</v>
      </c>
      <c r="C200" s="135">
        <v>3.0000000000000001E-86</v>
      </c>
      <c r="D200" s="136">
        <v>37.11</v>
      </c>
      <c r="E200" s="136">
        <v>513</v>
      </c>
      <c r="F200" s="137" t="str">
        <f>HYPERLINK("https://www.ncbi.nlm.nih.gov/protein/KSW12511.1?report=genbank&amp;log$=prottop&amp;blast_rank=315&amp;RID=41AMWJZD01N","KSW12511.1")</f>
        <v>KSW12511.1</v>
      </c>
      <c r="G200" s="138"/>
    </row>
    <row r="201" spans="1:7" s="115" customFormat="1" ht="18" x14ac:dyDescent="0.25">
      <c r="A201" s="133" t="s">
        <v>132</v>
      </c>
      <c r="B201" s="134" t="s">
        <v>133</v>
      </c>
      <c r="C201" s="135">
        <v>1.9999999999999999E-94</v>
      </c>
      <c r="D201" s="136">
        <v>40.74</v>
      </c>
      <c r="E201" s="136">
        <v>498</v>
      </c>
      <c r="F201" s="137" t="str">
        <f>HYPERLINK("https://www.ncbi.nlm.nih.gov/protein/HIP65275.1?report=genbank&amp;log$=prottop&amp;blast_rank=195&amp;RID=41AMWJZD01N","HIP65275.1")</f>
        <v>HIP65275.1</v>
      </c>
      <c r="G201" s="138"/>
    </row>
    <row r="202" spans="1:7" s="115" customFormat="1" ht="18" x14ac:dyDescent="0.25">
      <c r="A202" s="133" t="s">
        <v>134</v>
      </c>
      <c r="B202" s="134" t="s">
        <v>135</v>
      </c>
      <c r="C202" s="135">
        <v>7.0000000000000002E-84</v>
      </c>
      <c r="D202" s="136">
        <v>37.979999999999997</v>
      </c>
      <c r="E202" s="136">
        <v>506</v>
      </c>
      <c r="F202" s="137" t="str">
        <f>HYPERLINK("https://www.ncbi.nlm.nih.gov/protein/ABN69769.1?report=genbank&amp;log$=prottop&amp;blast_rank=336&amp;RID=41AMWJZD01N","ABN69769.1")</f>
        <v>ABN69769.1</v>
      </c>
      <c r="G202" s="138"/>
    </row>
    <row r="203" spans="1:7" s="115" customFormat="1" ht="18" x14ac:dyDescent="0.25">
      <c r="A203" s="133" t="s">
        <v>136</v>
      </c>
      <c r="B203" s="134" t="s">
        <v>137</v>
      </c>
      <c r="C203" s="135">
        <v>6.9999999999999997E-93</v>
      </c>
      <c r="D203" s="136">
        <v>40</v>
      </c>
      <c r="E203" s="136">
        <v>498</v>
      </c>
      <c r="F203" s="137" t="str">
        <f>HYPERLINK("https://www.ncbi.nlm.nih.gov/protein/MCD6196635.1?report=genbank&amp;log$=prottop&amp;blast_rank=211&amp;RID=41AMWJZD01N","MCD6196635.1")</f>
        <v>MCD6196635.1</v>
      </c>
      <c r="G203" s="138"/>
    </row>
    <row r="204" spans="1:7" s="115" customFormat="1" ht="18" x14ac:dyDescent="0.25">
      <c r="A204" s="133" t="s">
        <v>138</v>
      </c>
      <c r="B204" s="134" t="s">
        <v>139</v>
      </c>
      <c r="C204" s="135">
        <v>9.9999999999999995E-113</v>
      </c>
      <c r="D204" s="136">
        <v>45.92</v>
      </c>
      <c r="E204" s="136">
        <v>503</v>
      </c>
      <c r="F204" s="137" t="str">
        <f>HYPERLINK("https://www.ncbi.nlm.nih.gov/protein/MBP1358103.1?report=genbank&amp;log$=prottop&amp;blast_rank=91&amp;RID=41AMWJZD01N","MBP1358103.1")</f>
        <v>MBP1358103.1</v>
      </c>
      <c r="G204" s="138"/>
    </row>
    <row r="205" spans="1:7" s="115" customFormat="1" ht="18" x14ac:dyDescent="0.25">
      <c r="A205" s="133" t="s">
        <v>140</v>
      </c>
      <c r="B205" s="134" t="s">
        <v>141</v>
      </c>
      <c r="C205" s="135">
        <v>8.9999999999999998E-88</v>
      </c>
      <c r="D205" s="136">
        <v>40.479999999999997</v>
      </c>
      <c r="E205" s="136">
        <v>497</v>
      </c>
      <c r="F205" s="137" t="str">
        <f>HYPERLINK("https://www.ncbi.nlm.nih.gov/protein/GGP19366.1?report=genbank&amp;log$=prottop&amp;blast_rank=302&amp;RID=41AMWJZD01N","GGP19366.1")</f>
        <v>GGP19366.1</v>
      </c>
      <c r="G205" s="138"/>
    </row>
    <row r="206" spans="1:7" s="115" customFormat="1" ht="18" x14ac:dyDescent="0.25">
      <c r="A206" s="133" t="s">
        <v>142</v>
      </c>
      <c r="B206" s="134" t="s">
        <v>143</v>
      </c>
      <c r="C206" s="135">
        <v>2.0000000000000001E-89</v>
      </c>
      <c r="D206" s="136">
        <v>42.11</v>
      </c>
      <c r="E206" s="136">
        <v>497</v>
      </c>
      <c r="F206" s="137" t="str">
        <f>HYPERLINK("https://www.ncbi.nlm.nih.gov/protein/KUO91490.1?report=genbank&amp;log$=prottop&amp;blast_rank=278&amp;RID=41AMWJZD01N","KUO91490.1")</f>
        <v>KUO91490.1</v>
      </c>
      <c r="G206" s="138"/>
    </row>
    <row r="207" spans="1:7" s="115" customFormat="1" ht="18" x14ac:dyDescent="0.25">
      <c r="A207" s="133" t="s">
        <v>144</v>
      </c>
      <c r="B207" s="134" t="s">
        <v>145</v>
      </c>
      <c r="C207" s="135">
        <v>2.0000000000000001E-84</v>
      </c>
      <c r="D207" s="136">
        <v>38.89</v>
      </c>
      <c r="E207" s="136">
        <v>495</v>
      </c>
      <c r="F207" s="137" t="str">
        <f>HYPERLINK("https://www.ncbi.nlm.nih.gov/protein/MCC6021317.1?report=genbank&amp;log$=prottop&amp;blast_rank=332&amp;RID=41AMWJZD01N","MCC6021317.1")</f>
        <v>MCC6021317.1</v>
      </c>
      <c r="G207" s="138"/>
    </row>
    <row r="208" spans="1:7" s="116" customFormat="1" ht="18" x14ac:dyDescent="0.25">
      <c r="A208" s="133" t="s">
        <v>146</v>
      </c>
      <c r="B208" s="134" t="s">
        <v>147</v>
      </c>
      <c r="C208" s="135">
        <v>3.0000000000000002E-91</v>
      </c>
      <c r="D208" s="136">
        <v>37.229999999999997</v>
      </c>
      <c r="E208" s="136">
        <v>491</v>
      </c>
      <c r="F208" s="137" t="str">
        <f>HYPERLINK("https://www.ncbi.nlm.nih.gov/protein/MCD6368284.1?report=genbank&amp;log$=prottop&amp;blast_rank=237&amp;RID=41AMWJZD01N","MCD6368284.1")</f>
        <v>MCD6368284.1</v>
      </c>
      <c r="G208" s="138"/>
    </row>
    <row r="209" spans="1:7" s="115" customFormat="1" ht="18" x14ac:dyDescent="0.25">
      <c r="A209" s="133" t="s">
        <v>146</v>
      </c>
      <c r="B209" s="134" t="s">
        <v>147</v>
      </c>
      <c r="C209" s="135">
        <v>3.0000000000000001E-96</v>
      </c>
      <c r="D209" s="136">
        <v>42.34</v>
      </c>
      <c r="E209" s="136">
        <v>480</v>
      </c>
      <c r="F209" s="137" t="str">
        <f>HYPERLINK("https://www.ncbi.nlm.nih.gov/protein/MCD6563933.1?report=genbank&amp;log$=prottop&amp;blast_rank=177&amp;RID=41AMWJZD01N","MCD6563933.1")</f>
        <v>MCD6563933.1</v>
      </c>
      <c r="G209" s="138"/>
    </row>
    <row r="210" spans="1:7" s="115" customFormat="1" ht="18" x14ac:dyDescent="0.25">
      <c r="A210" s="133" t="s">
        <v>148</v>
      </c>
      <c r="B210" s="134" t="s">
        <v>149</v>
      </c>
      <c r="C210" s="135">
        <v>2.0000000000000001E-84</v>
      </c>
      <c r="D210" s="136">
        <v>37.049999999999997</v>
      </c>
      <c r="E210" s="136">
        <v>529</v>
      </c>
      <c r="F210" s="137" t="str">
        <f>HYPERLINK("https://www.ncbi.nlm.nih.gov/protein/RLE95856.1?report=genbank&amp;log$=prottop&amp;blast_rank=331&amp;RID=41AMWJZD01N","RLE95856.1")</f>
        <v>RLE95856.1</v>
      </c>
      <c r="G210" s="138"/>
    </row>
    <row r="211" spans="1:7" s="115" customFormat="1" ht="18" x14ac:dyDescent="0.25">
      <c r="A211" s="133" t="s">
        <v>148</v>
      </c>
      <c r="B211" s="134" t="s">
        <v>149</v>
      </c>
      <c r="C211" s="135">
        <v>8.0000000000000003E-84</v>
      </c>
      <c r="D211" s="136">
        <v>36</v>
      </c>
      <c r="E211" s="136">
        <v>525</v>
      </c>
      <c r="F211" s="137" t="str">
        <f>HYPERLINK("https://www.ncbi.nlm.nih.gov/protein/RLE58970.1?report=genbank&amp;log$=prottop&amp;blast_rank=337&amp;RID=41AMWJZD01N","RLE58970.1")</f>
        <v>RLE58970.1</v>
      </c>
      <c r="G211" s="138"/>
    </row>
    <row r="212" spans="1:7" s="115" customFormat="1" ht="18" x14ac:dyDescent="0.25">
      <c r="A212" s="133" t="s">
        <v>148</v>
      </c>
      <c r="B212" s="134" t="s">
        <v>149</v>
      </c>
      <c r="C212" s="135">
        <v>5.9999999999999998E-82</v>
      </c>
      <c r="D212" s="136">
        <v>38.1</v>
      </c>
      <c r="E212" s="136">
        <v>520</v>
      </c>
      <c r="F212" s="137" t="str">
        <f>HYPERLINK("https://www.ncbi.nlm.nih.gov/protein/RLG85842.1?report=genbank&amp;log$=prottop&amp;blast_rank=345&amp;RID=41AMWJZD01N","RLG85842.1")</f>
        <v>RLG85842.1</v>
      </c>
      <c r="G212" s="138"/>
    </row>
    <row r="213" spans="1:7" s="115" customFormat="1" ht="18" x14ac:dyDescent="0.25">
      <c r="A213" s="133" t="s">
        <v>148</v>
      </c>
      <c r="B213" s="134" t="s">
        <v>149</v>
      </c>
      <c r="C213" s="135">
        <v>2E-78</v>
      </c>
      <c r="D213" s="136">
        <v>34.369999999999997</v>
      </c>
      <c r="E213" s="136">
        <v>511</v>
      </c>
      <c r="F213" s="137" t="str">
        <f>HYPERLINK("https://www.ncbi.nlm.nih.gov/protein/RLG82946.1?report=genbank&amp;log$=prottop&amp;blast_rank=358&amp;RID=41AMWJZD01N","RLG82946.1")</f>
        <v>RLG82946.1</v>
      </c>
      <c r="G213" s="138"/>
    </row>
    <row r="214" spans="1:7" s="115" customFormat="1" ht="18" x14ac:dyDescent="0.25">
      <c r="A214" s="133" t="s">
        <v>148</v>
      </c>
      <c r="B214" s="134" t="s">
        <v>149</v>
      </c>
      <c r="C214" s="135">
        <v>5.0000000000000002E-98</v>
      </c>
      <c r="D214" s="136">
        <v>42.65</v>
      </c>
      <c r="E214" s="136">
        <v>502</v>
      </c>
      <c r="F214" s="137" t="str">
        <f>HYPERLINK("https://www.ncbi.nlm.nih.gov/protein/RLG77977.1?report=genbank&amp;log$=prottop&amp;blast_rank=162&amp;RID=41AMWJZD01N","RLG77977.1")</f>
        <v>RLG77977.1</v>
      </c>
      <c r="G214" s="138"/>
    </row>
    <row r="215" spans="1:7" s="115" customFormat="1" ht="18" x14ac:dyDescent="0.25">
      <c r="A215" s="133" t="s">
        <v>148</v>
      </c>
      <c r="B215" s="134" t="s">
        <v>149</v>
      </c>
      <c r="C215" s="135">
        <v>1.9999999999999999E-88</v>
      </c>
      <c r="D215" s="136">
        <v>39.64</v>
      </c>
      <c r="E215" s="136">
        <v>501</v>
      </c>
      <c r="F215" s="137" t="str">
        <f>HYPERLINK("https://www.ncbi.nlm.nih.gov/protein/RLG76018.1?report=genbank&amp;log$=prottop&amp;blast_rank=292&amp;RID=41AMWJZD01N","RLG76018.1")</f>
        <v>RLG76018.1</v>
      </c>
      <c r="G215" s="138"/>
    </row>
    <row r="216" spans="1:7" s="115" customFormat="1" ht="18" x14ac:dyDescent="0.25">
      <c r="A216" s="133" t="s">
        <v>150</v>
      </c>
      <c r="B216" s="134" t="s">
        <v>149</v>
      </c>
      <c r="C216" s="135">
        <v>9.9999999999999996E-83</v>
      </c>
      <c r="D216" s="136">
        <v>38.729999999999997</v>
      </c>
      <c r="E216" s="136">
        <v>501</v>
      </c>
      <c r="F216" s="137" t="str">
        <f>HYPERLINK("https://www.ncbi.nlm.nih.gov/protein/MCD6113883.1?report=genbank&amp;log$=prottop&amp;blast_rank=341&amp;RID=41AMWJZD01N","MCD6113883.1")</f>
        <v>MCD6113883.1</v>
      </c>
      <c r="G216" s="138"/>
    </row>
    <row r="217" spans="1:7" s="115" customFormat="1" ht="18" x14ac:dyDescent="0.25">
      <c r="A217" s="133" t="s">
        <v>148</v>
      </c>
      <c r="B217" s="134" t="s">
        <v>149</v>
      </c>
      <c r="C217" s="135">
        <v>3.0000000000000002E-91</v>
      </c>
      <c r="D217" s="136">
        <v>42.86</v>
      </c>
      <c r="E217" s="136">
        <v>497</v>
      </c>
      <c r="F217" s="137" t="str">
        <f>HYPERLINK("https://www.ncbi.nlm.nih.gov/protein/RLE93484.1?report=genbank&amp;log$=prottop&amp;blast_rank=236&amp;RID=41AMWJZD01N","RLE93484.1")</f>
        <v>RLE93484.1</v>
      </c>
      <c r="G217" s="138"/>
    </row>
    <row r="218" spans="1:7" s="115" customFormat="1" ht="18" x14ac:dyDescent="0.25">
      <c r="A218" s="133" t="s">
        <v>148</v>
      </c>
      <c r="B218" s="134" t="s">
        <v>149</v>
      </c>
      <c r="C218" s="135">
        <v>2E-87</v>
      </c>
      <c r="D218" s="136">
        <v>40.21</v>
      </c>
      <c r="E218" s="136">
        <v>495</v>
      </c>
      <c r="F218" s="137" t="str">
        <f>HYPERLINK("https://www.ncbi.nlm.nih.gov/protein/RLE99813.1?report=genbank&amp;log$=prottop&amp;blast_rank=305&amp;RID=41AMWJZD01N","RLE99813.1")</f>
        <v>RLE99813.1</v>
      </c>
      <c r="G218" s="138"/>
    </row>
    <row r="219" spans="1:7" s="115" customFormat="1" ht="18" x14ac:dyDescent="0.25">
      <c r="A219" s="133" t="s">
        <v>148</v>
      </c>
      <c r="B219" s="134" t="s">
        <v>149</v>
      </c>
      <c r="C219" s="135">
        <v>5.0000000000000003E-129</v>
      </c>
      <c r="D219" s="136">
        <v>51.72</v>
      </c>
      <c r="E219" s="136">
        <v>490</v>
      </c>
      <c r="F219" s="137" t="str">
        <f>HYPERLINK("https://www.ncbi.nlm.nih.gov/protein/RLF15027.1?report=genbank&amp;log$=prottop&amp;blast_rank=21&amp;RID=41AMWJZD01N","RLF15027.1")</f>
        <v>RLF15027.1</v>
      </c>
      <c r="G219" s="138"/>
    </row>
    <row r="220" spans="1:7" s="115" customFormat="1" ht="18" x14ac:dyDescent="0.25">
      <c r="A220" s="133" t="s">
        <v>148</v>
      </c>
      <c r="B220" s="134" t="s">
        <v>149</v>
      </c>
      <c r="C220" s="135">
        <v>2E-87</v>
      </c>
      <c r="D220" s="136">
        <v>39.42</v>
      </c>
      <c r="E220" s="136">
        <v>489</v>
      </c>
      <c r="F220" s="137" t="str">
        <f>HYPERLINK("https://www.ncbi.nlm.nih.gov/protein/RLF15097.1?report=genbank&amp;log$=prottop&amp;blast_rank=304&amp;RID=41AMWJZD01N","RLF15097.1")</f>
        <v>RLF15097.1</v>
      </c>
      <c r="G220" s="138"/>
    </row>
    <row r="221" spans="1:7" s="115" customFormat="1" ht="18" x14ac:dyDescent="0.25">
      <c r="A221" s="133" t="s">
        <v>148</v>
      </c>
      <c r="B221" s="134" t="s">
        <v>149</v>
      </c>
      <c r="C221" s="135">
        <v>1.0000000000000001E-86</v>
      </c>
      <c r="D221" s="136">
        <v>41.19</v>
      </c>
      <c r="E221" s="136">
        <v>489</v>
      </c>
      <c r="F221" s="137" t="str">
        <f>HYPERLINK("https://www.ncbi.nlm.nih.gov/protein/RLE60690.1?report=genbank&amp;log$=prottop&amp;blast_rank=309&amp;RID=41AMWJZD01N","RLE60690.1")</f>
        <v>RLE60690.1</v>
      </c>
      <c r="G221" s="138"/>
    </row>
    <row r="222" spans="1:7" s="115" customFormat="1" ht="18" x14ac:dyDescent="0.25">
      <c r="A222" s="133" t="s">
        <v>150</v>
      </c>
      <c r="B222" s="134" t="s">
        <v>149</v>
      </c>
      <c r="C222" s="135">
        <v>2E-85</v>
      </c>
      <c r="D222" s="136">
        <v>39.42</v>
      </c>
      <c r="E222" s="136">
        <v>489</v>
      </c>
      <c r="F222" s="137" t="str">
        <f>HYPERLINK("https://www.ncbi.nlm.nih.gov/protein/MCD6510689.1?report=genbank&amp;log$=prottop&amp;blast_rank=326&amp;RID=41AMWJZD01N","MCD6510689.1")</f>
        <v>MCD6510689.1</v>
      </c>
      <c r="G222" s="138"/>
    </row>
    <row r="223" spans="1:7" s="115" customFormat="1" ht="18" x14ac:dyDescent="0.25">
      <c r="A223" s="133" t="s">
        <v>148</v>
      </c>
      <c r="B223" s="134" t="s">
        <v>149</v>
      </c>
      <c r="C223" s="135">
        <v>6.0000000000000003E-93</v>
      </c>
      <c r="D223" s="136">
        <v>42.51</v>
      </c>
      <c r="E223" s="136">
        <v>488</v>
      </c>
      <c r="F223" s="137" t="str">
        <f>HYPERLINK("https://www.ncbi.nlm.nih.gov/protein/RLE59575.1?report=genbank&amp;log$=prottop&amp;blast_rank=210&amp;RID=41AMWJZD01N","RLE59575.1")</f>
        <v>RLE59575.1</v>
      </c>
      <c r="G223" s="138"/>
    </row>
    <row r="224" spans="1:7" s="115" customFormat="1" ht="18" x14ac:dyDescent="0.25">
      <c r="A224" s="133" t="s">
        <v>148</v>
      </c>
      <c r="B224" s="134" t="s">
        <v>149</v>
      </c>
      <c r="C224" s="135">
        <v>5E-91</v>
      </c>
      <c r="D224" s="136">
        <v>42.37</v>
      </c>
      <c r="E224" s="136">
        <v>485</v>
      </c>
      <c r="F224" s="137" t="str">
        <f>HYPERLINK("https://www.ncbi.nlm.nih.gov/protein/RLE87782.1?report=genbank&amp;log$=prottop&amp;blast_rank=243&amp;RID=41AMWJZD01N","RLE87782.1")</f>
        <v>RLE87782.1</v>
      </c>
      <c r="G224" s="138"/>
    </row>
    <row r="225" spans="1:7" s="115" customFormat="1" ht="18" x14ac:dyDescent="0.25">
      <c r="A225" s="133" t="s">
        <v>148</v>
      </c>
      <c r="B225" s="134" t="s">
        <v>149</v>
      </c>
      <c r="C225" s="135">
        <v>3.0000000000000003E-101</v>
      </c>
      <c r="D225" s="136">
        <v>42.74</v>
      </c>
      <c r="E225" s="136">
        <v>484</v>
      </c>
      <c r="F225" s="137" t="str">
        <f>HYPERLINK("https://www.ncbi.nlm.nih.gov/protein/RLE86048.1?report=genbank&amp;log$=prottop&amp;blast_rank=147&amp;RID=41AMWJZD01N","RLE86048.1")</f>
        <v>RLE86048.1</v>
      </c>
      <c r="G225" s="138"/>
    </row>
    <row r="226" spans="1:7" s="115" customFormat="1" ht="18" x14ac:dyDescent="0.25">
      <c r="A226" s="133" t="s">
        <v>148</v>
      </c>
      <c r="B226" s="134" t="s">
        <v>149</v>
      </c>
      <c r="C226" s="135">
        <v>1E-99</v>
      </c>
      <c r="D226" s="136">
        <v>39.65</v>
      </c>
      <c r="E226" s="136">
        <v>484</v>
      </c>
      <c r="F226" s="137" t="str">
        <f>HYPERLINK("https://www.ncbi.nlm.nih.gov/protein/RLE84968.1?report=genbank&amp;log$=prottop&amp;blast_rank=151&amp;RID=41AMWJZD01N","RLE84968.1")</f>
        <v>RLE84968.1</v>
      </c>
      <c r="G226" s="138"/>
    </row>
    <row r="227" spans="1:7" s="115" customFormat="1" ht="18" x14ac:dyDescent="0.25">
      <c r="A227" s="133" t="s">
        <v>148</v>
      </c>
      <c r="B227" s="134" t="s">
        <v>149</v>
      </c>
      <c r="C227" s="135">
        <v>4.9999999999999997E-103</v>
      </c>
      <c r="D227" s="136">
        <v>43.73</v>
      </c>
      <c r="E227" s="136">
        <v>483</v>
      </c>
      <c r="F227" s="137" t="str">
        <f>HYPERLINK("https://www.ncbi.nlm.nih.gov/protein/RLF20003.1?report=genbank&amp;log$=prottop&amp;blast_rank=141&amp;RID=41AMWJZD01N","RLF20003.1")</f>
        <v>RLF20003.1</v>
      </c>
      <c r="G227" s="138"/>
    </row>
    <row r="228" spans="1:7" s="115" customFormat="1" ht="18" x14ac:dyDescent="0.25">
      <c r="A228" s="133" t="s">
        <v>148</v>
      </c>
      <c r="B228" s="134" t="s">
        <v>149</v>
      </c>
      <c r="C228" s="135">
        <v>2.9999999999999999E-88</v>
      </c>
      <c r="D228" s="136">
        <v>39.130000000000003</v>
      </c>
      <c r="E228" s="136">
        <v>475</v>
      </c>
      <c r="F228" s="137" t="str">
        <f>HYPERLINK("https://www.ncbi.nlm.nih.gov/protein/RLE98968.1?report=genbank&amp;log$=prottop&amp;blast_rank=293&amp;RID=41AMWJZD01N","RLE98968.1")</f>
        <v>RLE98968.1</v>
      </c>
      <c r="G228" s="138"/>
    </row>
    <row r="229" spans="1:7" s="115" customFormat="1" ht="18" x14ac:dyDescent="0.25">
      <c r="A229" s="133" t="s">
        <v>148</v>
      </c>
      <c r="B229" s="134" t="s">
        <v>149</v>
      </c>
      <c r="C229" s="135">
        <v>2.9999999999999999E-121</v>
      </c>
      <c r="D229" s="136">
        <v>51.17</v>
      </c>
      <c r="E229" s="136">
        <v>468</v>
      </c>
      <c r="F229" s="137" t="str">
        <f>HYPERLINK("https://www.ncbi.nlm.nih.gov/protein/RLF16499.1?report=genbank&amp;log$=prottop&amp;blast_rank=52&amp;RID=41AMWJZD01N","RLF16499.1")</f>
        <v>RLF16499.1</v>
      </c>
      <c r="G229" s="138"/>
    </row>
    <row r="230" spans="1:7" s="115" customFormat="1" ht="18" x14ac:dyDescent="0.25">
      <c r="A230" s="133" t="s">
        <v>148</v>
      </c>
      <c r="B230" s="134" t="s">
        <v>149</v>
      </c>
      <c r="C230" s="135">
        <v>4.9999999999999996E-77</v>
      </c>
      <c r="D230" s="136">
        <v>38.619999999999997</v>
      </c>
      <c r="E230" s="136">
        <v>461</v>
      </c>
      <c r="F230" s="137" t="str">
        <f>HYPERLINK("https://www.ncbi.nlm.nih.gov/protein/RLF21887.1?report=genbank&amp;log$=prottop&amp;blast_rank=359&amp;RID=41AMWJZD01N","RLF21887.1")</f>
        <v>RLF21887.1</v>
      </c>
      <c r="G230" s="138"/>
    </row>
    <row r="231" spans="1:7" s="115" customFormat="1" ht="18" x14ac:dyDescent="0.25">
      <c r="A231" s="133" t="s">
        <v>151</v>
      </c>
      <c r="B231" s="134" t="s">
        <v>149</v>
      </c>
      <c r="C231" s="135">
        <v>9.9999999999999991E-97</v>
      </c>
      <c r="D231" s="136">
        <v>44.3</v>
      </c>
      <c r="E231" s="136">
        <v>456</v>
      </c>
      <c r="F231" s="137" t="str">
        <f>HYPERLINK("https://www.ncbi.nlm.nih.gov/protein/RLE55612.1?report=genbank&amp;log$=prottop&amp;blast_rank=172&amp;RID=41AMWJZD01N","RLE55612.1")</f>
        <v>RLE55612.1</v>
      </c>
      <c r="G231" s="138"/>
    </row>
    <row r="232" spans="1:7" s="115" customFormat="1" ht="18" x14ac:dyDescent="0.25">
      <c r="A232" s="133" t="s">
        <v>152</v>
      </c>
      <c r="B232" s="134" t="s">
        <v>153</v>
      </c>
      <c r="C232" s="135">
        <v>3.0000000000000002E-85</v>
      </c>
      <c r="D232" s="136">
        <v>40.049999999999997</v>
      </c>
      <c r="E232" s="136">
        <v>503</v>
      </c>
      <c r="F232" s="137" t="str">
        <f>HYPERLINK("https://www.ncbi.nlm.nih.gov/protein/NPA22758.1?report=genbank&amp;log$=prottop&amp;blast_rank=327&amp;RID=41AMWJZD01N","NPA22758.1")</f>
        <v>NPA22758.1</v>
      </c>
      <c r="G232" s="138"/>
    </row>
    <row r="233" spans="1:7" s="115" customFormat="1" ht="18" x14ac:dyDescent="0.25">
      <c r="A233" s="133" t="s">
        <v>152</v>
      </c>
      <c r="B233" s="134" t="s">
        <v>153</v>
      </c>
      <c r="C233" s="135">
        <v>4.9999999999999998E-106</v>
      </c>
      <c r="D233" s="136">
        <v>41.88</v>
      </c>
      <c r="E233" s="136">
        <v>493</v>
      </c>
      <c r="F233" s="137" t="str">
        <f>HYPERLINK("https://www.ncbi.nlm.nih.gov/protein/MCR8455850.1?report=genbank&amp;log$=prottop&amp;blast_rank=120&amp;RID=41AMWJZD01N","MCR8455850.1")</f>
        <v>MCR8455850.1</v>
      </c>
      <c r="G233" s="138"/>
    </row>
    <row r="234" spans="1:7" s="115" customFormat="1" ht="18" x14ac:dyDescent="0.25">
      <c r="A234" s="133" t="s">
        <v>152</v>
      </c>
      <c r="B234" s="134" t="s">
        <v>153</v>
      </c>
      <c r="C234" s="135">
        <v>9.9999999999999996E-83</v>
      </c>
      <c r="D234" s="136">
        <v>36.68</v>
      </c>
      <c r="E234" s="136">
        <v>490</v>
      </c>
      <c r="F234" s="137" t="str">
        <f>HYPERLINK("https://www.ncbi.nlm.nih.gov/protein/NPA96058.1?report=genbank&amp;log$=prottop&amp;blast_rank=342&amp;RID=41AMWJZD01N","NPA96058.1")</f>
        <v>NPA96058.1</v>
      </c>
      <c r="G234" s="138"/>
    </row>
    <row r="235" spans="1:7" s="115" customFormat="1" ht="18" x14ac:dyDescent="0.25">
      <c r="A235" s="133" t="s">
        <v>152</v>
      </c>
      <c r="B235" s="134" t="s">
        <v>153</v>
      </c>
      <c r="C235" s="135">
        <v>3.0000000000000002E-106</v>
      </c>
      <c r="D235" s="136">
        <v>44.19</v>
      </c>
      <c r="E235" s="136">
        <v>475</v>
      </c>
      <c r="F235" s="137" t="str">
        <f>HYPERLINK("https://www.ncbi.nlm.nih.gov/protein/NLD66885.1?report=genbank&amp;log$=prottop&amp;blast_rank=118&amp;RID=41AMWJZD01N","NLD66885.1")</f>
        <v>NLD66885.1</v>
      </c>
      <c r="G235" s="138"/>
    </row>
    <row r="236" spans="1:7" s="115" customFormat="1" ht="18" x14ac:dyDescent="0.25">
      <c r="A236" s="133" t="s">
        <v>152</v>
      </c>
      <c r="B236" s="134" t="s">
        <v>153</v>
      </c>
      <c r="C236" s="135">
        <v>1.9999999999999999E-82</v>
      </c>
      <c r="D236" s="136">
        <v>38.69</v>
      </c>
      <c r="E236" s="136">
        <v>454</v>
      </c>
      <c r="F236" s="137" t="str">
        <f>HYPERLINK("https://www.ncbi.nlm.nih.gov/protein/NPA85499.1?report=genbank&amp;log$=prottop&amp;blast_rank=343&amp;RID=41AMWJZD01N","NPA85499.1")</f>
        <v>NPA85499.1</v>
      </c>
      <c r="G236" s="138"/>
    </row>
    <row r="237" spans="1:7" s="115" customFormat="1" ht="18" x14ac:dyDescent="0.25">
      <c r="A237" s="133" t="s">
        <v>152</v>
      </c>
      <c r="B237" s="134" t="s">
        <v>153</v>
      </c>
      <c r="C237" s="135">
        <v>9.0000000000000005E-115</v>
      </c>
      <c r="D237" s="136">
        <v>46.13</v>
      </c>
      <c r="E237" s="136">
        <v>421</v>
      </c>
      <c r="F237" s="137" t="str">
        <f>HYPERLINK("https://www.ncbi.nlm.nih.gov/protein/NLE03662.1?report=genbank&amp;log$=prottop&amp;blast_rank=77&amp;RID=41AMWJZD01N","NLE03662.1")</f>
        <v>NLE03662.1</v>
      </c>
      <c r="G237" s="138"/>
    </row>
    <row r="238" spans="1:7" s="115" customFormat="1" ht="18" x14ac:dyDescent="0.25">
      <c r="A238" s="133" t="s">
        <v>154</v>
      </c>
      <c r="B238" s="134" t="s">
        <v>155</v>
      </c>
      <c r="C238" s="135">
        <v>2E-90</v>
      </c>
      <c r="D238" s="136">
        <v>36.25</v>
      </c>
      <c r="E238" s="136">
        <v>503</v>
      </c>
      <c r="F238" s="137" t="str">
        <f>HYPERLINK("https://www.ncbi.nlm.nih.gov/protein/KUO83933.1?report=genbank&amp;log$=prottop&amp;blast_rank=256&amp;RID=41AMWJZD01N","KUO83933.1")</f>
        <v>KUO83933.1</v>
      </c>
      <c r="G238" s="138"/>
    </row>
    <row r="239" spans="1:7" s="115" customFormat="1" ht="18" x14ac:dyDescent="0.25">
      <c r="A239" s="133" t="s">
        <v>156</v>
      </c>
      <c r="B239" s="134" t="s">
        <v>157</v>
      </c>
      <c r="C239" s="135">
        <v>4E-90</v>
      </c>
      <c r="D239" s="136">
        <v>39.950000000000003</v>
      </c>
      <c r="E239" s="136">
        <v>519</v>
      </c>
      <c r="F239" s="137" t="str">
        <f>HYPERLINK("https://www.ncbi.nlm.nih.gov/protein/ESQ20624.1?report=genbank&amp;log$=prottop&amp;blast_rank=263&amp;RID=41AMWJZD01N","ESQ20624.1")</f>
        <v>ESQ20624.1</v>
      </c>
      <c r="G239" s="138"/>
    </row>
    <row r="240" spans="1:7" s="115" customFormat="1" ht="18" x14ac:dyDescent="0.25">
      <c r="A240" s="133" t="s">
        <v>158</v>
      </c>
      <c r="B240" s="134" t="s">
        <v>159</v>
      </c>
      <c r="C240" s="135">
        <v>1.9999999999999999E-88</v>
      </c>
      <c r="D240" s="136">
        <v>40.21</v>
      </c>
      <c r="E240" s="136">
        <v>503</v>
      </c>
      <c r="F240" s="137" t="str">
        <f>HYPERLINK("https://www.ncbi.nlm.nih.gov/protein/ADN49813.1?report=genbank&amp;log$=prottop&amp;blast_rank=288&amp;RID=41AMWJZD01N","ADN49813.1")</f>
        <v>ADN49813.1</v>
      </c>
      <c r="G240" s="138"/>
    </row>
    <row r="241" spans="1:7" s="115" customFormat="1" ht="18" x14ac:dyDescent="0.25">
      <c r="A241" s="133" t="s">
        <v>160</v>
      </c>
      <c r="B241" s="134" t="s">
        <v>161</v>
      </c>
      <c r="C241" s="135">
        <v>1E-89</v>
      </c>
      <c r="D241" s="136">
        <v>40.31</v>
      </c>
      <c r="E241" s="136">
        <v>503</v>
      </c>
      <c r="F241" s="137" t="str">
        <f>HYPERLINK("https://www.ncbi.nlm.nih.gov/protein/KJR72358.1?report=genbank&amp;log$=prottop&amp;blast_rank=273&amp;RID=41AMWJZD01N","KJR72358.1")</f>
        <v>KJR72358.1</v>
      </c>
      <c r="G241" s="138"/>
    </row>
    <row r="242" spans="1:7" s="115" customFormat="1" ht="18" x14ac:dyDescent="0.25">
      <c r="A242" s="133" t="s">
        <v>66</v>
      </c>
      <c r="B242" s="134" t="s">
        <v>65</v>
      </c>
      <c r="C242" s="135">
        <v>1E-125</v>
      </c>
      <c r="D242" s="136">
        <v>47.65</v>
      </c>
      <c r="E242" s="136">
        <v>446</v>
      </c>
      <c r="F242" s="137" t="s">
        <v>162</v>
      </c>
      <c r="G242" s="138"/>
    </row>
    <row r="243" spans="1:7" s="115" customFormat="1" ht="18" x14ac:dyDescent="0.25">
      <c r="A243" s="139" t="s">
        <v>45</v>
      </c>
      <c r="B243" s="140" t="s">
        <v>44</v>
      </c>
      <c r="C243" s="141">
        <v>9.9999999999999995E-113</v>
      </c>
      <c r="D243" s="142">
        <v>42.21</v>
      </c>
      <c r="E243" s="142">
        <v>455</v>
      </c>
      <c r="F243" s="143" t="s">
        <v>163</v>
      </c>
      <c r="G243" s="144"/>
    </row>
    <row r="244" spans="1:7" s="115" customFormat="1" x14ac:dyDescent="0.25">
      <c r="A244" s="117"/>
      <c r="B244" s="117"/>
      <c r="C244" s="117"/>
      <c r="D244" s="117"/>
      <c r="E244" s="117"/>
      <c r="F244" s="118"/>
      <c r="G244" s="117"/>
    </row>
    <row r="245" spans="1:7" s="115" customFormat="1" x14ac:dyDescent="0.25">
      <c r="A245" s="177" t="s">
        <v>164</v>
      </c>
      <c r="B245" s="178"/>
      <c r="C245" s="178"/>
      <c r="D245" s="178"/>
      <c r="E245" s="178"/>
      <c r="F245" s="179"/>
      <c r="G245" s="180"/>
    </row>
    <row r="246" spans="1:7" s="115" customFormat="1" ht="18" x14ac:dyDescent="0.25">
      <c r="A246" s="145" t="s">
        <v>165</v>
      </c>
      <c r="B246" s="146" t="s">
        <v>166</v>
      </c>
      <c r="C246" s="147">
        <v>1E-167</v>
      </c>
      <c r="D246" s="148">
        <v>56.54</v>
      </c>
      <c r="E246" s="148">
        <v>424</v>
      </c>
      <c r="F246" s="149" t="str">
        <f>HYPERLINK("https://www.ncbi.nlm.nih.gov/protein/MCD6494243.1?report=genbank&amp;log$=prottop&amp;blast_rank=19&amp;RID=41BATMMA013","MCD6494243.1")</f>
        <v>MCD6494243.1</v>
      </c>
      <c r="G246" s="150"/>
    </row>
    <row r="247" spans="1:7" s="115" customFormat="1" ht="18" x14ac:dyDescent="0.25">
      <c r="A247" s="145" t="s">
        <v>167</v>
      </c>
      <c r="B247" s="146" t="s">
        <v>168</v>
      </c>
      <c r="C247" s="147">
        <v>3.9999999999999999E-170</v>
      </c>
      <c r="D247" s="148">
        <v>56.97</v>
      </c>
      <c r="E247" s="148">
        <v>425</v>
      </c>
      <c r="F247" s="149" t="str">
        <f>HYPERLINK("https://www.ncbi.nlm.nih.gov/protein/MBO8180997.1?report=genbank&amp;log$=prottop&amp;blast_rank=18&amp;RID=41BATMMA013","MBO8180997.1")</f>
        <v>MBO8180997.1</v>
      </c>
      <c r="G247" s="150"/>
    </row>
    <row r="248" spans="1:7" s="115" customFormat="1" ht="18" x14ac:dyDescent="0.25">
      <c r="A248" s="145" t="s">
        <v>169</v>
      </c>
      <c r="B248" s="146" t="s">
        <v>170</v>
      </c>
      <c r="C248" s="147">
        <v>8.9999999999999995E-65</v>
      </c>
      <c r="D248" s="148">
        <v>34.22</v>
      </c>
      <c r="E248" s="148">
        <v>444</v>
      </c>
      <c r="F248" s="149" t="str">
        <f>HYPERLINK("https://www.ncbi.nlm.nih.gov/protein/KYK36509.1?report=genbank&amp;log$=prottop&amp;blast_rank=227&amp;RID=41BATMMA013","KYK36509.1")</f>
        <v>KYK36509.1</v>
      </c>
      <c r="G248" s="150"/>
    </row>
    <row r="249" spans="1:7" s="115" customFormat="1" ht="18" x14ac:dyDescent="0.25">
      <c r="A249" s="145" t="s">
        <v>171</v>
      </c>
      <c r="B249" s="146" t="s">
        <v>172</v>
      </c>
      <c r="C249" s="147">
        <v>5.0000000000000002E-173</v>
      </c>
      <c r="D249" s="148">
        <v>56.92</v>
      </c>
      <c r="E249" s="148">
        <v>449</v>
      </c>
      <c r="F249" s="149" t="str">
        <f>HYPERLINK("https://www.ncbi.nlm.nih.gov/protein/ENN95893.1?report=genbank&amp;log$=prottop&amp;blast_rank=16&amp;RID=41BATMMA013","ENN95893.1")</f>
        <v>ENN95893.1</v>
      </c>
      <c r="G249" s="150"/>
    </row>
    <row r="250" spans="1:7" s="115" customFormat="1" ht="18" x14ac:dyDescent="0.25">
      <c r="A250" s="145" t="s">
        <v>173</v>
      </c>
      <c r="B250" s="146" t="s">
        <v>174</v>
      </c>
      <c r="C250" s="147">
        <v>1E-100</v>
      </c>
      <c r="D250" s="148">
        <v>44.24</v>
      </c>
      <c r="E250" s="148">
        <v>453</v>
      </c>
      <c r="F250" s="149" t="str">
        <f>HYPERLINK("https://www.ncbi.nlm.nih.gov/protein/MBE2900699.1?report=genbank&amp;log$=prottop&amp;blast_rank=145&amp;RID=41BATMMA013","MBE2900699.1")</f>
        <v>MBE2900699.1</v>
      </c>
      <c r="G250" s="150"/>
    </row>
    <row r="251" spans="1:7" s="115" customFormat="1" ht="18" x14ac:dyDescent="0.25">
      <c r="A251" s="145" t="s">
        <v>175</v>
      </c>
      <c r="B251" s="146" t="s">
        <v>176</v>
      </c>
      <c r="C251" s="147">
        <v>5.0000000000000001E-100</v>
      </c>
      <c r="D251" s="148">
        <v>40.32</v>
      </c>
      <c r="E251" s="148">
        <v>453</v>
      </c>
      <c r="F251" s="149" t="str">
        <f>HYPERLINK("https://www.ncbi.nlm.nih.gov/protein/ADL57959.1?report=genbank&amp;log$=prottop&amp;blast_rank=156&amp;RID=41BATMMA013","ADL57959.1")</f>
        <v>ADL57959.1</v>
      </c>
      <c r="G251" s="150"/>
    </row>
    <row r="252" spans="1:7" s="115" customFormat="1" ht="18" x14ac:dyDescent="0.25">
      <c r="A252" s="145" t="s">
        <v>177</v>
      </c>
      <c r="B252" s="146" t="s">
        <v>178</v>
      </c>
      <c r="C252" s="147">
        <v>3.0000000000000001E-127</v>
      </c>
      <c r="D252" s="148">
        <v>48.42</v>
      </c>
      <c r="E252" s="148">
        <v>454</v>
      </c>
      <c r="F252" s="149" t="str">
        <f>HYPERLINK("https://www.ncbi.nlm.nih.gov/protein/MCQ2356809.1?report=genbank&amp;log$=prottop&amp;blast_rank=43&amp;RID=41BATMMA013","MCQ2356809.1")</f>
        <v>MCQ2356809.1</v>
      </c>
      <c r="G252" s="150"/>
    </row>
    <row r="253" spans="1:7" s="115" customFormat="1" ht="18" x14ac:dyDescent="0.25">
      <c r="A253" s="145" t="s">
        <v>179</v>
      </c>
      <c r="B253" s="146" t="s">
        <v>180</v>
      </c>
      <c r="C253" s="147">
        <v>3.0000000000000001E-180</v>
      </c>
      <c r="D253" s="148">
        <v>55.27</v>
      </c>
      <c r="E253" s="148">
        <v>457</v>
      </c>
      <c r="F253" s="149" t="str">
        <f>HYPERLINK("https://www.ncbi.nlm.nih.gov/protein/RLI78884.1?report=genbank&amp;log$=prottop&amp;blast_rank=14&amp;RID=41BATMMA013","RLI78884.1")</f>
        <v>RLI78884.1</v>
      </c>
      <c r="G253" s="150"/>
    </row>
    <row r="254" spans="1:7" s="115" customFormat="1" ht="18" x14ac:dyDescent="0.25">
      <c r="A254" s="145" t="s">
        <v>165</v>
      </c>
      <c r="B254" s="146" t="s">
        <v>166</v>
      </c>
      <c r="C254" s="147">
        <v>2E-136</v>
      </c>
      <c r="D254" s="148">
        <v>46.42</v>
      </c>
      <c r="E254" s="148">
        <v>457</v>
      </c>
      <c r="F254" s="149" t="str">
        <f>HYPERLINK("https://www.ncbi.nlm.nih.gov/protein/MCS7121493.1?report=genbank&amp;log$=prottop&amp;blast_rank=41&amp;RID=41BATMMA013","MCS7121493.1")</f>
        <v>MCS7121493.1</v>
      </c>
      <c r="G254" s="150"/>
    </row>
    <row r="255" spans="1:7" s="115" customFormat="1" ht="18" x14ac:dyDescent="0.25">
      <c r="A255" s="145" t="s">
        <v>179</v>
      </c>
      <c r="B255" s="146" t="s">
        <v>180</v>
      </c>
      <c r="C255" s="147">
        <v>4E-107</v>
      </c>
      <c r="D255" s="148">
        <v>45.48</v>
      </c>
      <c r="E255" s="148">
        <v>457</v>
      </c>
      <c r="F255" s="149" t="str">
        <f>HYPERLINK("https://www.ncbi.nlm.nih.gov/protein/RLI78746.1?report=genbank&amp;log$=prottop&amp;blast_rank=97&amp;RID=41BATMMA013","RLI78746.1")</f>
        <v>RLI78746.1</v>
      </c>
      <c r="G255" s="150"/>
    </row>
    <row r="256" spans="1:7" s="115" customFormat="1" ht="18" x14ac:dyDescent="0.25">
      <c r="A256" s="145" t="s">
        <v>181</v>
      </c>
      <c r="B256" s="146" t="s">
        <v>182</v>
      </c>
      <c r="C256" s="148">
        <v>0</v>
      </c>
      <c r="D256" s="148">
        <v>59.4</v>
      </c>
      <c r="E256" s="148">
        <v>458</v>
      </c>
      <c r="F256" s="149" t="str">
        <f>HYPERLINK("https://www.ncbi.nlm.nih.gov/protein/HIP58459.1?report=genbank&amp;log$=prottop&amp;blast_rank=10&amp;RID=41BATMMA013","HIP58459.1")</f>
        <v>HIP58459.1</v>
      </c>
      <c r="G256" s="150"/>
    </row>
    <row r="257" spans="1:7" s="115" customFormat="1" ht="18" x14ac:dyDescent="0.25">
      <c r="A257" s="145" t="s">
        <v>183</v>
      </c>
      <c r="B257" s="146" t="s">
        <v>184</v>
      </c>
      <c r="C257" s="147">
        <v>1.0000000000000001E-110</v>
      </c>
      <c r="D257" s="148">
        <v>41.85</v>
      </c>
      <c r="E257" s="148">
        <v>458</v>
      </c>
      <c r="F257" s="149" t="str">
        <f>HYPERLINK("https://www.ncbi.nlm.nih.gov/protein/KXA90944.1?report=genbank&amp;log$=prottop&amp;blast_rank=68&amp;RID=41BATMMA013","KXA90944.1")</f>
        <v>KXA90944.1</v>
      </c>
      <c r="G257" s="150"/>
    </row>
    <row r="258" spans="1:7" s="115" customFormat="1" ht="18" x14ac:dyDescent="0.25">
      <c r="A258" s="145" t="s">
        <v>179</v>
      </c>
      <c r="B258" s="146" t="s">
        <v>180</v>
      </c>
      <c r="C258" s="147">
        <v>2E-176</v>
      </c>
      <c r="D258" s="148">
        <v>55.34</v>
      </c>
      <c r="E258" s="148">
        <v>459</v>
      </c>
      <c r="F258" s="149" t="str">
        <f>HYPERLINK("https://www.ncbi.nlm.nih.gov/protein/RLI74520.1?report=genbank&amp;log$=prottop&amp;blast_rank=15&amp;RID=41BATMMA013","RLI74520.1")</f>
        <v>RLI74520.1</v>
      </c>
      <c r="G258" s="150"/>
    </row>
    <row r="259" spans="1:7" s="115" customFormat="1" ht="18" x14ac:dyDescent="0.25">
      <c r="A259" s="145" t="s">
        <v>185</v>
      </c>
      <c r="B259" s="146" t="s">
        <v>186</v>
      </c>
      <c r="C259" s="147">
        <v>1.0000000000000001E-115</v>
      </c>
      <c r="D259" s="148">
        <v>47.03</v>
      </c>
      <c r="E259" s="148">
        <v>459</v>
      </c>
      <c r="F259" s="149" t="str">
        <f>HYPERLINK("https://www.ncbi.nlm.nih.gov/protein/RLG56985.1?report=genbank&amp;log$=prottop&amp;blast_rank=51&amp;RID=41BATMMA013","RLG56985.1")</f>
        <v>RLG56985.1</v>
      </c>
      <c r="G259" s="150"/>
    </row>
    <row r="260" spans="1:7" s="115" customFormat="1" ht="18" x14ac:dyDescent="0.25">
      <c r="A260" s="145" t="s">
        <v>187</v>
      </c>
      <c r="B260" s="146" t="s">
        <v>188</v>
      </c>
      <c r="C260" s="147">
        <v>5.9999999999999994E-107</v>
      </c>
      <c r="D260" s="148">
        <v>46.44</v>
      </c>
      <c r="E260" s="148">
        <v>459</v>
      </c>
      <c r="F260" s="149" t="str">
        <f>HYPERLINK("https://www.ncbi.nlm.nih.gov/protein/KXA97422.1?report=genbank&amp;log$=prottop&amp;blast_rank=98&amp;RID=41BATMMA013","KXA97422.1")</f>
        <v>KXA97422.1</v>
      </c>
      <c r="G260" s="150"/>
    </row>
    <row r="261" spans="1:7" s="115" customFormat="1" ht="18" x14ac:dyDescent="0.25">
      <c r="A261" s="145" t="s">
        <v>189</v>
      </c>
      <c r="B261" s="146" t="s">
        <v>188</v>
      </c>
      <c r="C261" s="147">
        <v>4E-109</v>
      </c>
      <c r="D261" s="148">
        <v>42.12</v>
      </c>
      <c r="E261" s="148">
        <v>461</v>
      </c>
      <c r="F261" s="149" t="str">
        <f>HYPERLINK("https://www.ncbi.nlm.nih.gov/protein/KXA98729.1?report=genbank&amp;log$=prottop&amp;blast_rank=78&amp;RID=41BATMMA013","KXA98729.1")</f>
        <v>KXA98729.1</v>
      </c>
      <c r="G261" s="150"/>
    </row>
    <row r="262" spans="1:7" s="115" customFormat="1" ht="18" x14ac:dyDescent="0.25">
      <c r="A262" s="145" t="s">
        <v>190</v>
      </c>
      <c r="B262" s="146" t="s">
        <v>191</v>
      </c>
      <c r="C262" s="147">
        <v>9E-102</v>
      </c>
      <c r="D262" s="148">
        <v>39.22</v>
      </c>
      <c r="E262" s="148">
        <v>461</v>
      </c>
      <c r="F262" s="149" t="str">
        <f>HYPERLINK("https://www.ncbi.nlm.nih.gov/protein/NLA32192.1?report=genbank&amp;log$=prottop&amp;blast_rank=138&amp;RID=41BATMMA013","NLA32192.1")</f>
        <v>NLA32192.1</v>
      </c>
      <c r="G262" s="150"/>
    </row>
    <row r="263" spans="1:7" s="115" customFormat="1" ht="18" x14ac:dyDescent="0.25">
      <c r="A263" s="145" t="s">
        <v>192</v>
      </c>
      <c r="B263" s="146" t="s">
        <v>193</v>
      </c>
      <c r="C263" s="147">
        <v>6.0000000000000003E-96</v>
      </c>
      <c r="D263" s="148">
        <v>40</v>
      </c>
      <c r="E263" s="148">
        <v>461</v>
      </c>
      <c r="F263" s="149" t="str">
        <f>HYPERLINK("https://www.ncbi.nlm.nih.gov/protein/OFV66858.1?report=genbank&amp;log$=prottop&amp;blast_rank=170&amp;RID=41BATMMA013","OFV66858.1")</f>
        <v>OFV66858.1</v>
      </c>
      <c r="G263" s="150"/>
    </row>
    <row r="264" spans="1:7" s="115" customFormat="1" ht="18" x14ac:dyDescent="0.25">
      <c r="A264" s="145" t="s">
        <v>194</v>
      </c>
      <c r="B264" s="146" t="s">
        <v>195</v>
      </c>
      <c r="C264" s="148">
        <v>0</v>
      </c>
      <c r="D264" s="148">
        <v>57.36</v>
      </c>
      <c r="E264" s="148">
        <v>462</v>
      </c>
      <c r="F264" s="149" t="str">
        <f>HYPERLINK("https://www.ncbi.nlm.nih.gov/protein/ADB58321.1?report=genbank&amp;log$=prottop&amp;blast_rank=13&amp;RID=41BATMMA013","ADB58321.1")</f>
        <v>ADB58321.1</v>
      </c>
      <c r="G264" s="150"/>
    </row>
    <row r="265" spans="1:7" s="115" customFormat="1" ht="18" x14ac:dyDescent="0.25">
      <c r="A265" s="145" t="s">
        <v>165</v>
      </c>
      <c r="B265" s="146" t="s">
        <v>166</v>
      </c>
      <c r="C265" s="147">
        <v>1.9999999999999999E-144</v>
      </c>
      <c r="D265" s="148">
        <v>54.42</v>
      </c>
      <c r="E265" s="148">
        <v>462</v>
      </c>
      <c r="F265" s="149" t="str">
        <f>HYPERLINK("https://www.ncbi.nlm.nih.gov/protein/MCS7119307.1?report=genbank&amp;log$=prottop&amp;blast_rank=29&amp;RID=41BATMMA013","MCS7119307.1")</f>
        <v>MCS7119307.1</v>
      </c>
      <c r="G265" s="150"/>
    </row>
    <row r="266" spans="1:7" s="115" customFormat="1" ht="18" x14ac:dyDescent="0.25">
      <c r="A266" s="145" t="s">
        <v>196</v>
      </c>
      <c r="B266" s="146" t="s">
        <v>197</v>
      </c>
      <c r="C266" s="147">
        <v>9.9999999999999995E-144</v>
      </c>
      <c r="D266" s="148">
        <v>53.88</v>
      </c>
      <c r="E266" s="148">
        <v>462</v>
      </c>
      <c r="F266" s="149" t="str">
        <f>HYPERLINK("https://www.ncbi.nlm.nih.gov/protein/TDA27072.1?report=genbank&amp;log$=prottop&amp;blast_rank=32&amp;RID=41BATMMA013","TDA27072.1")</f>
        <v>TDA27072.1</v>
      </c>
      <c r="G266" s="150"/>
    </row>
    <row r="267" spans="1:7" s="115" customFormat="1" ht="18" x14ac:dyDescent="0.25">
      <c r="A267" s="145" t="s">
        <v>179</v>
      </c>
      <c r="B267" s="146" t="s">
        <v>180</v>
      </c>
      <c r="C267" s="147">
        <v>4.0000000000000001E-100</v>
      </c>
      <c r="D267" s="148">
        <v>44.39</v>
      </c>
      <c r="E267" s="148">
        <v>462</v>
      </c>
      <c r="F267" s="149" t="str">
        <f>HYPERLINK("https://www.ncbi.nlm.nih.gov/protein/RLI72070.1?report=genbank&amp;log$=prottop&amp;blast_rank=155&amp;RID=41BATMMA013","RLI72070.1")</f>
        <v>RLI72070.1</v>
      </c>
      <c r="G267" s="150"/>
    </row>
    <row r="268" spans="1:7" s="115" customFormat="1" ht="18" x14ac:dyDescent="0.25">
      <c r="A268" s="145" t="s">
        <v>165</v>
      </c>
      <c r="B268" s="146" t="s">
        <v>166</v>
      </c>
      <c r="C268" s="147">
        <v>3E-148</v>
      </c>
      <c r="D268" s="148">
        <v>50.75</v>
      </c>
      <c r="E268" s="148">
        <v>463</v>
      </c>
      <c r="F268" s="149" t="str">
        <f>HYPERLINK("https://www.ncbi.nlm.nih.gov/protein/MCS7144920.1?report=genbank&amp;log$=prottop&amp;blast_rank=22&amp;RID=41BATMMA013","MCS7144920.1")</f>
        <v>MCS7144920.1</v>
      </c>
      <c r="G268" s="150"/>
    </row>
    <row r="269" spans="1:7" s="115" customFormat="1" ht="18" x14ac:dyDescent="0.25">
      <c r="A269" s="145" t="s">
        <v>196</v>
      </c>
      <c r="B269" s="146" t="s">
        <v>197</v>
      </c>
      <c r="C269" s="147">
        <v>3.9999999999999998E-143</v>
      </c>
      <c r="D269" s="148">
        <v>45.91</v>
      </c>
      <c r="E269" s="148">
        <v>463</v>
      </c>
      <c r="F269" s="149" t="str">
        <f>HYPERLINK("https://www.ncbi.nlm.nih.gov/protein/TDA25560.1?report=genbank&amp;log$=prottop&amp;blast_rank=35&amp;RID=41BATMMA013","TDA25560.1")</f>
        <v>TDA25560.1</v>
      </c>
      <c r="G269" s="150"/>
    </row>
    <row r="270" spans="1:7" s="115" customFormat="1" ht="18" x14ac:dyDescent="0.25">
      <c r="A270" s="145" t="s">
        <v>179</v>
      </c>
      <c r="B270" s="146" t="s">
        <v>180</v>
      </c>
      <c r="C270" s="147">
        <v>2.0000000000000001E-172</v>
      </c>
      <c r="D270" s="148">
        <v>52.36</v>
      </c>
      <c r="E270" s="148">
        <v>464</v>
      </c>
      <c r="F270" s="149" t="str">
        <f>HYPERLINK("https://www.ncbi.nlm.nih.gov/protein/RLI89909.1?report=genbank&amp;log$=prottop&amp;blast_rank=17&amp;RID=41BATMMA013","RLI89909.1")</f>
        <v>RLI89909.1</v>
      </c>
      <c r="G270" s="150"/>
    </row>
    <row r="271" spans="1:7" s="115" customFormat="1" ht="18" x14ac:dyDescent="0.25">
      <c r="A271" s="145" t="s">
        <v>165</v>
      </c>
      <c r="B271" s="146" t="s">
        <v>166</v>
      </c>
      <c r="C271" s="147">
        <v>2E-100</v>
      </c>
      <c r="D271" s="148">
        <v>44.33</v>
      </c>
      <c r="E271" s="148">
        <v>464</v>
      </c>
      <c r="F271" s="149" t="str">
        <f>HYPERLINK("https://www.ncbi.nlm.nih.gov/protein/MCD6493238.1?report=genbank&amp;log$=prottop&amp;blast_rank=151&amp;RID=41BATMMA013","MCD6493238.1")</f>
        <v>MCD6493238.1</v>
      </c>
      <c r="G271" s="150"/>
    </row>
    <row r="272" spans="1:7" s="115" customFormat="1" ht="18" x14ac:dyDescent="0.25">
      <c r="A272" s="145" t="s">
        <v>198</v>
      </c>
      <c r="B272" s="146" t="s">
        <v>199</v>
      </c>
      <c r="C272" s="147">
        <v>2.0000000000000001E-89</v>
      </c>
      <c r="D272" s="148">
        <v>42.15</v>
      </c>
      <c r="E272" s="148">
        <v>464</v>
      </c>
      <c r="F272" s="149" t="str">
        <f>HYPERLINK("https://www.ncbi.nlm.nih.gov/protein/AGK60686.1?report=genbank&amp;log$=prottop&amp;blast_rank=176&amp;RID=41BATMMA013","AGK60686.1")</f>
        <v>AGK60686.1</v>
      </c>
      <c r="G272" s="150"/>
    </row>
    <row r="273" spans="1:7" s="115" customFormat="1" ht="18" x14ac:dyDescent="0.25">
      <c r="A273" s="145" t="s">
        <v>200</v>
      </c>
      <c r="B273" s="146" t="s">
        <v>201</v>
      </c>
      <c r="C273" s="147">
        <v>3.0000000000000001E-62</v>
      </c>
      <c r="D273" s="148">
        <v>34.9</v>
      </c>
      <c r="E273" s="148">
        <v>464</v>
      </c>
      <c r="F273" s="149" t="str">
        <f>HYPERLINK("https://www.ncbi.nlm.nih.gov/protein/KUO41643.1?report=genbank&amp;log$=prottop&amp;blast_rank=246&amp;RID=41BATMMA013","KUO41643.1")</f>
        <v>KUO41643.1</v>
      </c>
      <c r="G273" s="150"/>
    </row>
    <row r="274" spans="1:7" s="115" customFormat="1" ht="18" x14ac:dyDescent="0.25">
      <c r="A274" s="145" t="s">
        <v>202</v>
      </c>
      <c r="B274" s="146" t="s">
        <v>203</v>
      </c>
      <c r="C274" s="148">
        <v>0</v>
      </c>
      <c r="D274" s="148">
        <v>100</v>
      </c>
      <c r="E274" s="148">
        <v>466</v>
      </c>
      <c r="F274" s="149" t="str">
        <f>HYPERLINK("https://www.ncbi.nlm.nih.gov/protein/AEH06837.1?report=genbank&amp;log$=prottop&amp;blast_rank=1&amp;RID=41BATMMA013","AEH06837.1")</f>
        <v>AEH06837.1</v>
      </c>
      <c r="G274" s="150"/>
    </row>
    <row r="275" spans="1:7" s="115" customFormat="1" ht="18" x14ac:dyDescent="0.25">
      <c r="A275" s="145" t="s">
        <v>204</v>
      </c>
      <c r="B275" s="146" t="s">
        <v>205</v>
      </c>
      <c r="C275" s="148">
        <v>0</v>
      </c>
      <c r="D275" s="148">
        <v>83.23</v>
      </c>
      <c r="E275" s="148">
        <v>466</v>
      </c>
      <c r="F275" s="149" t="str">
        <f>HYPERLINK("https://www.ncbi.nlm.nih.gov/protein/ACV25164.1?report=genbank&amp;log$=prottop&amp;blast_rank=2&amp;RID=41BATMMA013","ACV25164.1")</f>
        <v>ACV25164.1</v>
      </c>
      <c r="G275" s="150"/>
    </row>
    <row r="276" spans="1:7" s="115" customFormat="1" ht="18" x14ac:dyDescent="0.25">
      <c r="A276" s="145" t="s">
        <v>206</v>
      </c>
      <c r="B276" s="146" t="s">
        <v>207</v>
      </c>
      <c r="C276" s="148">
        <v>0</v>
      </c>
      <c r="D276" s="148">
        <v>79.78</v>
      </c>
      <c r="E276" s="148">
        <v>466</v>
      </c>
      <c r="F276" s="149" t="str">
        <f>HYPERLINK("https://www.ncbi.nlm.nih.gov/protein/CAB3287597.1?report=genbank&amp;log$=prottop&amp;blast_rank=8&amp;RID=41BATMMA013","CAB3287597.1")</f>
        <v>CAB3287597.1</v>
      </c>
      <c r="G276" s="150"/>
    </row>
    <row r="277" spans="1:7" s="115" customFormat="1" ht="18" x14ac:dyDescent="0.25">
      <c r="A277" s="145" t="s">
        <v>208</v>
      </c>
      <c r="B277" s="146" t="s">
        <v>209</v>
      </c>
      <c r="C277" s="147">
        <v>2.0000000000000001E-146</v>
      </c>
      <c r="D277" s="148">
        <v>49.15</v>
      </c>
      <c r="E277" s="148">
        <v>466</v>
      </c>
      <c r="F277" s="149" t="str">
        <f>HYPERLINK("https://www.ncbi.nlm.nih.gov/protein/OYT33597.1?report=genbank&amp;log$=prottop&amp;blast_rank=25&amp;RID=41BATMMA013","OYT33597.1")</f>
        <v>OYT33597.1</v>
      </c>
      <c r="G277" s="150"/>
    </row>
    <row r="278" spans="1:7" s="115" customFormat="1" ht="18" x14ac:dyDescent="0.25">
      <c r="A278" s="145" t="s">
        <v>210</v>
      </c>
      <c r="B278" s="146" t="s">
        <v>211</v>
      </c>
      <c r="C278" s="148">
        <v>0</v>
      </c>
      <c r="D278" s="148">
        <v>82.8</v>
      </c>
      <c r="E278" s="148">
        <v>467</v>
      </c>
      <c r="F278" s="149" t="str">
        <f>HYPERLINK("https://www.ncbi.nlm.nih.gov/protein/ADC70223.1?report=genbank&amp;log$=prottop&amp;blast_rank=3&amp;RID=41BATMMA013","ADC70223.1")</f>
        <v>ADC70223.1</v>
      </c>
      <c r="G278" s="150"/>
    </row>
    <row r="279" spans="1:7" s="115" customFormat="1" ht="18" x14ac:dyDescent="0.25">
      <c r="A279" s="145" t="s">
        <v>212</v>
      </c>
      <c r="B279" s="146" t="s">
        <v>166</v>
      </c>
      <c r="C279" s="147">
        <v>1.0000000000000001E-101</v>
      </c>
      <c r="D279" s="148">
        <v>42.18</v>
      </c>
      <c r="E279" s="148">
        <v>467</v>
      </c>
      <c r="F279" s="149" t="str">
        <f>HYPERLINK("https://www.ncbi.nlm.nih.gov/protein/HID42309.1?report=genbank&amp;log$=prottop&amp;blast_rank=139&amp;RID=41BATMMA013","HID42309.1")</f>
        <v>HID42309.1</v>
      </c>
      <c r="G279" s="150"/>
    </row>
    <row r="280" spans="1:7" s="115" customFormat="1" ht="18" x14ac:dyDescent="0.25">
      <c r="A280" s="145" t="s">
        <v>213</v>
      </c>
      <c r="B280" s="146" t="s">
        <v>214</v>
      </c>
      <c r="C280" s="147">
        <v>9.9999999999999997E-148</v>
      </c>
      <c r="D280" s="148">
        <v>50.43</v>
      </c>
      <c r="E280" s="148">
        <v>468</v>
      </c>
      <c r="F280" s="149" t="str">
        <f>HYPERLINK("https://www.ncbi.nlm.nih.gov/protein/AAB89245.1?report=genbank&amp;log$=prottop&amp;blast_rank=23&amp;RID=41BATMMA013","AAB89245.1")</f>
        <v>AAB89245.1</v>
      </c>
      <c r="G280" s="150"/>
    </row>
    <row r="281" spans="1:7" s="115" customFormat="1" ht="18" x14ac:dyDescent="0.25">
      <c r="A281" s="145" t="s">
        <v>215</v>
      </c>
      <c r="B281" s="146" t="s">
        <v>216</v>
      </c>
      <c r="C281" s="147">
        <v>4.9999999999999997E-103</v>
      </c>
      <c r="D281" s="148">
        <v>42.41</v>
      </c>
      <c r="E281" s="148">
        <v>468</v>
      </c>
      <c r="F281" s="149" t="str">
        <f>HYPERLINK("https://www.ncbi.nlm.nih.gov/protein/AAM02109.1?report=genbank&amp;log$=prottop&amp;blast_rank=127&amp;RID=41BATMMA013","AAM02109.1")</f>
        <v>AAM02109.1</v>
      </c>
      <c r="G281" s="150"/>
    </row>
    <row r="282" spans="1:7" s="115" customFormat="1" ht="18" x14ac:dyDescent="0.25">
      <c r="A282" s="145" t="s">
        <v>165</v>
      </c>
      <c r="B282" s="146" t="s">
        <v>166</v>
      </c>
      <c r="C282" s="147">
        <v>3.0000000000000002E-147</v>
      </c>
      <c r="D282" s="148">
        <v>49.79</v>
      </c>
      <c r="E282" s="148">
        <v>469</v>
      </c>
      <c r="F282" s="149" t="str">
        <f>HYPERLINK("https://www.ncbi.nlm.nih.gov/protein/MCS7129836.1?report=genbank&amp;log$=prottop&amp;blast_rank=24&amp;RID=41BATMMA013","MCS7129836.1")</f>
        <v>MCS7129836.1</v>
      </c>
      <c r="G282" s="150"/>
    </row>
    <row r="283" spans="1:7" s="115" customFormat="1" ht="18" x14ac:dyDescent="0.25">
      <c r="A283" s="145" t="s">
        <v>217</v>
      </c>
      <c r="B283" s="146" t="s">
        <v>218</v>
      </c>
      <c r="C283" s="147">
        <v>4.0000000000000002E-110</v>
      </c>
      <c r="D283" s="148">
        <v>42.03</v>
      </c>
      <c r="E283" s="148">
        <v>469</v>
      </c>
      <c r="F283" s="149" t="str">
        <f>HYPERLINK("https://www.ncbi.nlm.nih.gov/protein/RZN40384.1?report=genbank&amp;log$=prottop&amp;blast_rank=69&amp;RID=41BATMMA013","RZN40384.1")</f>
        <v>RZN40384.1</v>
      </c>
      <c r="G283" s="150"/>
    </row>
    <row r="284" spans="1:7" s="115" customFormat="1" ht="18" x14ac:dyDescent="0.25">
      <c r="A284" s="145" t="s">
        <v>219</v>
      </c>
      <c r="B284" s="146" t="s">
        <v>220</v>
      </c>
      <c r="C284" s="147">
        <v>2.0000000000000001E-133</v>
      </c>
      <c r="D284" s="148">
        <v>52.31</v>
      </c>
      <c r="E284" s="148">
        <v>470</v>
      </c>
      <c r="F284" s="149" t="str">
        <f>HYPERLINK("https://www.ncbi.nlm.nih.gov/protein/MCD6127802.1?report=genbank&amp;log$=prottop&amp;blast_rank=42&amp;RID=41BATMMA013","MCD6127802.1")</f>
        <v>MCD6127802.1</v>
      </c>
      <c r="G284" s="150"/>
    </row>
    <row r="285" spans="1:7" s="115" customFormat="1" ht="18" x14ac:dyDescent="0.25">
      <c r="A285" s="145" t="s">
        <v>221</v>
      </c>
      <c r="B285" s="146" t="s">
        <v>222</v>
      </c>
      <c r="C285" s="148">
        <v>0</v>
      </c>
      <c r="D285" s="148">
        <v>81.290000000000006</v>
      </c>
      <c r="E285" s="148">
        <v>471</v>
      </c>
      <c r="F285" s="149" t="str">
        <f>HYPERLINK("https://www.ncbi.nlm.nih.gov/protein/ACX73500.1?report=genbank&amp;log$=prottop&amp;blast_rank=4&amp;RID=41BATMMA013","ACX73500.1")</f>
        <v>ACX73500.1</v>
      </c>
      <c r="G285" s="150"/>
    </row>
    <row r="286" spans="1:7" s="115" customFormat="1" ht="18" x14ac:dyDescent="0.25">
      <c r="A286" s="145" t="s">
        <v>165</v>
      </c>
      <c r="B286" s="146" t="s">
        <v>166</v>
      </c>
      <c r="C286" s="147">
        <v>3E-152</v>
      </c>
      <c r="D286" s="148">
        <v>50.86</v>
      </c>
      <c r="E286" s="148">
        <v>471</v>
      </c>
      <c r="F286" s="149" t="str">
        <f>HYPERLINK("https://www.ncbi.nlm.nih.gov/protein/MCD6492804.1?report=genbank&amp;log$=prottop&amp;blast_rank=20&amp;RID=41BATMMA013","MCD6492804.1")</f>
        <v>MCD6492804.1</v>
      </c>
      <c r="G286" s="150"/>
    </row>
    <row r="287" spans="1:7" s="115" customFormat="1" ht="18" x14ac:dyDescent="0.25">
      <c r="A287" s="145" t="s">
        <v>223</v>
      </c>
      <c r="B287" s="146" t="s">
        <v>224</v>
      </c>
      <c r="C287" s="147">
        <v>6.9999999999999999E-112</v>
      </c>
      <c r="D287" s="148">
        <v>42.98</v>
      </c>
      <c r="E287" s="148">
        <v>471</v>
      </c>
      <c r="F287" s="149" t="str">
        <f>HYPERLINK("https://www.ncbi.nlm.nih.gov/protein/RZN67014.1?report=genbank&amp;log$=prottop&amp;blast_rank=61&amp;RID=41BATMMA013","RZN67014.1")</f>
        <v>RZN67014.1</v>
      </c>
      <c r="G287" s="150"/>
    </row>
    <row r="288" spans="1:7" s="115" customFormat="1" ht="18" x14ac:dyDescent="0.25">
      <c r="A288" s="145" t="s">
        <v>225</v>
      </c>
      <c r="B288" s="146" t="s">
        <v>226</v>
      </c>
      <c r="C288" s="147">
        <v>4E-109</v>
      </c>
      <c r="D288" s="148">
        <v>42.16</v>
      </c>
      <c r="E288" s="148">
        <v>471</v>
      </c>
      <c r="F288" s="149" t="str">
        <f>HYPERLINK("https://www.ncbi.nlm.nih.gov/protein/PWB86080.1?report=genbank&amp;log$=prottop&amp;blast_rank=77&amp;RID=41BATMMA013","PWB86080.1")</f>
        <v>PWB86080.1</v>
      </c>
      <c r="G288" s="150"/>
    </row>
    <row r="289" spans="1:7" s="115" customFormat="1" ht="18" x14ac:dyDescent="0.25">
      <c r="A289" s="145" t="s">
        <v>179</v>
      </c>
      <c r="B289" s="146" t="s">
        <v>180</v>
      </c>
      <c r="C289" s="147">
        <v>1.9999999999999999E-144</v>
      </c>
      <c r="D289" s="148">
        <v>48.28</v>
      </c>
      <c r="E289" s="148">
        <v>472</v>
      </c>
      <c r="F289" s="149" t="str">
        <f>HYPERLINK("https://www.ncbi.nlm.nih.gov/protein/RLI82685.1?report=genbank&amp;log$=prottop&amp;blast_rank=28&amp;RID=41BATMMA013","RLI82685.1")</f>
        <v>RLI82685.1</v>
      </c>
      <c r="G289" s="150"/>
    </row>
    <row r="290" spans="1:7" s="115" customFormat="1" ht="18" x14ac:dyDescent="0.25">
      <c r="A290" s="145" t="s">
        <v>227</v>
      </c>
      <c r="B290" s="146" t="s">
        <v>228</v>
      </c>
      <c r="C290" s="147">
        <v>1.9999999999999999E-112</v>
      </c>
      <c r="D290" s="148">
        <v>42.58</v>
      </c>
      <c r="E290" s="148">
        <v>472</v>
      </c>
      <c r="F290" s="149" t="str">
        <f>HYPERLINK("https://www.ncbi.nlm.nih.gov/protein/KXA99665.1?report=genbank&amp;log$=prottop&amp;blast_rank=57&amp;RID=41BATMMA013","KXA99665.1")</f>
        <v>KXA99665.1</v>
      </c>
      <c r="G290" s="150"/>
    </row>
    <row r="291" spans="1:7" s="115" customFormat="1" ht="18" x14ac:dyDescent="0.25">
      <c r="A291" s="145" t="s">
        <v>229</v>
      </c>
      <c r="B291" s="146" t="s">
        <v>220</v>
      </c>
      <c r="C291" s="147">
        <v>2E-95</v>
      </c>
      <c r="D291" s="148">
        <v>38.58</v>
      </c>
      <c r="E291" s="148">
        <v>472</v>
      </c>
      <c r="F291" s="149" t="str">
        <f>HYPERLINK("https://www.ncbi.nlm.nih.gov/protein/HHN81476.1?report=genbank&amp;log$=prottop&amp;blast_rank=173&amp;RID=41BATMMA013","HHN81476.1")</f>
        <v>HHN81476.1</v>
      </c>
      <c r="G291" s="150"/>
    </row>
    <row r="292" spans="1:7" s="115" customFormat="1" ht="18" x14ac:dyDescent="0.25">
      <c r="A292" s="145" t="s">
        <v>219</v>
      </c>
      <c r="B292" s="146" t="s">
        <v>220</v>
      </c>
      <c r="C292" s="147">
        <v>4.9999999999999998E-73</v>
      </c>
      <c r="D292" s="148">
        <v>37.630000000000003</v>
      </c>
      <c r="E292" s="148">
        <v>472</v>
      </c>
      <c r="F292" s="149" t="str">
        <f>HYPERLINK("https://www.ncbi.nlm.nih.gov/protein/MCK4310004.1?report=genbank&amp;log$=prottop&amp;blast_rank=211&amp;RID=41BATMMA013","MCK4310004.1")</f>
        <v>MCK4310004.1</v>
      </c>
      <c r="G292" s="150"/>
    </row>
    <row r="293" spans="1:7" s="115" customFormat="1" ht="18" x14ac:dyDescent="0.25">
      <c r="A293" s="145" t="s">
        <v>179</v>
      </c>
      <c r="B293" s="146" t="s">
        <v>180</v>
      </c>
      <c r="C293" s="147">
        <v>7.9999999999999998E-149</v>
      </c>
      <c r="D293" s="148">
        <v>50.86</v>
      </c>
      <c r="E293" s="148">
        <v>473</v>
      </c>
      <c r="F293" s="149" t="str">
        <f>HYPERLINK("https://www.ncbi.nlm.nih.gov/protein/RLI78255.1?report=genbank&amp;log$=prottop&amp;blast_rank=21&amp;RID=41BATMMA013","RLI78255.1")</f>
        <v>RLI78255.1</v>
      </c>
      <c r="G293" s="150"/>
    </row>
    <row r="294" spans="1:7" s="115" customFormat="1" ht="18" x14ac:dyDescent="0.25">
      <c r="A294" s="145" t="s">
        <v>212</v>
      </c>
      <c r="B294" s="146" t="s">
        <v>166</v>
      </c>
      <c r="C294" s="147">
        <v>5.9999999999999996E-137</v>
      </c>
      <c r="D294" s="148">
        <v>46.42</v>
      </c>
      <c r="E294" s="148">
        <v>474</v>
      </c>
      <c r="F294" s="149" t="str">
        <f>HYPERLINK("https://www.ncbi.nlm.nih.gov/protein/HID43622.1?report=genbank&amp;log$=prottop&amp;blast_rank=40&amp;RID=41BATMMA013","HID43622.1")</f>
        <v>HID43622.1</v>
      </c>
      <c r="G294" s="150"/>
    </row>
    <row r="295" spans="1:7" s="115" customFormat="1" ht="18" x14ac:dyDescent="0.25">
      <c r="A295" s="145" t="s">
        <v>230</v>
      </c>
      <c r="B295" s="146" t="s">
        <v>231</v>
      </c>
      <c r="C295" s="147">
        <v>9.9999999999999994E-107</v>
      </c>
      <c r="D295" s="148">
        <v>46.67</v>
      </c>
      <c r="E295" s="148">
        <v>474</v>
      </c>
      <c r="F295" s="149" t="str">
        <f>HYPERLINK("https://www.ncbi.nlm.nih.gov/protein/RLF89341.1?report=genbank&amp;log$=prottop&amp;blast_rank=102&amp;RID=41BATMMA013","RLF89341.1")</f>
        <v>RLF89341.1</v>
      </c>
      <c r="G295" s="150"/>
    </row>
    <row r="296" spans="1:7" s="115" customFormat="1" ht="18" x14ac:dyDescent="0.25">
      <c r="A296" s="145" t="s">
        <v>232</v>
      </c>
      <c r="B296" s="146" t="s">
        <v>233</v>
      </c>
      <c r="C296" s="147">
        <v>2.0000000000000001E-142</v>
      </c>
      <c r="D296" s="148">
        <v>55.82</v>
      </c>
      <c r="E296" s="148">
        <v>475</v>
      </c>
      <c r="F296" s="149" t="str">
        <f>HYPERLINK("https://www.ncbi.nlm.nih.gov/protein/OYT57154.1?report=genbank&amp;log$=prottop&amp;blast_rank=37&amp;RID=41BATMMA013","OYT57154.1")</f>
        <v>OYT57154.1</v>
      </c>
      <c r="G296" s="150"/>
    </row>
    <row r="297" spans="1:7" s="115" customFormat="1" ht="18" x14ac:dyDescent="0.25">
      <c r="A297" s="145" t="s">
        <v>167</v>
      </c>
      <c r="B297" s="146" t="s">
        <v>168</v>
      </c>
      <c r="C297" s="147">
        <v>1.9999999999999998E-145</v>
      </c>
      <c r="D297" s="148">
        <v>54.28</v>
      </c>
      <c r="E297" s="148">
        <v>476</v>
      </c>
      <c r="F297" s="149" t="str">
        <f>HYPERLINK("https://www.ncbi.nlm.nih.gov/protein/MBO8180320.1?report=genbank&amp;log$=prottop&amp;blast_rank=26&amp;RID=41BATMMA013","MBO8180320.1")</f>
        <v>MBO8180320.1</v>
      </c>
      <c r="G297" s="150"/>
    </row>
    <row r="298" spans="1:7" s="115" customFormat="1" ht="18" x14ac:dyDescent="0.25">
      <c r="A298" s="145" t="s">
        <v>234</v>
      </c>
      <c r="B298" s="146" t="s">
        <v>235</v>
      </c>
      <c r="C298" s="147">
        <v>1.9999999999999999E-105</v>
      </c>
      <c r="D298" s="148">
        <v>42.04</v>
      </c>
      <c r="E298" s="148">
        <v>476</v>
      </c>
      <c r="F298" s="149" t="str">
        <f>HYPERLINK("https://www.ncbi.nlm.nih.gov/protein/CAD7767825.1?report=genbank&amp;log$=prottop&amp;blast_rank=111&amp;RID=41BATMMA013","CAD7767825.1")</f>
        <v>CAD7767825.1</v>
      </c>
      <c r="G298" s="150"/>
    </row>
    <row r="299" spans="1:7" s="115" customFormat="1" ht="18" x14ac:dyDescent="0.25">
      <c r="A299" s="145" t="s">
        <v>167</v>
      </c>
      <c r="B299" s="146" t="s">
        <v>168</v>
      </c>
      <c r="C299" s="147">
        <v>1E-99</v>
      </c>
      <c r="D299" s="148">
        <v>43.54</v>
      </c>
      <c r="E299" s="148">
        <v>476</v>
      </c>
      <c r="F299" s="149" t="str">
        <f>HYPERLINK("https://www.ncbi.nlm.nih.gov/protein/MBO8182257.1?report=genbank&amp;log$=prottop&amp;blast_rank=162&amp;RID=41BATMMA013","MBO8182257.1")</f>
        <v>MBO8182257.1</v>
      </c>
      <c r="G299" s="150"/>
    </row>
    <row r="300" spans="1:7" s="115" customFormat="1" ht="18" x14ac:dyDescent="0.25">
      <c r="A300" s="145" t="s">
        <v>236</v>
      </c>
      <c r="B300" s="146" t="s">
        <v>186</v>
      </c>
      <c r="C300" s="147">
        <v>9.0000000000000002E-116</v>
      </c>
      <c r="D300" s="148">
        <v>49.08</v>
      </c>
      <c r="E300" s="148">
        <v>477</v>
      </c>
      <c r="F300" s="149" t="str">
        <f>HYPERLINK("https://www.ncbi.nlm.nih.gov/protein/MQY68523.1?report=genbank&amp;log$=prottop&amp;blast_rank=49&amp;RID=41BATMMA013","MQY68523.1")</f>
        <v>MQY68523.1</v>
      </c>
      <c r="G300" s="150"/>
    </row>
    <row r="301" spans="1:7" s="115" customFormat="1" ht="18" x14ac:dyDescent="0.25">
      <c r="A301" s="145" t="s">
        <v>237</v>
      </c>
      <c r="B301" s="146" t="s">
        <v>238</v>
      </c>
      <c r="C301" s="147">
        <v>9.9999999999999994E-107</v>
      </c>
      <c r="D301" s="148">
        <v>40</v>
      </c>
      <c r="E301" s="148">
        <v>477</v>
      </c>
      <c r="F301" s="149" t="str">
        <f>HYPERLINK("https://www.ncbi.nlm.nih.gov/protein/NPB02367.1?report=genbank&amp;log$=prottop&amp;blast_rank=100&amp;RID=41BATMMA013","NPB02367.1")</f>
        <v>NPB02367.1</v>
      </c>
      <c r="G301" s="150"/>
    </row>
    <row r="302" spans="1:7" s="115" customFormat="1" ht="18" x14ac:dyDescent="0.25">
      <c r="A302" s="145" t="s">
        <v>239</v>
      </c>
      <c r="B302" s="146" t="s">
        <v>240</v>
      </c>
      <c r="C302" s="147">
        <v>2.0000000000000001E-97</v>
      </c>
      <c r="D302" s="148">
        <v>39.729999999999997</v>
      </c>
      <c r="E302" s="148">
        <v>477</v>
      </c>
      <c r="F302" s="149" t="str">
        <f>HYPERLINK("https://www.ncbi.nlm.nih.gov/protein/KUK05191.1?report=genbank&amp;log$=prottop&amp;blast_rank=169&amp;RID=41BATMMA013","KUK05191.1")</f>
        <v>KUK05191.1</v>
      </c>
      <c r="G302" s="150"/>
    </row>
    <row r="303" spans="1:7" s="115" customFormat="1" ht="18" x14ac:dyDescent="0.25">
      <c r="A303" s="145" t="s">
        <v>241</v>
      </c>
      <c r="B303" s="146" t="s">
        <v>242</v>
      </c>
      <c r="C303" s="147">
        <v>2.9999999999999999E-75</v>
      </c>
      <c r="D303" s="148">
        <v>36.99</v>
      </c>
      <c r="E303" s="148">
        <v>477</v>
      </c>
      <c r="F303" s="149" t="str">
        <f>HYPERLINK("https://www.ncbi.nlm.nih.gov/protein/MBU7017335.1?report=genbank&amp;log$=prottop&amp;blast_rank=209&amp;RID=41BATMMA013","MBU7017335.1")</f>
        <v>MBU7017335.1</v>
      </c>
      <c r="G303" s="150"/>
    </row>
    <row r="304" spans="1:7" s="115" customFormat="1" ht="18" x14ac:dyDescent="0.25">
      <c r="A304" s="145" t="s">
        <v>243</v>
      </c>
      <c r="B304" s="146" t="s">
        <v>170</v>
      </c>
      <c r="C304" s="147">
        <v>3.9999999999999997E-71</v>
      </c>
      <c r="D304" s="148">
        <v>35.89</v>
      </c>
      <c r="E304" s="148">
        <v>477</v>
      </c>
      <c r="F304" s="149" t="str">
        <f>HYPERLINK("https://www.ncbi.nlm.nih.gov/protein/KYK33943.1?report=genbank&amp;log$=prottop&amp;blast_rank=215&amp;RID=41BATMMA013","KYK33943.1")</f>
        <v>KYK33943.1</v>
      </c>
      <c r="G304" s="150"/>
    </row>
    <row r="305" spans="1:7" s="115" customFormat="1" ht="18" x14ac:dyDescent="0.25">
      <c r="A305" s="145" t="s">
        <v>244</v>
      </c>
      <c r="B305" s="146" t="s">
        <v>245</v>
      </c>
      <c r="C305" s="147">
        <v>6.0000000000000003E-70</v>
      </c>
      <c r="D305" s="148">
        <v>35.92</v>
      </c>
      <c r="E305" s="148">
        <v>477</v>
      </c>
      <c r="F305" s="149" t="str">
        <f>HYPERLINK("https://www.ncbi.nlm.nih.gov/protein/KYK38667.1?report=genbank&amp;log$=prottop&amp;blast_rank=218&amp;RID=41BATMMA013","KYK38667.1")</f>
        <v>KYK38667.1</v>
      </c>
      <c r="G305" s="150"/>
    </row>
    <row r="306" spans="1:7" s="115" customFormat="1" ht="18" x14ac:dyDescent="0.25">
      <c r="A306" s="145" t="s">
        <v>246</v>
      </c>
      <c r="B306" s="146" t="s">
        <v>247</v>
      </c>
      <c r="C306" s="147">
        <v>9.0000000000000006E-58</v>
      </c>
      <c r="D306" s="148">
        <v>33.42</v>
      </c>
      <c r="E306" s="148">
        <v>477</v>
      </c>
      <c r="F306" s="149" t="str">
        <f>HYPERLINK("https://www.ncbi.nlm.nih.gov/protein/NYT04340.1?report=genbank&amp;log$=prottop&amp;blast_rank=385&amp;RID=41BATMMA013","NYT04340.1")</f>
        <v>NYT04340.1</v>
      </c>
      <c r="G306" s="150"/>
    </row>
    <row r="307" spans="1:7" s="115" customFormat="1" ht="18" x14ac:dyDescent="0.25">
      <c r="A307" s="145" t="s">
        <v>248</v>
      </c>
      <c r="B307" s="146" t="s">
        <v>249</v>
      </c>
      <c r="C307" s="147">
        <v>9.9999999999999995E-58</v>
      </c>
      <c r="D307" s="148">
        <v>32.11</v>
      </c>
      <c r="E307" s="148">
        <v>477</v>
      </c>
      <c r="F307" s="149" t="str">
        <f>HYPERLINK("https://www.ncbi.nlm.nih.gov/protein/KYC46914.1?report=genbank&amp;log$=prottop&amp;blast_rank=388&amp;RID=41BATMMA013","KYC46914.1")</f>
        <v>KYC46914.1</v>
      </c>
      <c r="G307" s="150"/>
    </row>
    <row r="308" spans="1:7" s="115" customFormat="1" ht="18" x14ac:dyDescent="0.25">
      <c r="A308" s="145" t="s">
        <v>250</v>
      </c>
      <c r="B308" s="146" t="s">
        <v>251</v>
      </c>
      <c r="C308" s="147">
        <v>3.9999999999999998E-57</v>
      </c>
      <c r="D308" s="148">
        <v>31.33</v>
      </c>
      <c r="E308" s="148">
        <v>477</v>
      </c>
      <c r="F308" s="149" t="str">
        <f>HYPERLINK("https://www.ncbi.nlm.nih.gov/protein/MCC7572302.1?report=genbank&amp;log$=prottop&amp;blast_rank=416&amp;RID=41BATMMA013","MCC7572302.1")</f>
        <v>MCC7572302.1</v>
      </c>
      <c r="G308" s="150"/>
    </row>
    <row r="309" spans="1:7" s="115" customFormat="1" ht="18" x14ac:dyDescent="0.25">
      <c r="A309" s="145" t="s">
        <v>185</v>
      </c>
      <c r="B309" s="146" t="s">
        <v>186</v>
      </c>
      <c r="C309" s="147">
        <v>8.9999999999999994E-114</v>
      </c>
      <c r="D309" s="148">
        <v>43.35</v>
      </c>
      <c r="E309" s="148">
        <v>478</v>
      </c>
      <c r="F309" s="149" t="str">
        <f>HYPERLINK("https://www.ncbi.nlm.nih.gov/protein/TDA34892.1?report=genbank&amp;log$=prottop&amp;blast_rank=53&amp;RID=41BATMMA013","TDA34892.1")</f>
        <v>TDA34892.1</v>
      </c>
      <c r="G309" s="150"/>
    </row>
    <row r="310" spans="1:7" s="115" customFormat="1" ht="18" x14ac:dyDescent="0.25">
      <c r="A310" s="145" t="s">
        <v>252</v>
      </c>
      <c r="B310" s="146" t="s">
        <v>253</v>
      </c>
      <c r="C310" s="147">
        <v>3.9999999999999998E-106</v>
      </c>
      <c r="D310" s="148">
        <v>39.159999999999997</v>
      </c>
      <c r="E310" s="148">
        <v>478</v>
      </c>
      <c r="F310" s="149" t="str">
        <f>HYPERLINK("https://www.ncbi.nlm.nih.gov/protein/MBE6493972.1?report=genbank&amp;log$=prottop&amp;blast_rank=107&amp;RID=41BATMMA013","MBE6493972.1")</f>
        <v>MBE6493972.1</v>
      </c>
      <c r="G310" s="150"/>
    </row>
    <row r="311" spans="1:7" s="115" customFormat="1" ht="18" x14ac:dyDescent="0.25">
      <c r="A311" s="145" t="s">
        <v>254</v>
      </c>
      <c r="B311" s="146" t="s">
        <v>255</v>
      </c>
      <c r="C311" s="147">
        <v>7.0000000000000006E-104</v>
      </c>
      <c r="D311" s="148">
        <v>41.08</v>
      </c>
      <c r="E311" s="148">
        <v>478</v>
      </c>
      <c r="F311" s="149" t="str">
        <f>HYPERLINK("https://www.ncbi.nlm.nih.gov/protein/URN49501.1?report=genbank&amp;log$=prottop&amp;blast_rank=123&amp;RID=41BATMMA013","URN49501.1")</f>
        <v>URN49501.1</v>
      </c>
      <c r="G311" s="150"/>
    </row>
    <row r="312" spans="1:7" s="115" customFormat="1" ht="18" x14ac:dyDescent="0.25">
      <c r="A312" s="145" t="s">
        <v>256</v>
      </c>
      <c r="B312" s="146" t="s">
        <v>257</v>
      </c>
      <c r="C312" s="147">
        <v>2.0000000000000001E-101</v>
      </c>
      <c r="D312" s="148">
        <v>43.08</v>
      </c>
      <c r="E312" s="148">
        <v>478</v>
      </c>
      <c r="F312" s="149" t="str">
        <f>HYPERLINK("https://www.ncbi.nlm.nih.gov/protein/MCQ8894033.1?report=genbank&amp;log$=prottop&amp;blast_rank=140&amp;RID=41BATMMA013","MCQ8894033.1")</f>
        <v>MCQ8894033.1</v>
      </c>
      <c r="G312" s="150"/>
    </row>
    <row r="313" spans="1:7" s="115" customFormat="1" ht="18" x14ac:dyDescent="0.25">
      <c r="A313" s="145" t="s">
        <v>179</v>
      </c>
      <c r="B313" s="146" t="s">
        <v>180</v>
      </c>
      <c r="C313" s="147">
        <v>1E-99</v>
      </c>
      <c r="D313" s="148">
        <v>43.27</v>
      </c>
      <c r="E313" s="148">
        <v>478</v>
      </c>
      <c r="F313" s="149" t="str">
        <f>HYPERLINK("https://www.ncbi.nlm.nih.gov/protein/RLI83321.1?report=genbank&amp;log$=prottop&amp;blast_rank=160&amp;RID=41BATMMA013","RLI83321.1")</f>
        <v>RLI83321.1</v>
      </c>
      <c r="G313" s="150"/>
    </row>
    <row r="314" spans="1:7" s="115" customFormat="1" ht="18" x14ac:dyDescent="0.25">
      <c r="A314" s="145" t="s">
        <v>258</v>
      </c>
      <c r="B314" s="146" t="s">
        <v>259</v>
      </c>
      <c r="C314" s="147">
        <v>2.0000000000000001E-108</v>
      </c>
      <c r="D314" s="148">
        <v>41.3</v>
      </c>
      <c r="E314" s="148">
        <v>479</v>
      </c>
      <c r="F314" s="149" t="str">
        <f>HYPERLINK("https://www.ncbi.nlm.nih.gov/protein/AKB51788.1?report=genbank&amp;log$=prottop&amp;blast_rank=83&amp;RID=41BATMMA013","AKB51788.1")</f>
        <v>AKB51788.1</v>
      </c>
      <c r="G314" s="150"/>
    </row>
    <row r="315" spans="1:7" s="115" customFormat="1" ht="18" x14ac:dyDescent="0.25">
      <c r="A315" s="145" t="s">
        <v>190</v>
      </c>
      <c r="B315" s="146" t="s">
        <v>191</v>
      </c>
      <c r="C315" s="147">
        <v>9.9999999999999993E-103</v>
      </c>
      <c r="D315" s="148">
        <v>38.340000000000003</v>
      </c>
      <c r="E315" s="148">
        <v>479</v>
      </c>
      <c r="F315" s="149" t="str">
        <f>HYPERLINK("https://www.ncbi.nlm.nih.gov/protein/NMC88186.1?report=genbank&amp;log$=prottop&amp;blast_rank=130&amp;RID=41BATMMA013","NMC88186.1")</f>
        <v>NMC88186.1</v>
      </c>
      <c r="G315" s="150"/>
    </row>
    <row r="316" spans="1:7" s="115" customFormat="1" ht="18" x14ac:dyDescent="0.25">
      <c r="A316" s="145" t="s">
        <v>260</v>
      </c>
      <c r="B316" s="146" t="s">
        <v>261</v>
      </c>
      <c r="C316" s="147">
        <v>3.9999999999999999E-105</v>
      </c>
      <c r="D316" s="148">
        <v>47.93</v>
      </c>
      <c r="E316" s="148">
        <v>480</v>
      </c>
      <c r="F316" s="149" t="str">
        <f>HYPERLINK("https://www.ncbi.nlm.nih.gov/protein/AJC70771.1?report=genbank&amp;log$=prottop&amp;blast_rank=116&amp;RID=41BATMMA013","AJC70771.1")</f>
        <v>AJC70771.1</v>
      </c>
      <c r="G316" s="150"/>
    </row>
    <row r="317" spans="1:7" s="115" customFormat="1" ht="18" x14ac:dyDescent="0.25">
      <c r="A317" s="145" t="s">
        <v>230</v>
      </c>
      <c r="B317" s="146" t="s">
        <v>231</v>
      </c>
      <c r="C317" s="147">
        <v>3.9999999999999998E-112</v>
      </c>
      <c r="D317" s="148">
        <v>44.89</v>
      </c>
      <c r="E317" s="148">
        <v>481</v>
      </c>
      <c r="F317" s="149" t="str">
        <f>HYPERLINK("https://www.ncbi.nlm.nih.gov/protein/RLF94177.1?report=genbank&amp;log$=prottop&amp;blast_rank=58&amp;RID=41BATMMA013","RLF94177.1")</f>
        <v>RLF94177.1</v>
      </c>
      <c r="G317" s="150"/>
    </row>
    <row r="318" spans="1:7" s="115" customFormat="1" ht="18" x14ac:dyDescent="0.25">
      <c r="A318" s="145" t="s">
        <v>179</v>
      </c>
      <c r="B318" s="146" t="s">
        <v>180</v>
      </c>
      <c r="C318" s="147">
        <v>2E-100</v>
      </c>
      <c r="D318" s="148">
        <v>43.38</v>
      </c>
      <c r="E318" s="148">
        <v>481</v>
      </c>
      <c r="F318" s="149" t="str">
        <f>HYPERLINK("https://www.ncbi.nlm.nih.gov/protein/RLI89242.1?report=genbank&amp;log$=prottop&amp;blast_rank=150&amp;RID=41BATMMA013","RLI89242.1")</f>
        <v>RLI89242.1</v>
      </c>
      <c r="G318" s="150"/>
    </row>
    <row r="319" spans="1:7" s="115" customFormat="1" ht="18" x14ac:dyDescent="0.25">
      <c r="A319" s="145" t="s">
        <v>262</v>
      </c>
      <c r="B319" s="146" t="s">
        <v>263</v>
      </c>
      <c r="C319" s="147">
        <v>4.0000000000000001E-100</v>
      </c>
      <c r="D319" s="148">
        <v>43.62</v>
      </c>
      <c r="E319" s="148">
        <v>481</v>
      </c>
      <c r="F319" s="149" t="str">
        <f>HYPERLINK("https://www.ncbi.nlm.nih.gov/protein/OQC71633.1?report=genbank&amp;log$=prottop&amp;blast_rank=154&amp;RID=41BATMMA013","OQC71633.1")</f>
        <v>OQC71633.1</v>
      </c>
      <c r="G319" s="150"/>
    </row>
    <row r="320" spans="1:7" s="115" customFormat="1" ht="18" x14ac:dyDescent="0.25">
      <c r="A320" s="145" t="s">
        <v>250</v>
      </c>
      <c r="B320" s="146" t="s">
        <v>251</v>
      </c>
      <c r="C320" s="147">
        <v>2E-113</v>
      </c>
      <c r="D320" s="148">
        <v>43.1</v>
      </c>
      <c r="E320" s="148">
        <v>482</v>
      </c>
      <c r="F320" s="149" t="str">
        <f>HYPERLINK("https://www.ncbi.nlm.nih.gov/protein/NPV49862.1?report=genbank&amp;log$=prottop&amp;blast_rank=55&amp;RID=41BATMMA013","NPV49862.1")</f>
        <v>NPV49862.1</v>
      </c>
      <c r="G320" s="150"/>
    </row>
    <row r="321" spans="1:7" s="115" customFormat="1" ht="18" x14ac:dyDescent="0.25">
      <c r="A321" s="145" t="s">
        <v>264</v>
      </c>
      <c r="B321" s="146" t="s">
        <v>265</v>
      </c>
      <c r="C321" s="147">
        <v>1E-100</v>
      </c>
      <c r="D321" s="148">
        <v>40.4</v>
      </c>
      <c r="E321" s="148">
        <v>482</v>
      </c>
      <c r="F321" s="149" t="str">
        <f>HYPERLINK("https://www.ncbi.nlm.nih.gov/protein/GLI46588.1?report=genbank&amp;log$=prottop&amp;blast_rank=144&amp;RID=41BATMMA013","GLI46588.1")</f>
        <v>GLI46588.1</v>
      </c>
      <c r="G321" s="150"/>
    </row>
    <row r="322" spans="1:7" s="115" customFormat="1" ht="18" x14ac:dyDescent="0.25">
      <c r="A322" s="145" t="s">
        <v>266</v>
      </c>
      <c r="B322" s="146" t="s">
        <v>267</v>
      </c>
      <c r="C322" s="147">
        <v>1.9999999999999999E-102</v>
      </c>
      <c r="D322" s="148">
        <v>39.299999999999997</v>
      </c>
      <c r="E322" s="148">
        <v>483</v>
      </c>
      <c r="F322" s="149" t="str">
        <f>HYPERLINK("https://www.ncbi.nlm.nih.gov/protein/NLM81169.1?report=genbank&amp;log$=prottop&amp;blast_rank=131&amp;RID=41BATMMA013","NLM81169.1")</f>
        <v>NLM81169.1</v>
      </c>
      <c r="G322" s="150"/>
    </row>
    <row r="323" spans="1:7" s="115" customFormat="1" ht="18" x14ac:dyDescent="0.25">
      <c r="A323" s="145" t="s">
        <v>268</v>
      </c>
      <c r="B323" s="146" t="s">
        <v>197</v>
      </c>
      <c r="C323" s="147">
        <v>2E-120</v>
      </c>
      <c r="D323" s="148">
        <v>43.52</v>
      </c>
      <c r="E323" s="148">
        <v>484</v>
      </c>
      <c r="F323" s="149" t="str">
        <f>HYPERLINK("https://www.ncbi.nlm.nih.gov/protein/MBC7115035.1?report=genbank&amp;log$=prottop&amp;blast_rank=44&amp;RID=41BATMMA013","MBC7115035.1")</f>
        <v>MBC7115035.1</v>
      </c>
      <c r="G323" s="150"/>
    </row>
    <row r="324" spans="1:7" s="115" customFormat="1" ht="18" x14ac:dyDescent="0.25">
      <c r="A324" s="145" t="s">
        <v>268</v>
      </c>
      <c r="B324" s="146" t="s">
        <v>197</v>
      </c>
      <c r="C324" s="147">
        <v>5E-117</v>
      </c>
      <c r="D324" s="148">
        <v>42.23</v>
      </c>
      <c r="E324" s="148">
        <v>484</v>
      </c>
      <c r="F324" s="149" t="str">
        <f>HYPERLINK("https://www.ncbi.nlm.nih.gov/protein/MBC7109749.1?report=genbank&amp;log$=prottop&amp;blast_rank=46&amp;RID=41BATMMA013","MBC7109749.1")</f>
        <v>MBC7109749.1</v>
      </c>
      <c r="G324" s="150"/>
    </row>
    <row r="325" spans="1:7" s="115" customFormat="1" ht="18" x14ac:dyDescent="0.25">
      <c r="A325" s="145" t="s">
        <v>236</v>
      </c>
      <c r="B325" s="146" t="s">
        <v>186</v>
      </c>
      <c r="C325" s="147">
        <v>9.9999999999999998E-114</v>
      </c>
      <c r="D325" s="148">
        <v>42.24</v>
      </c>
      <c r="E325" s="148">
        <v>484</v>
      </c>
      <c r="F325" s="149" t="str">
        <f>HYPERLINK("https://www.ncbi.nlm.nih.gov/protein/MCQ8898369.1?report=genbank&amp;log$=prottop&amp;blast_rank=54&amp;RID=41BATMMA013","MCQ8898369.1")</f>
        <v>MCQ8898369.1</v>
      </c>
      <c r="G325" s="150"/>
    </row>
    <row r="326" spans="1:7" s="115" customFormat="1" ht="18" x14ac:dyDescent="0.25">
      <c r="A326" s="145" t="s">
        <v>229</v>
      </c>
      <c r="B326" s="146" t="s">
        <v>220</v>
      </c>
      <c r="C326" s="147">
        <v>2E-109</v>
      </c>
      <c r="D326" s="148">
        <v>45.86</v>
      </c>
      <c r="E326" s="148">
        <v>484</v>
      </c>
      <c r="F326" s="149" t="str">
        <f>HYPERLINK("https://www.ncbi.nlm.nih.gov/protein/HDM22840.1?report=genbank&amp;log$=prottop&amp;blast_rank=75&amp;RID=41BATMMA013","HDM22840.1")</f>
        <v>HDM22840.1</v>
      </c>
      <c r="G326" s="150"/>
    </row>
    <row r="327" spans="1:7" s="115" customFormat="1" ht="18" x14ac:dyDescent="0.25">
      <c r="A327" s="145" t="s">
        <v>241</v>
      </c>
      <c r="B327" s="146" t="s">
        <v>242</v>
      </c>
      <c r="C327" s="147">
        <v>9.0000000000000006E-58</v>
      </c>
      <c r="D327" s="148">
        <v>31.44</v>
      </c>
      <c r="E327" s="148">
        <v>484</v>
      </c>
      <c r="F327" s="149" t="str">
        <f>HYPERLINK("https://www.ncbi.nlm.nih.gov/protein/MBU6998958.1?report=genbank&amp;log$=prottop&amp;blast_rank=383&amp;RID=41BATMMA013","MBU6998958.1")</f>
        <v>MBU6998958.1</v>
      </c>
      <c r="G327" s="150"/>
    </row>
    <row r="328" spans="1:7" s="115" customFormat="1" ht="18" x14ac:dyDescent="0.25">
      <c r="A328" s="145" t="s">
        <v>269</v>
      </c>
      <c r="B328" s="146" t="s">
        <v>270</v>
      </c>
      <c r="C328" s="147">
        <v>6.9999999999999995E-110</v>
      </c>
      <c r="D328" s="148">
        <v>40.659999999999997</v>
      </c>
      <c r="E328" s="148">
        <v>485</v>
      </c>
      <c r="F328" s="149" t="str">
        <f>HYPERLINK("https://www.ncbi.nlm.nih.gov/protein/RAP43600.1?report=genbank&amp;log$=prottop&amp;blast_rank=72&amp;RID=41BATMMA013","RAP43600.1")</f>
        <v>RAP43600.1</v>
      </c>
      <c r="G328" s="150"/>
    </row>
    <row r="329" spans="1:7" s="115" customFormat="1" ht="18" x14ac:dyDescent="0.25">
      <c r="A329" s="145" t="s">
        <v>241</v>
      </c>
      <c r="B329" s="146" t="s">
        <v>242</v>
      </c>
      <c r="C329" s="147">
        <v>2.0000000000000001E-59</v>
      </c>
      <c r="D329" s="148">
        <v>31.68</v>
      </c>
      <c r="E329" s="148">
        <v>485</v>
      </c>
      <c r="F329" s="149" t="str">
        <f>HYPERLINK("https://www.ncbi.nlm.nih.gov/protein/MBU7012977.1?report=genbank&amp;log$=prottop&amp;blast_rank=320&amp;RID=41BATMMA013","MBU7012977.1")</f>
        <v>MBU7012977.1</v>
      </c>
      <c r="G329" s="150"/>
    </row>
    <row r="330" spans="1:7" s="115" customFormat="1" ht="18" x14ac:dyDescent="0.25">
      <c r="A330" s="145" t="s">
        <v>241</v>
      </c>
      <c r="B330" s="146" t="s">
        <v>242</v>
      </c>
      <c r="C330" s="147">
        <v>5.0000000000000002E-55</v>
      </c>
      <c r="D330" s="148">
        <v>31.28</v>
      </c>
      <c r="E330" s="148">
        <v>485</v>
      </c>
      <c r="F330" s="149" t="str">
        <f>HYPERLINK("https://www.ncbi.nlm.nih.gov/protein/MBU7046995.1?report=genbank&amp;log$=prottop&amp;blast_rank=499&amp;RID=41BATMMA013","MBU7046995.1")</f>
        <v>MBU7046995.1</v>
      </c>
      <c r="G330" s="150"/>
    </row>
    <row r="331" spans="1:7" s="115" customFormat="1" ht="18" x14ac:dyDescent="0.25">
      <c r="A331" s="145" t="s">
        <v>271</v>
      </c>
      <c r="B331" s="146" t="s">
        <v>272</v>
      </c>
      <c r="C331" s="147">
        <v>1.0000000000000001E-110</v>
      </c>
      <c r="D331" s="148">
        <v>42.62</v>
      </c>
      <c r="E331" s="148">
        <v>487</v>
      </c>
      <c r="F331" s="149" t="str">
        <f>HYPERLINK("https://www.ncbi.nlm.nih.gov/protein/RNI14013.1?report=genbank&amp;log$=prottop&amp;blast_rank=67&amp;RID=41BATMMA013","RNI14013.1")</f>
        <v>RNI14013.1</v>
      </c>
      <c r="G331" s="150"/>
    </row>
    <row r="332" spans="1:7" s="115" customFormat="1" ht="18" x14ac:dyDescent="0.25">
      <c r="A332" s="145" t="s">
        <v>273</v>
      </c>
      <c r="B332" s="146" t="s">
        <v>274</v>
      </c>
      <c r="C332" s="147">
        <v>5.9999999999999997E-110</v>
      </c>
      <c r="D332" s="148">
        <v>42.23</v>
      </c>
      <c r="E332" s="148">
        <v>487</v>
      </c>
      <c r="F332" s="149" t="str">
        <f>HYPERLINK("https://www.ncbi.nlm.nih.gov/protein/ODV50054.1?report=genbank&amp;log$=prottop&amp;blast_rank=71&amp;RID=41BATMMA013","ODV50054.1")</f>
        <v>ODV50054.1</v>
      </c>
      <c r="G332" s="150"/>
    </row>
    <row r="333" spans="1:7" s="115" customFormat="1" ht="18" x14ac:dyDescent="0.25">
      <c r="A333" s="145" t="s">
        <v>275</v>
      </c>
      <c r="B333" s="146" t="s">
        <v>276</v>
      </c>
      <c r="C333" s="147">
        <v>6.0000000000000004E-106</v>
      </c>
      <c r="D333" s="148">
        <v>40.47</v>
      </c>
      <c r="E333" s="148">
        <v>487</v>
      </c>
      <c r="F333" s="149" t="str">
        <f>HYPERLINK("https://www.ncbi.nlm.nih.gov/protein/ADP77824.1?report=genbank&amp;log$=prottop&amp;blast_rank=109&amp;RID=41BATMMA013","ADP77824.1")</f>
        <v>ADP77824.1</v>
      </c>
      <c r="G333" s="150"/>
    </row>
    <row r="334" spans="1:7" s="115" customFormat="1" ht="18" x14ac:dyDescent="0.25">
      <c r="A334" s="145" t="s">
        <v>236</v>
      </c>
      <c r="B334" s="146" t="s">
        <v>186</v>
      </c>
      <c r="C334" s="147">
        <v>3.0000000000000001E-113</v>
      </c>
      <c r="D334" s="148">
        <v>42.86</v>
      </c>
      <c r="E334" s="148">
        <v>488</v>
      </c>
      <c r="F334" s="149" t="str">
        <f>HYPERLINK("https://www.ncbi.nlm.nih.gov/protein/MCD6248616.1?report=genbank&amp;log$=prottop&amp;blast_rank=56&amp;RID=41BATMMA013","MCD6248616.1")</f>
        <v>MCD6248616.1</v>
      </c>
      <c r="G334" s="150"/>
    </row>
    <row r="335" spans="1:7" s="115" customFormat="1" ht="18" x14ac:dyDescent="0.25">
      <c r="A335" s="145" t="s">
        <v>277</v>
      </c>
      <c r="B335" s="146" t="s">
        <v>278</v>
      </c>
      <c r="C335" s="147">
        <v>2E-95</v>
      </c>
      <c r="D335" s="148">
        <v>42.38</v>
      </c>
      <c r="E335" s="148">
        <v>488</v>
      </c>
      <c r="F335" s="149" t="str">
        <f>HYPERLINK("https://www.ncbi.nlm.nih.gov/protein/PXF50820.1?report=genbank&amp;log$=prottop&amp;blast_rank=172&amp;RID=41BATMMA013","PXF50820.1")</f>
        <v>PXF50820.1</v>
      </c>
      <c r="G335" s="150"/>
    </row>
    <row r="336" spans="1:7" s="115" customFormat="1" ht="18" x14ac:dyDescent="0.25">
      <c r="A336" s="145" t="s">
        <v>241</v>
      </c>
      <c r="B336" s="146" t="s">
        <v>242</v>
      </c>
      <c r="C336" s="147">
        <v>9.0000000000000006E-58</v>
      </c>
      <c r="D336" s="148">
        <v>31.45</v>
      </c>
      <c r="E336" s="148">
        <v>488</v>
      </c>
      <c r="F336" s="149" t="str">
        <f>HYPERLINK("https://www.ncbi.nlm.nih.gov/protein/MBU7017032.1?report=genbank&amp;log$=prottop&amp;blast_rank=381&amp;RID=41BATMMA013","MBU7017032.1")</f>
        <v>MBU7017032.1</v>
      </c>
      <c r="G336" s="150"/>
    </row>
    <row r="337" spans="1:7" s="115" customFormat="1" ht="18" x14ac:dyDescent="0.25">
      <c r="A337" s="145" t="s">
        <v>279</v>
      </c>
      <c r="B337" s="146" t="s">
        <v>201</v>
      </c>
      <c r="C337" s="147">
        <v>6.9999999999999997E-116</v>
      </c>
      <c r="D337" s="148">
        <v>48.56</v>
      </c>
      <c r="E337" s="148">
        <v>489</v>
      </c>
      <c r="F337" s="149" t="str">
        <f>HYPERLINK("https://www.ncbi.nlm.nih.gov/protein/KUO40335.1?report=genbank&amp;log$=prottop&amp;blast_rank=48&amp;RID=41BATMMA013","KUO40335.1")</f>
        <v>KUO40335.1</v>
      </c>
      <c r="G337" s="150"/>
    </row>
    <row r="338" spans="1:7" s="115" customFormat="1" ht="18" x14ac:dyDescent="0.25">
      <c r="A338" s="145" t="s">
        <v>280</v>
      </c>
      <c r="B338" s="146" t="s">
        <v>281</v>
      </c>
      <c r="C338" s="147">
        <v>9.0000000000000002E-110</v>
      </c>
      <c r="D338" s="148">
        <v>40.71</v>
      </c>
      <c r="E338" s="148">
        <v>489</v>
      </c>
      <c r="F338" s="149" t="str">
        <f>HYPERLINK("https://www.ncbi.nlm.nih.gov/protein/BDH79918.1?report=genbank&amp;log$=prottop&amp;blast_rank=73&amp;RID=41BATMMA013","BDH79918.1")</f>
        <v>BDH79918.1</v>
      </c>
      <c r="G338" s="150"/>
    </row>
    <row r="339" spans="1:7" s="115" customFormat="1" ht="18" x14ac:dyDescent="0.25">
      <c r="A339" s="145" t="s">
        <v>282</v>
      </c>
      <c r="B339" s="146" t="s">
        <v>283</v>
      </c>
      <c r="C339" s="147">
        <v>4.9999999999999996E-105</v>
      </c>
      <c r="D339" s="148">
        <v>40.590000000000003</v>
      </c>
      <c r="E339" s="148">
        <v>489</v>
      </c>
      <c r="F339" s="149" t="str">
        <f>HYPERLINK("https://www.ncbi.nlm.nih.gov/protein/KXB03463.1?report=genbank&amp;log$=prottop&amp;blast_rank=119&amp;RID=41BATMMA013","KXB03463.1")</f>
        <v>KXB03463.1</v>
      </c>
      <c r="G339" s="150"/>
    </row>
    <row r="340" spans="1:7" s="115" customFormat="1" ht="18" x14ac:dyDescent="0.25">
      <c r="A340" s="145" t="s">
        <v>284</v>
      </c>
      <c r="B340" s="146" t="s">
        <v>278</v>
      </c>
      <c r="C340" s="147">
        <v>1E-97</v>
      </c>
      <c r="D340" s="148">
        <v>43.52</v>
      </c>
      <c r="E340" s="148">
        <v>489</v>
      </c>
      <c r="F340" s="149" t="str">
        <f>HYPERLINK("https://www.ncbi.nlm.nih.gov/protein/RJS75042.1?report=genbank&amp;log$=prottop&amp;blast_rank=168&amp;RID=41BATMMA013","RJS75042.1")</f>
        <v>RJS75042.1</v>
      </c>
      <c r="G340" s="150"/>
    </row>
    <row r="341" spans="1:7" s="115" customFormat="1" ht="18" x14ac:dyDescent="0.25">
      <c r="A341" s="145" t="s">
        <v>285</v>
      </c>
      <c r="B341" s="146" t="s">
        <v>286</v>
      </c>
      <c r="C341" s="147">
        <v>2E-78</v>
      </c>
      <c r="D341" s="148">
        <v>38.08</v>
      </c>
      <c r="E341" s="148">
        <v>489</v>
      </c>
      <c r="F341" s="149" t="str">
        <f>HYPERLINK("https://www.ncbi.nlm.nih.gov/protein/RLG30648.1?report=genbank&amp;log$=prottop&amp;blast_rank=206&amp;RID=41BATMMA013","RLG30648.1")</f>
        <v>RLG30648.1</v>
      </c>
      <c r="G341" s="150"/>
    </row>
    <row r="342" spans="1:7" s="115" customFormat="1" ht="18" x14ac:dyDescent="0.25">
      <c r="A342" s="145" t="s">
        <v>287</v>
      </c>
      <c r="B342" s="146" t="s">
        <v>288</v>
      </c>
      <c r="C342" s="147">
        <v>2.9999999999999997E-107</v>
      </c>
      <c r="D342" s="148">
        <v>41.34</v>
      </c>
      <c r="E342" s="148">
        <v>490</v>
      </c>
      <c r="F342" s="149" t="str">
        <f>HYPERLINK("https://www.ncbi.nlm.nih.gov/protein/BAW30800.1?report=genbank&amp;log$=prottop&amp;blast_rank=96&amp;RID=41BATMMA013","BAW30800.1")</f>
        <v>BAW30800.1</v>
      </c>
      <c r="G342" s="150"/>
    </row>
    <row r="343" spans="1:7" s="115" customFormat="1" ht="18" x14ac:dyDescent="0.25">
      <c r="A343" s="145" t="s">
        <v>241</v>
      </c>
      <c r="B343" s="146" t="s">
        <v>242</v>
      </c>
      <c r="C343" s="147">
        <v>2.9999999999999999E-56</v>
      </c>
      <c r="D343" s="148">
        <v>30.22</v>
      </c>
      <c r="E343" s="148">
        <v>490</v>
      </c>
      <c r="F343" s="149" t="str">
        <f>HYPERLINK("https://www.ncbi.nlm.nih.gov/protein/MBU7042656.1?report=genbank&amp;log$=prottop&amp;blast_rank=447&amp;RID=41BATMMA013","MBU7042656.1")</f>
        <v>MBU7042656.1</v>
      </c>
      <c r="G343" s="150"/>
    </row>
    <row r="344" spans="1:7" s="115" customFormat="1" ht="18" x14ac:dyDescent="0.25">
      <c r="A344" s="145" t="s">
        <v>289</v>
      </c>
      <c r="B344" s="146" t="s">
        <v>290</v>
      </c>
      <c r="C344" s="147">
        <v>2.0000000000000001E-108</v>
      </c>
      <c r="D344" s="148">
        <v>42.27</v>
      </c>
      <c r="E344" s="148">
        <v>492</v>
      </c>
      <c r="F344" s="149" t="str">
        <f>HYPERLINK("https://www.ncbi.nlm.nih.gov/protein/ADN37287.1?report=genbank&amp;log$=prottop&amp;blast_rank=86&amp;RID=41BATMMA013","ADN37287.1")</f>
        <v>ADN37287.1</v>
      </c>
      <c r="G344" s="150"/>
    </row>
    <row r="345" spans="1:7" s="115" customFormat="1" ht="18" x14ac:dyDescent="0.25">
      <c r="A345" s="145" t="s">
        <v>291</v>
      </c>
      <c r="B345" s="146" t="s">
        <v>292</v>
      </c>
      <c r="C345" s="147">
        <v>3E-102</v>
      </c>
      <c r="D345" s="148">
        <v>38.909999999999997</v>
      </c>
      <c r="E345" s="148">
        <v>492</v>
      </c>
      <c r="F345" s="149" t="str">
        <f>HYPERLINK("https://www.ncbi.nlm.nih.gov/protein/MBX7077380.1?report=genbank&amp;log$=prottop&amp;blast_rank=132&amp;RID=41BATMMA013","MBX7077380.1")</f>
        <v>MBX7077380.1</v>
      </c>
      <c r="G345" s="150"/>
    </row>
    <row r="346" spans="1:7" s="115" customFormat="1" ht="18" x14ac:dyDescent="0.25">
      <c r="A346" s="145" t="s">
        <v>293</v>
      </c>
      <c r="B346" s="146" t="s">
        <v>294</v>
      </c>
      <c r="C346" s="147">
        <v>5.0000000000000003E-102</v>
      </c>
      <c r="D346" s="148">
        <v>40.65</v>
      </c>
      <c r="E346" s="148">
        <v>492</v>
      </c>
      <c r="F346" s="149" t="str">
        <f>HYPERLINK("https://www.ncbi.nlm.nih.gov/protein/MBP1929128.1?report=genbank&amp;log$=prottop&amp;blast_rank=135&amp;RID=41BATMMA013","MBP1929128.1")</f>
        <v>MBP1929128.1</v>
      </c>
      <c r="G346" s="150"/>
    </row>
    <row r="347" spans="1:7" s="115" customFormat="1" ht="18" x14ac:dyDescent="0.25">
      <c r="A347" s="145" t="s">
        <v>295</v>
      </c>
      <c r="B347" s="146" t="s">
        <v>296</v>
      </c>
      <c r="C347" s="147">
        <v>5.0000000000000003E-102</v>
      </c>
      <c r="D347" s="148">
        <v>43.23</v>
      </c>
      <c r="E347" s="148">
        <v>493</v>
      </c>
      <c r="F347" s="149" t="str">
        <f>HYPERLINK("https://www.ncbi.nlm.nih.gov/protein/TMS43040.1?report=genbank&amp;log$=prottop&amp;blast_rank=136&amp;RID=41BATMMA013","TMS43040.1")</f>
        <v>TMS43040.1</v>
      </c>
      <c r="G347" s="150"/>
    </row>
    <row r="348" spans="1:7" s="115" customFormat="1" ht="18" x14ac:dyDescent="0.25">
      <c r="A348" s="145" t="s">
        <v>297</v>
      </c>
      <c r="B348" s="146" t="s">
        <v>298</v>
      </c>
      <c r="C348" s="147">
        <v>3.0000000000000003E-101</v>
      </c>
      <c r="D348" s="148">
        <v>42.04</v>
      </c>
      <c r="E348" s="148">
        <v>494</v>
      </c>
      <c r="F348" s="149" t="str">
        <f>HYPERLINK("https://www.ncbi.nlm.nih.gov/protein/OWT32419.1?report=genbank&amp;log$=prottop&amp;blast_rank=141&amp;RID=41BATMMA013","OWT32419.1")</f>
        <v>OWT32419.1</v>
      </c>
      <c r="G348" s="150"/>
    </row>
    <row r="349" spans="1:7" s="115" customFormat="1" ht="18" x14ac:dyDescent="0.25">
      <c r="A349" s="145" t="s">
        <v>299</v>
      </c>
      <c r="B349" s="146" t="s">
        <v>300</v>
      </c>
      <c r="C349" s="147">
        <v>2E-87</v>
      </c>
      <c r="D349" s="148">
        <v>40.21</v>
      </c>
      <c r="E349" s="148">
        <v>496</v>
      </c>
      <c r="F349" s="149" t="str">
        <f>HYPERLINK("https://www.ncbi.nlm.nih.gov/protein/MCD6158304.1?report=genbank&amp;log$=prottop&amp;blast_rank=187&amp;RID=41BATMMA013","MCD6158304.1")</f>
        <v>MCD6158304.1</v>
      </c>
      <c r="G349" s="150"/>
    </row>
    <row r="350" spans="1:7" s="115" customFormat="1" ht="18" x14ac:dyDescent="0.25">
      <c r="A350" s="145" t="s">
        <v>301</v>
      </c>
      <c r="B350" s="146" t="s">
        <v>300</v>
      </c>
      <c r="C350" s="147">
        <v>9.9999999999999994E-107</v>
      </c>
      <c r="D350" s="148">
        <v>41.72</v>
      </c>
      <c r="E350" s="148">
        <v>497</v>
      </c>
      <c r="F350" s="149" t="str">
        <f>HYPERLINK("https://www.ncbi.nlm.nih.gov/protein/HEU12708.1?report=genbank&amp;log$=prottop&amp;blast_rank=99&amp;RID=41BATMMA013","HEU12708.1")</f>
        <v>HEU12708.1</v>
      </c>
      <c r="G350" s="150"/>
    </row>
    <row r="351" spans="1:7" s="115" customFormat="1" ht="18" x14ac:dyDescent="0.25">
      <c r="A351" s="145" t="s">
        <v>299</v>
      </c>
      <c r="B351" s="146" t="s">
        <v>300</v>
      </c>
      <c r="C351" s="147">
        <v>4.9999999999999997E-103</v>
      </c>
      <c r="D351" s="148">
        <v>42.62</v>
      </c>
      <c r="E351" s="148">
        <v>497</v>
      </c>
      <c r="F351" s="149" t="str">
        <f>HYPERLINK("https://www.ncbi.nlm.nih.gov/protein/MVT13487.1?report=genbank&amp;log$=prottop&amp;blast_rank=126&amp;RID=41BATMMA013","MVT13487.1")</f>
        <v>MVT13487.1</v>
      </c>
      <c r="G351" s="150"/>
    </row>
    <row r="352" spans="1:7" s="115" customFormat="1" ht="18" x14ac:dyDescent="0.25">
      <c r="A352" s="145" t="s">
        <v>302</v>
      </c>
      <c r="B352" s="146" t="s">
        <v>303</v>
      </c>
      <c r="C352" s="147">
        <v>6.0000000000000004E-106</v>
      </c>
      <c r="D352" s="148">
        <v>41.18</v>
      </c>
      <c r="E352" s="148">
        <v>498</v>
      </c>
      <c r="F352" s="149" t="str">
        <f>HYPERLINK("https://www.ncbi.nlm.nih.gov/protein/MBP2134192.1?report=genbank&amp;log$=prottop&amp;blast_rank=110&amp;RID=41BATMMA013","MBP2134192.1")</f>
        <v>MBP2134192.1</v>
      </c>
      <c r="G352" s="150"/>
    </row>
    <row r="353" spans="1:7" s="115" customFormat="1" ht="18" x14ac:dyDescent="0.25">
      <c r="A353" s="145" t="s">
        <v>304</v>
      </c>
      <c r="B353" s="146" t="s">
        <v>305</v>
      </c>
      <c r="C353" s="148">
        <v>0</v>
      </c>
      <c r="D353" s="148">
        <v>65.38</v>
      </c>
      <c r="E353" s="148">
        <v>499</v>
      </c>
      <c r="F353" s="149" t="str">
        <f>HYPERLINK("https://www.ncbi.nlm.nih.gov/protein/NJE07501.1?report=genbank&amp;log$=prottop&amp;blast_rank=9&amp;RID=41BATMMA013","NJE07501.1")</f>
        <v>NJE07501.1</v>
      </c>
      <c r="G353" s="150"/>
    </row>
    <row r="354" spans="1:7" s="115" customFormat="1" ht="18" x14ac:dyDescent="0.25">
      <c r="A354" s="145" t="s">
        <v>299</v>
      </c>
      <c r="B354" s="146" t="s">
        <v>300</v>
      </c>
      <c r="C354" s="147">
        <v>8.0000000000000002E-99</v>
      </c>
      <c r="D354" s="148">
        <v>44.56</v>
      </c>
      <c r="E354" s="148">
        <v>499</v>
      </c>
      <c r="F354" s="149" t="str">
        <f>HYPERLINK("https://www.ncbi.nlm.nih.gov/protein/NPA74809.1?report=genbank&amp;log$=prottop&amp;blast_rank=164&amp;RID=41BATMMA013","NPA74809.1")</f>
        <v>NPA74809.1</v>
      </c>
      <c r="G354" s="150"/>
    </row>
    <row r="355" spans="1:7" s="115" customFormat="1" ht="18" x14ac:dyDescent="0.25">
      <c r="A355" s="145" t="s">
        <v>236</v>
      </c>
      <c r="B355" s="146" t="s">
        <v>186</v>
      </c>
      <c r="C355" s="147">
        <v>1E-117</v>
      </c>
      <c r="D355" s="148">
        <v>44.31</v>
      </c>
      <c r="E355" s="148">
        <v>501</v>
      </c>
      <c r="F355" s="149" t="str">
        <f>HYPERLINK("https://www.ncbi.nlm.nih.gov/protein/MBC7219642.1?report=genbank&amp;log$=prottop&amp;blast_rank=45&amp;RID=41BATMMA013","MBC7219642.1")</f>
        <v>MBC7219642.1</v>
      </c>
      <c r="G355" s="150"/>
    </row>
    <row r="356" spans="1:7" s="115" customFormat="1" ht="18" x14ac:dyDescent="0.25">
      <c r="A356" s="145" t="s">
        <v>306</v>
      </c>
      <c r="B356" s="146" t="s">
        <v>307</v>
      </c>
      <c r="C356" s="147">
        <v>6.9999999999999997E-116</v>
      </c>
      <c r="D356" s="148">
        <v>44.63</v>
      </c>
      <c r="E356" s="148">
        <v>501</v>
      </c>
      <c r="F356" s="149" t="str">
        <f>HYPERLINK("https://www.ncbi.nlm.nih.gov/protein/KUO42036.1?report=genbank&amp;log$=prottop&amp;blast_rank=47&amp;RID=41BATMMA013","KUO42036.1")</f>
        <v>KUO42036.1</v>
      </c>
      <c r="G356" s="150"/>
    </row>
    <row r="357" spans="1:7" s="115" customFormat="1" ht="18" x14ac:dyDescent="0.25">
      <c r="A357" s="145" t="s">
        <v>308</v>
      </c>
      <c r="B357" s="146" t="s">
        <v>309</v>
      </c>
      <c r="C357" s="147">
        <v>9E-102</v>
      </c>
      <c r="D357" s="148">
        <v>40.25</v>
      </c>
      <c r="E357" s="148">
        <v>501</v>
      </c>
      <c r="F357" s="149" t="str">
        <f>HYPERLINK("https://www.ncbi.nlm.nih.gov/protein/MCD6140835.1?report=genbank&amp;log$=prottop&amp;blast_rank=137&amp;RID=41BATMMA013","MCD6140835.1")</f>
        <v>MCD6140835.1</v>
      </c>
      <c r="G357" s="150"/>
    </row>
    <row r="358" spans="1:7" s="115" customFormat="1" ht="18" x14ac:dyDescent="0.25">
      <c r="A358" s="145" t="s">
        <v>295</v>
      </c>
      <c r="B358" s="146" t="s">
        <v>296</v>
      </c>
      <c r="C358" s="147">
        <v>3.0000000000000001E-105</v>
      </c>
      <c r="D358" s="148">
        <v>38.909999999999997</v>
      </c>
      <c r="E358" s="148">
        <v>502</v>
      </c>
      <c r="F358" s="149" t="str">
        <f>HYPERLINK("https://www.ncbi.nlm.nih.gov/protein/MCE5215092.1?report=genbank&amp;log$=prottop&amp;blast_rank=115&amp;RID=41BATMMA013","MCE5215092.1")</f>
        <v>MCE5215092.1</v>
      </c>
      <c r="G358" s="150"/>
    </row>
    <row r="359" spans="1:7" s="115" customFormat="1" ht="18" x14ac:dyDescent="0.25">
      <c r="A359" s="145" t="s">
        <v>310</v>
      </c>
      <c r="B359" s="146" t="s">
        <v>311</v>
      </c>
      <c r="C359" s="147">
        <v>3.9999999999999998E-98</v>
      </c>
      <c r="D359" s="148">
        <v>40.619999999999997</v>
      </c>
      <c r="E359" s="148">
        <v>504</v>
      </c>
      <c r="F359" s="149" t="str">
        <f>HYPERLINK("https://www.ncbi.nlm.nih.gov/protein/AGN17072.1?report=genbank&amp;log$=prottop&amp;blast_rank=166&amp;RID=41BATMMA013","AGN17072.1")</f>
        <v>AGN17072.1</v>
      </c>
      <c r="G359" s="150"/>
    </row>
    <row r="360" spans="1:7" s="115" customFormat="1" ht="18" x14ac:dyDescent="0.25">
      <c r="A360" s="145" t="s">
        <v>312</v>
      </c>
      <c r="B360" s="146" t="s">
        <v>313</v>
      </c>
      <c r="C360" s="147">
        <v>2E-107</v>
      </c>
      <c r="D360" s="148">
        <v>41.35</v>
      </c>
      <c r="E360" s="148">
        <v>505</v>
      </c>
      <c r="F360" s="149" t="str">
        <f>HYPERLINK("https://www.ncbi.nlm.nih.gov/protein/AXV37620.1?report=genbank&amp;log$=prottop&amp;blast_rank=94&amp;RID=41BATMMA013","AXV37620.1")</f>
        <v>AXV37620.1</v>
      </c>
      <c r="G360" s="150"/>
    </row>
    <row r="361" spans="1:7" s="115" customFormat="1" ht="18" x14ac:dyDescent="0.25">
      <c r="A361" s="145" t="s">
        <v>314</v>
      </c>
      <c r="B361" s="146" t="s">
        <v>315</v>
      </c>
      <c r="C361" s="147">
        <v>7.0000000000000001E-100</v>
      </c>
      <c r="D361" s="148">
        <v>43.72</v>
      </c>
      <c r="E361" s="148">
        <v>505</v>
      </c>
      <c r="F361" s="149" t="str">
        <f>HYPERLINK("https://www.ncbi.nlm.nih.gov/protein/BAZ99767.1?report=genbank&amp;log$=prottop&amp;blast_rank=157&amp;RID=41BATMMA013","BAZ99767.1")</f>
        <v>BAZ99767.1</v>
      </c>
      <c r="G361" s="150"/>
    </row>
    <row r="362" spans="1:7" s="115" customFormat="1" ht="18" x14ac:dyDescent="0.25">
      <c r="A362" s="145" t="s">
        <v>316</v>
      </c>
      <c r="B362" s="146" t="s">
        <v>317</v>
      </c>
      <c r="C362" s="147">
        <v>2.0000000000000001E-108</v>
      </c>
      <c r="D362" s="148">
        <v>41.37</v>
      </c>
      <c r="E362" s="148">
        <v>506</v>
      </c>
      <c r="F362" s="149" t="str">
        <f>HYPERLINK("https://www.ncbi.nlm.nih.gov/protein/ADZ09301.1?report=genbank&amp;log$=prottop&amp;blast_rank=84&amp;RID=41BATMMA013","ADZ09301.1")</f>
        <v>ADZ09301.1</v>
      </c>
      <c r="G362" s="150"/>
    </row>
    <row r="363" spans="1:7" s="115" customFormat="1" ht="18" x14ac:dyDescent="0.25">
      <c r="A363" s="145" t="s">
        <v>295</v>
      </c>
      <c r="B363" s="146" t="s">
        <v>296</v>
      </c>
      <c r="C363" s="147">
        <v>1.9999999999999999E-106</v>
      </c>
      <c r="D363" s="148">
        <v>41.44</v>
      </c>
      <c r="E363" s="148">
        <v>506</v>
      </c>
      <c r="F363" s="149" t="str">
        <f>HYPERLINK("https://www.ncbi.nlm.nih.gov/protein/MTK63341.1?report=genbank&amp;log$=prottop&amp;blast_rank=103&amp;RID=41BATMMA013","MTK63341.1")</f>
        <v>MTK63341.1</v>
      </c>
      <c r="G363" s="150"/>
    </row>
    <row r="364" spans="1:7" s="115" customFormat="1" ht="18" x14ac:dyDescent="0.25">
      <c r="A364" s="145" t="s">
        <v>299</v>
      </c>
      <c r="B364" s="146" t="s">
        <v>300</v>
      </c>
      <c r="C364" s="147">
        <v>9.9999999999999993E-89</v>
      </c>
      <c r="D364" s="148">
        <v>39.68</v>
      </c>
      <c r="E364" s="148">
        <v>507</v>
      </c>
      <c r="F364" s="149" t="str">
        <f>HYPERLINK("https://www.ncbi.nlm.nih.gov/protein/MCJ7638527.1?report=genbank&amp;log$=prottop&amp;blast_rank=178&amp;RID=41BATMMA013","MCJ7638527.1")</f>
        <v>MCJ7638527.1</v>
      </c>
      <c r="G364" s="150"/>
    </row>
    <row r="365" spans="1:7" s="115" customFormat="1" ht="18" x14ac:dyDescent="0.25">
      <c r="A365" s="145" t="s">
        <v>318</v>
      </c>
      <c r="B365" s="146" t="s">
        <v>319</v>
      </c>
      <c r="C365" s="147">
        <v>6.0000000000000005E-104</v>
      </c>
      <c r="D365" s="148">
        <v>43.78</v>
      </c>
      <c r="E365" s="148">
        <v>509</v>
      </c>
      <c r="F365" s="149" t="str">
        <f>HYPERLINK("https://www.ncbi.nlm.nih.gov/protein/MBZ2166859.1?report=genbank&amp;log$=prottop&amp;blast_rank=122&amp;RID=41BATMMA013","MBZ2166859.1")</f>
        <v>MBZ2166859.1</v>
      </c>
      <c r="G365" s="150"/>
    </row>
    <row r="366" spans="1:7" s="115" customFormat="1" ht="18" x14ac:dyDescent="0.25">
      <c r="A366" s="145" t="s">
        <v>295</v>
      </c>
      <c r="B366" s="146" t="s">
        <v>296</v>
      </c>
      <c r="C366" s="147">
        <v>9.9999999999999993E-103</v>
      </c>
      <c r="D366" s="148">
        <v>44.65</v>
      </c>
      <c r="E366" s="148">
        <v>509</v>
      </c>
      <c r="F366" s="149" t="str">
        <f>HYPERLINK("https://www.ncbi.nlm.nih.gov/protein/MCC7551600.1?report=genbank&amp;log$=prottop&amp;blast_rank=129&amp;RID=41BATMMA013","MCC7551600.1")</f>
        <v>MCC7551600.1</v>
      </c>
      <c r="G366" s="150"/>
    </row>
    <row r="367" spans="1:7" s="115" customFormat="1" ht="18" x14ac:dyDescent="0.25">
      <c r="A367" s="145" t="s">
        <v>320</v>
      </c>
      <c r="B367" s="146" t="s">
        <v>321</v>
      </c>
      <c r="C367" s="147">
        <v>1E-100</v>
      </c>
      <c r="D367" s="148">
        <v>40.08</v>
      </c>
      <c r="E367" s="148">
        <v>510</v>
      </c>
      <c r="F367" s="149" t="str">
        <f>HYPERLINK("https://www.ncbi.nlm.nih.gov/protein/KZX16868.1?report=genbank&amp;log$=prottop&amp;blast_rank=146&amp;RID=41BATMMA013","KZX16868.1")</f>
        <v>KZX16868.1</v>
      </c>
      <c r="G367" s="150"/>
    </row>
    <row r="368" spans="1:7" s="115" customFormat="1" ht="18" x14ac:dyDescent="0.25">
      <c r="A368" s="145" t="s">
        <v>241</v>
      </c>
      <c r="B368" s="146" t="s">
        <v>242</v>
      </c>
      <c r="C368" s="147">
        <v>9.9999999999999992E-72</v>
      </c>
      <c r="D368" s="148">
        <v>35.31</v>
      </c>
      <c r="E368" s="148">
        <v>510</v>
      </c>
      <c r="F368" s="149" t="str">
        <f>HYPERLINK("https://www.ncbi.nlm.nih.gov/protein/MBU7014366.1?report=genbank&amp;log$=prottop&amp;blast_rank=213&amp;RID=41BATMMA013","MBU7014366.1")</f>
        <v>MBU7014366.1</v>
      </c>
      <c r="G368" s="150"/>
    </row>
    <row r="369" spans="1:7" s="115" customFormat="1" ht="18" x14ac:dyDescent="0.25">
      <c r="A369" s="145" t="s">
        <v>322</v>
      </c>
      <c r="B369" s="146" t="s">
        <v>323</v>
      </c>
      <c r="C369" s="147">
        <v>4.0000000000000004E-111</v>
      </c>
      <c r="D369" s="148">
        <v>47.26</v>
      </c>
      <c r="E369" s="148">
        <v>511</v>
      </c>
      <c r="F369" s="149" t="str">
        <f>HYPERLINK("https://www.ncbi.nlm.nih.gov/protein/BDZ68219.1?report=genbank&amp;log$=prottop&amp;blast_rank=64&amp;RID=41BATMMA013","BDZ68219.1")</f>
        <v>BDZ68219.1</v>
      </c>
      <c r="G369" s="150"/>
    </row>
    <row r="370" spans="1:7" s="115" customFormat="1" ht="18" x14ac:dyDescent="0.25">
      <c r="A370" s="145" t="s">
        <v>324</v>
      </c>
      <c r="B370" s="146" t="s">
        <v>325</v>
      </c>
      <c r="C370" s="147">
        <v>3.0000000000000002E-106</v>
      </c>
      <c r="D370" s="148">
        <v>39.869999999999997</v>
      </c>
      <c r="E370" s="148">
        <v>511</v>
      </c>
      <c r="F370" s="149" t="str">
        <f>HYPERLINK("https://www.ncbi.nlm.nih.gov/protein/OEC88089.1?report=genbank&amp;log$=prottop&amp;blast_rank=105&amp;RID=41BATMMA013","OEC88089.1")</f>
        <v>OEC88089.1</v>
      </c>
      <c r="G370" s="150"/>
    </row>
    <row r="371" spans="1:7" s="115" customFormat="1" ht="18" x14ac:dyDescent="0.25">
      <c r="A371" s="145" t="s">
        <v>299</v>
      </c>
      <c r="B371" s="146" t="s">
        <v>300</v>
      </c>
      <c r="C371" s="147">
        <v>9.9999999999999996E-104</v>
      </c>
      <c r="D371" s="148">
        <v>39.450000000000003</v>
      </c>
      <c r="E371" s="148">
        <v>512</v>
      </c>
      <c r="F371" s="149" t="str">
        <f>HYPERLINK("https://www.ncbi.nlm.nih.gov/protein/MBM4240379.1?report=genbank&amp;log$=prottop&amp;blast_rank=124&amp;RID=41BATMMA013","MBM4240379.1")</f>
        <v>MBM4240379.1</v>
      </c>
      <c r="G371" s="150"/>
    </row>
    <row r="372" spans="1:7" s="115" customFormat="1" ht="18" x14ac:dyDescent="0.25">
      <c r="A372" s="145" t="s">
        <v>326</v>
      </c>
      <c r="B372" s="146" t="s">
        <v>327</v>
      </c>
      <c r="C372" s="147">
        <v>1.9999999999999999E-105</v>
      </c>
      <c r="D372" s="148">
        <v>39.08</v>
      </c>
      <c r="E372" s="148">
        <v>513</v>
      </c>
      <c r="F372" s="149" t="str">
        <f>HYPERLINK("https://www.ncbi.nlm.nih.gov/protein/OPY23655.1?report=genbank&amp;log$=prottop&amp;blast_rank=114&amp;RID=41BATMMA013","OPY23655.1")</f>
        <v>OPY23655.1</v>
      </c>
      <c r="G372" s="150"/>
    </row>
    <row r="373" spans="1:7" s="115" customFormat="1" ht="18" x14ac:dyDescent="0.25">
      <c r="A373" s="145" t="s">
        <v>328</v>
      </c>
      <c r="B373" s="146" t="s">
        <v>329</v>
      </c>
      <c r="C373" s="147">
        <v>4.0000000000000004E-111</v>
      </c>
      <c r="D373" s="148">
        <v>47</v>
      </c>
      <c r="E373" s="148">
        <v>514</v>
      </c>
      <c r="F373" s="149" t="str">
        <f>HYPERLINK("https://www.ncbi.nlm.nih.gov/protein/CDG64819.1?report=genbank&amp;log$=prottop&amp;blast_rank=65&amp;RID=41BATMMA013","CDG64819.1")</f>
        <v>CDG64819.1</v>
      </c>
      <c r="G373" s="150"/>
    </row>
    <row r="374" spans="1:7" s="115" customFormat="1" ht="18" x14ac:dyDescent="0.25">
      <c r="A374" s="145" t="s">
        <v>330</v>
      </c>
      <c r="B374" s="146" t="s">
        <v>331</v>
      </c>
      <c r="C374" s="147">
        <v>2.9999999999999999E-108</v>
      </c>
      <c r="D374" s="148">
        <v>44.91</v>
      </c>
      <c r="E374" s="148">
        <v>514</v>
      </c>
      <c r="F374" s="149" t="str">
        <f>HYPERLINK("https://www.ncbi.nlm.nih.gov/protein/AIS32292.1?report=genbank&amp;log$=prottop&amp;blast_rank=89&amp;RID=41BATMMA013","AIS32292.1")</f>
        <v>AIS32292.1</v>
      </c>
      <c r="G374" s="150"/>
    </row>
    <row r="375" spans="1:7" s="115" customFormat="1" ht="18" x14ac:dyDescent="0.25">
      <c r="A375" s="145" t="s">
        <v>332</v>
      </c>
      <c r="B375" s="146" t="s">
        <v>333</v>
      </c>
      <c r="C375" s="147">
        <v>3.0000000000000002E-104</v>
      </c>
      <c r="D375" s="148">
        <v>44.7</v>
      </c>
      <c r="E375" s="148">
        <v>523</v>
      </c>
      <c r="F375" s="149" t="str">
        <f>HYPERLINK("https://www.ncbi.nlm.nih.gov/protein/OPX57892.1?report=genbank&amp;log$=prottop&amp;blast_rank=121&amp;RID=41BATMMA013","OPX57892.1")</f>
        <v>OPX57892.1</v>
      </c>
      <c r="G375" s="150"/>
    </row>
    <row r="376" spans="1:7" s="115" customFormat="1" ht="18" x14ac:dyDescent="0.25">
      <c r="A376" s="145" t="s">
        <v>334</v>
      </c>
      <c r="B376" s="146" t="s">
        <v>335</v>
      </c>
      <c r="C376" s="147">
        <v>2E-100</v>
      </c>
      <c r="D376" s="148">
        <v>39.17</v>
      </c>
      <c r="E376" s="148">
        <v>525</v>
      </c>
      <c r="F376" s="149" t="str">
        <f>HYPERLINK("https://www.ncbi.nlm.nih.gov/protein/MBZ9570979.1?report=genbank&amp;log$=prottop&amp;blast_rank=149&amp;RID=41BATMMA013","MBZ9570979.1")</f>
        <v>MBZ9570979.1</v>
      </c>
      <c r="G376" s="150"/>
    </row>
    <row r="377" spans="1:7" s="115" customFormat="1" ht="18" x14ac:dyDescent="0.25">
      <c r="A377" s="145" t="s">
        <v>301</v>
      </c>
      <c r="B377" s="146" t="s">
        <v>300</v>
      </c>
      <c r="C377" s="147">
        <v>4.9999999999999996E-78</v>
      </c>
      <c r="D377" s="148">
        <v>37.57</v>
      </c>
      <c r="E377" s="148">
        <v>531</v>
      </c>
      <c r="F377" s="149" t="str">
        <f>HYPERLINK("https://www.ncbi.nlm.nih.gov/protein/HHC19238.1?report=genbank&amp;log$=prottop&amp;blast_rank=207&amp;RID=41BATMMA013","HHC19238.1")</f>
        <v>HHC19238.1</v>
      </c>
      <c r="G377" s="150"/>
    </row>
    <row r="378" spans="1:7" s="115" customFormat="1" ht="18" x14ac:dyDescent="0.25">
      <c r="A378" s="145" t="s">
        <v>336</v>
      </c>
      <c r="B378" s="146" t="s">
        <v>337</v>
      </c>
      <c r="C378" s="147">
        <v>9.9999999999999993E-89</v>
      </c>
      <c r="D378" s="148">
        <v>37.18</v>
      </c>
      <c r="E378" s="148">
        <v>533</v>
      </c>
      <c r="F378" s="149" t="str">
        <f>HYPERLINK("https://www.ncbi.nlm.nih.gov/protein/MPW39810.1?report=genbank&amp;log$=prottop&amp;blast_rank=180&amp;RID=41BATMMA013","MPW39810.1")</f>
        <v>MPW39810.1</v>
      </c>
      <c r="G378" s="150"/>
    </row>
    <row r="379" spans="1:7" s="115" customFormat="1" ht="18" x14ac:dyDescent="0.25">
      <c r="A379" s="145" t="s">
        <v>338</v>
      </c>
      <c r="B379" s="146" t="s">
        <v>339</v>
      </c>
      <c r="C379" s="147">
        <v>2E-85</v>
      </c>
      <c r="D379" s="148">
        <v>36.17</v>
      </c>
      <c r="E379" s="148">
        <v>533</v>
      </c>
      <c r="F379" s="149" t="str">
        <f>HYPERLINK("https://www.ncbi.nlm.nih.gov/protein/ASJ17128.1?report=genbank&amp;log$=prottop&amp;blast_rank=195&amp;RID=41BATMMA013","ASJ17128.1")</f>
        <v>ASJ17128.1</v>
      </c>
      <c r="G379" s="150"/>
    </row>
    <row r="380" spans="1:7" s="115" customFormat="1" ht="18" x14ac:dyDescent="0.25">
      <c r="A380" s="145" t="s">
        <v>308</v>
      </c>
      <c r="B380" s="146" t="s">
        <v>309</v>
      </c>
      <c r="C380" s="147">
        <v>9.9999999999999998E-86</v>
      </c>
      <c r="D380" s="148">
        <v>35.71</v>
      </c>
      <c r="E380" s="148">
        <v>535</v>
      </c>
      <c r="F380" s="149" t="str">
        <f>HYPERLINK("https://www.ncbi.nlm.nih.gov/protein/MBO8174272.1?report=genbank&amp;log$=prottop&amp;blast_rank=194&amp;RID=41BATMMA013","MBO8174272.1")</f>
        <v>MBO8174272.1</v>
      </c>
      <c r="G380" s="150"/>
    </row>
    <row r="381" spans="1:7" s="115" customFormat="1" ht="18" x14ac:dyDescent="0.25">
      <c r="A381" s="145" t="s">
        <v>340</v>
      </c>
      <c r="B381" s="146" t="s">
        <v>341</v>
      </c>
      <c r="C381" s="147">
        <v>3.0000000000000001E-84</v>
      </c>
      <c r="D381" s="148">
        <v>35.5</v>
      </c>
      <c r="E381" s="148">
        <v>535</v>
      </c>
      <c r="F381" s="149" t="str">
        <f>HYPERLINK("https://www.ncbi.nlm.nih.gov/protein/ADT84336.1?report=genbank&amp;log$=prottop&amp;blast_rank=199&amp;RID=41BATMMA013","ADT84336.1")</f>
        <v>ADT84336.1</v>
      </c>
      <c r="G381" s="150"/>
    </row>
    <row r="382" spans="1:7" s="115" customFormat="1" ht="18" x14ac:dyDescent="0.25">
      <c r="A382" s="145" t="s">
        <v>230</v>
      </c>
      <c r="B382" s="146" t="s">
        <v>231</v>
      </c>
      <c r="C382" s="147">
        <v>2.0000000000000001E-83</v>
      </c>
      <c r="D382" s="148">
        <v>38.380000000000003</v>
      </c>
      <c r="E382" s="148">
        <v>535</v>
      </c>
      <c r="F382" s="149" t="str">
        <f>HYPERLINK("https://www.ncbi.nlm.nih.gov/protein/RLF83768.1?report=genbank&amp;log$=prottop&amp;blast_rank=202&amp;RID=41BATMMA013","RLF83768.1")</f>
        <v>RLF83768.1</v>
      </c>
      <c r="G382" s="150"/>
    </row>
    <row r="383" spans="1:7" s="115" customFormat="1" ht="18" x14ac:dyDescent="0.25">
      <c r="A383" s="145" t="s">
        <v>342</v>
      </c>
      <c r="B383" s="146" t="s">
        <v>343</v>
      </c>
      <c r="C383" s="147">
        <v>3.9999999999999999E-105</v>
      </c>
      <c r="D383" s="148">
        <v>40.42</v>
      </c>
      <c r="E383" s="148">
        <v>543</v>
      </c>
      <c r="F383" s="149" t="str">
        <f>HYPERLINK("https://www.ncbi.nlm.nih.gov/protein/AEG18787.1?report=genbank&amp;log$=prottop&amp;blast_rank=117&amp;RID=41BATMMA013","AEG18787.1")</f>
        <v>AEG18787.1</v>
      </c>
      <c r="G383" s="150"/>
    </row>
    <row r="384" spans="1:7" s="115" customFormat="1" ht="18" x14ac:dyDescent="0.25">
      <c r="A384" s="145" t="s">
        <v>344</v>
      </c>
      <c r="B384" s="146" t="s">
        <v>345</v>
      </c>
      <c r="C384" s="147">
        <v>4.0000000000000001E-87</v>
      </c>
      <c r="D384" s="148">
        <v>37.61</v>
      </c>
      <c r="E384" s="148">
        <v>543</v>
      </c>
      <c r="F384" s="149" t="str">
        <f>HYPERLINK("https://www.ncbi.nlm.nih.gov/protein/NJF26047.1?report=genbank&amp;log$=prottop&amp;blast_rank=188&amp;RID=41BATMMA013","NJF26047.1")</f>
        <v>NJF26047.1</v>
      </c>
      <c r="G384" s="150"/>
    </row>
    <row r="385" spans="1:7" s="115" customFormat="1" ht="18" x14ac:dyDescent="0.25">
      <c r="A385" s="145" t="s">
        <v>346</v>
      </c>
      <c r="B385" s="146" t="s">
        <v>347</v>
      </c>
      <c r="C385" s="147">
        <v>8.9999999999999995E-86</v>
      </c>
      <c r="D385" s="148">
        <v>36.81</v>
      </c>
      <c r="E385" s="148">
        <v>543</v>
      </c>
      <c r="F385" s="149" t="str">
        <f>HYPERLINK("https://www.ncbi.nlm.nih.gov/protein/AEC52421.1?report=genbank&amp;log$=prottop&amp;blast_rank=192&amp;RID=41BATMMA013","AEC52421.1")</f>
        <v>AEC52421.1</v>
      </c>
      <c r="G385" s="150"/>
    </row>
    <row r="386" spans="1:7" s="115" customFormat="1" ht="18" x14ac:dyDescent="0.25">
      <c r="A386" s="145" t="s">
        <v>348</v>
      </c>
      <c r="B386" s="146" t="s">
        <v>349</v>
      </c>
      <c r="C386" s="147">
        <v>3.0000000000000001E-83</v>
      </c>
      <c r="D386" s="148">
        <v>37.6</v>
      </c>
      <c r="E386" s="148">
        <v>544</v>
      </c>
      <c r="F386" s="149" t="str">
        <f>HYPERLINK("https://www.ncbi.nlm.nih.gov/protein/ASI98480.1?report=genbank&amp;log$=prottop&amp;blast_rank=203&amp;RID=41BATMMA013","ASI98480.1")</f>
        <v>ASI98480.1</v>
      </c>
      <c r="G386" s="150"/>
    </row>
    <row r="387" spans="1:7" s="115" customFormat="1" ht="18" x14ac:dyDescent="0.25">
      <c r="A387" s="145" t="s">
        <v>350</v>
      </c>
      <c r="B387" s="146" t="s">
        <v>351</v>
      </c>
      <c r="C387" s="147">
        <v>9.0000000000000001E-85</v>
      </c>
      <c r="D387" s="148">
        <v>39.159999999999997</v>
      </c>
      <c r="E387" s="148">
        <v>552</v>
      </c>
      <c r="F387" s="149" t="str">
        <f>HYPERLINK("https://www.ncbi.nlm.nih.gov/protein/BAA29920.1?report=genbank&amp;log$=prottop&amp;blast_rank=197&amp;RID=41BATMMA013","BAA29920.1")</f>
        <v>BAA29920.1</v>
      </c>
      <c r="G387" s="150"/>
    </row>
    <row r="388" spans="1:7" s="115" customFormat="1" ht="18" x14ac:dyDescent="0.25">
      <c r="A388" s="145" t="s">
        <v>352</v>
      </c>
      <c r="B388" s="146" t="s">
        <v>353</v>
      </c>
      <c r="C388" s="147">
        <v>1E-87</v>
      </c>
      <c r="D388" s="148">
        <v>39.69</v>
      </c>
      <c r="E388" s="148">
        <v>554</v>
      </c>
      <c r="F388" s="149" t="str">
        <f>HYPERLINK("https://www.ncbi.nlm.nih.gov/protein/AMM55039.1?report=genbank&amp;log$=prottop&amp;blast_rank=185&amp;RID=41BATMMA013","AMM55039.1")</f>
        <v>AMM55039.1</v>
      </c>
      <c r="G388" s="150"/>
    </row>
    <row r="389" spans="1:7" s="115" customFormat="1" ht="18" x14ac:dyDescent="0.25">
      <c r="A389" s="145" t="s">
        <v>354</v>
      </c>
      <c r="B389" s="146" t="s">
        <v>355</v>
      </c>
      <c r="C389" s="147">
        <v>1.9999999999999999E-88</v>
      </c>
      <c r="D389" s="148">
        <v>37.659999999999997</v>
      </c>
      <c r="E389" s="148">
        <v>555</v>
      </c>
      <c r="F389" s="149" t="str">
        <f>HYPERLINK("https://www.ncbi.nlm.nih.gov/protein/AMQ19571.1?report=genbank&amp;log$=prottop&amp;blast_rank=181&amp;RID=41BATMMA013","AMQ19571.1")</f>
        <v>AMQ19571.1</v>
      </c>
      <c r="G389" s="150"/>
    </row>
    <row r="390" spans="1:7" s="115" customFormat="1" ht="18" x14ac:dyDescent="0.25">
      <c r="A390" s="145" t="s">
        <v>356</v>
      </c>
      <c r="B390" s="146" t="s">
        <v>357</v>
      </c>
      <c r="C390" s="147">
        <v>9.9999999999999993E-89</v>
      </c>
      <c r="D390" s="148">
        <v>39.43</v>
      </c>
      <c r="E390" s="148">
        <v>558</v>
      </c>
      <c r="F390" s="149" t="str">
        <f>HYPERLINK("https://www.ncbi.nlm.nih.gov/protein/ACS33353.1?report=genbank&amp;log$=prottop&amp;blast_rank=179&amp;RID=41BATMMA013","ACS33353.1")</f>
        <v>ACS33353.1</v>
      </c>
      <c r="G390" s="150"/>
    </row>
    <row r="391" spans="1:7" s="115" customFormat="1" ht="18" x14ac:dyDescent="0.25">
      <c r="A391" s="145" t="s">
        <v>358</v>
      </c>
      <c r="B391" s="146" t="s">
        <v>359</v>
      </c>
      <c r="C391" s="147">
        <v>1E-84</v>
      </c>
      <c r="D391" s="148">
        <v>35.65</v>
      </c>
      <c r="E391" s="148">
        <v>571</v>
      </c>
      <c r="F391" s="149" t="str">
        <f>HYPERLINK("https://www.ncbi.nlm.nih.gov/protein/ASJ08711.1?report=genbank&amp;log$=prottop&amp;blast_rank=198&amp;RID=41BATMMA013","ASJ08711.1")</f>
        <v>ASJ08711.1</v>
      </c>
      <c r="G391" s="150"/>
    </row>
    <row r="392" spans="1:7" s="115" customFormat="1" ht="18" x14ac:dyDescent="0.25">
      <c r="A392" s="151" t="s">
        <v>360</v>
      </c>
      <c r="B392" s="152" t="s">
        <v>361</v>
      </c>
      <c r="C392" s="153">
        <v>4.0000000000000002E-56</v>
      </c>
      <c r="D392" s="154">
        <v>34.770000000000003</v>
      </c>
      <c r="E392" s="154">
        <v>581</v>
      </c>
      <c r="F392" s="155" t="str">
        <f>HYPERLINK("https://www.ncbi.nlm.nih.gov/protein/BBL62900.1?report=genbank&amp;log$=prottop&amp;blast_rank=451&amp;RID=41BATMMA013","BBL62900.1")</f>
        <v>BBL62900.1</v>
      </c>
      <c r="G392" s="156"/>
    </row>
    <row r="393" spans="1:7" s="115" customFormat="1" x14ac:dyDescent="0.25">
      <c r="A393" s="117"/>
      <c r="B393" s="117"/>
      <c r="C393" s="117"/>
      <c r="D393" s="117"/>
      <c r="E393" s="117"/>
      <c r="F393" s="118"/>
      <c r="G393" s="117"/>
    </row>
    <row r="394" spans="1:7" s="115" customFormat="1" x14ac:dyDescent="0.25">
      <c r="A394" s="181" t="s">
        <v>362</v>
      </c>
      <c r="B394" s="182"/>
      <c r="C394" s="182"/>
      <c r="D394" s="182"/>
      <c r="E394" s="182"/>
      <c r="F394" s="183"/>
      <c r="G394" s="184"/>
    </row>
    <row r="395" spans="1:7" s="115" customFormat="1" ht="18" x14ac:dyDescent="0.25">
      <c r="A395" s="157" t="s">
        <v>363</v>
      </c>
      <c r="B395" s="158" t="s">
        <v>364</v>
      </c>
      <c r="C395" s="159">
        <v>4.0000000000000002E-172</v>
      </c>
      <c r="D395" s="160">
        <v>55.66</v>
      </c>
      <c r="E395" s="160">
        <v>441</v>
      </c>
      <c r="F395" s="161" t="str">
        <f>HYPERLINK("https://www.ncbi.nlm.nih.gov/protein/RLE42515.1?report=genbank&amp;log$=prottop&amp;blast_rank=1&amp;RID=41BEF8WA013","RLE42515.1")</f>
        <v>RLE42515.1</v>
      </c>
      <c r="G395" s="162"/>
    </row>
    <row r="396" spans="1:7" s="115" customFormat="1" ht="18" x14ac:dyDescent="0.25">
      <c r="A396" s="157" t="s">
        <v>365</v>
      </c>
      <c r="B396" s="158" t="s">
        <v>366</v>
      </c>
      <c r="C396" s="159">
        <v>3.0000000000000002E-90</v>
      </c>
      <c r="D396" s="160">
        <v>40</v>
      </c>
      <c r="E396" s="160">
        <v>447</v>
      </c>
      <c r="F396" s="161" t="str">
        <f>HYPERLINK("https://www.ncbi.nlm.nih.gov/protein/MCD6523049.1?report=genbank&amp;log$=prottop&amp;blast_rank=31&amp;RID=41BEF8WA013","MCD6523049.1")</f>
        <v>MCD6523049.1</v>
      </c>
      <c r="G396" s="162"/>
    </row>
    <row r="397" spans="1:7" s="115" customFormat="1" ht="18" x14ac:dyDescent="0.25">
      <c r="A397" s="157" t="s">
        <v>367</v>
      </c>
      <c r="B397" s="158" t="s">
        <v>368</v>
      </c>
      <c r="C397" s="159">
        <v>3.9999999999999999E-131</v>
      </c>
      <c r="D397" s="160">
        <v>48.9</v>
      </c>
      <c r="E397" s="160">
        <v>463</v>
      </c>
      <c r="F397" s="161" t="str">
        <f>HYPERLINK("https://www.ncbi.nlm.nih.gov/protein/MCS7106140.1?report=genbank&amp;log$=prottop&amp;blast_rank=10&amp;RID=41BEF8WA013","MCS7106140.1")</f>
        <v>MCS7106140.1</v>
      </c>
      <c r="G397" s="162"/>
    </row>
    <row r="398" spans="1:7" s="115" customFormat="1" ht="18" x14ac:dyDescent="0.25">
      <c r="A398" s="157" t="s">
        <v>367</v>
      </c>
      <c r="B398" s="158" t="s">
        <v>368</v>
      </c>
      <c r="C398" s="159">
        <v>1E-135</v>
      </c>
      <c r="D398" s="160">
        <v>48.85</v>
      </c>
      <c r="E398" s="160">
        <v>465</v>
      </c>
      <c r="F398" s="161" t="str">
        <f>HYPERLINK("https://www.ncbi.nlm.nih.gov/protein/MCD6093055.1?report=genbank&amp;log$=prottop&amp;blast_rank=8&amp;RID=41BEF8WA013","MCD6093055.1")</f>
        <v>MCD6093055.1</v>
      </c>
      <c r="G398" s="162"/>
    </row>
    <row r="399" spans="1:7" s="115" customFormat="1" ht="18" x14ac:dyDescent="0.25">
      <c r="A399" s="157" t="s">
        <v>365</v>
      </c>
      <c r="B399" s="158" t="s">
        <v>366</v>
      </c>
      <c r="C399" s="159">
        <v>9.999999999999999E-94</v>
      </c>
      <c r="D399" s="160">
        <v>40.92</v>
      </c>
      <c r="E399" s="160">
        <v>469</v>
      </c>
      <c r="F399" s="161" t="str">
        <f>HYPERLINK("https://www.ncbi.nlm.nih.gov/protein/MCD6414958.1?report=genbank&amp;log$=prottop&amp;blast_rank=29&amp;RID=41BEF8WA013","MCD6414958.1")</f>
        <v>MCD6414958.1</v>
      </c>
      <c r="G399" s="162"/>
    </row>
    <row r="400" spans="1:7" ht="18" x14ac:dyDescent="0.25">
      <c r="A400" s="157" t="s">
        <v>369</v>
      </c>
      <c r="B400" s="158" t="s">
        <v>368</v>
      </c>
      <c r="C400" s="159">
        <v>5.9999999999999996E-137</v>
      </c>
      <c r="D400" s="160">
        <v>49.26</v>
      </c>
      <c r="E400" s="160">
        <v>473</v>
      </c>
      <c r="F400" s="161" t="str">
        <f>HYPERLINK("https://www.ncbi.nlm.nih.gov/protein/RLJ05276.1?report=genbank&amp;log$=prottop&amp;blast_rank=6&amp;RID=41BEF8WA013","RLJ05276.1")</f>
        <v>RLJ05276.1</v>
      </c>
      <c r="G400" s="162"/>
    </row>
    <row r="401" spans="1:7" ht="18" x14ac:dyDescent="0.25">
      <c r="A401" s="157" t="s">
        <v>365</v>
      </c>
      <c r="B401" s="158" t="s">
        <v>366</v>
      </c>
      <c r="C401" s="159">
        <v>8.0000000000000003E-156</v>
      </c>
      <c r="D401" s="160">
        <v>51.52</v>
      </c>
      <c r="E401" s="160">
        <v>474</v>
      </c>
      <c r="F401" s="161" t="str">
        <f>HYPERLINK("https://www.ncbi.nlm.nih.gov/protein/MCD6247428.1?report=genbank&amp;log$=prottop&amp;blast_rank=2&amp;RID=41BEF8WA013","MCD6247428.1")</f>
        <v>MCD6247428.1</v>
      </c>
      <c r="G401" s="162"/>
    </row>
    <row r="402" spans="1:7" s="115" customFormat="1" ht="18" x14ac:dyDescent="0.25">
      <c r="A402" s="157" t="s">
        <v>365</v>
      </c>
      <c r="B402" s="158" t="s">
        <v>366</v>
      </c>
      <c r="C402" s="159">
        <v>6E-153</v>
      </c>
      <c r="D402" s="160">
        <v>50.33</v>
      </c>
      <c r="E402" s="160">
        <v>474</v>
      </c>
      <c r="F402" s="161" t="str">
        <f>HYPERLINK("https://www.ncbi.nlm.nih.gov/protein/MCD6478906.1?report=genbank&amp;log$=prottop&amp;blast_rank=3&amp;RID=41BEF8WA013","MCD6478906.1")</f>
        <v>MCD6478906.1</v>
      </c>
      <c r="G402" s="162"/>
    </row>
    <row r="403" spans="1:7" s="115" customFormat="1" ht="18" x14ac:dyDescent="0.25">
      <c r="A403" s="157" t="s">
        <v>367</v>
      </c>
      <c r="B403" s="158" t="s">
        <v>368</v>
      </c>
      <c r="C403" s="159">
        <v>6.9999999999999997E-120</v>
      </c>
      <c r="D403" s="160">
        <v>45.99</v>
      </c>
      <c r="E403" s="160">
        <v>474</v>
      </c>
      <c r="F403" s="161" t="str">
        <f>HYPERLINK("https://www.ncbi.nlm.nih.gov/protein/UCD07453.1?report=genbank&amp;log$=prottop&amp;blast_rank=15&amp;RID=41BEF8WA013","UCD07453.1")</f>
        <v>UCD07453.1</v>
      </c>
      <c r="G403" s="162"/>
    </row>
    <row r="404" spans="1:7" s="115" customFormat="1" ht="18" x14ac:dyDescent="0.25">
      <c r="A404" s="157" t="s">
        <v>369</v>
      </c>
      <c r="B404" s="158" t="s">
        <v>368</v>
      </c>
      <c r="C404" s="159">
        <v>1E-119</v>
      </c>
      <c r="D404" s="160">
        <v>43.16</v>
      </c>
      <c r="E404" s="160">
        <v>475</v>
      </c>
      <c r="F404" s="161" t="str">
        <f>HYPERLINK("https://www.ncbi.nlm.nih.gov/protein/RLJ00028.1?report=genbank&amp;log$=prottop&amp;blast_rank=16&amp;RID=41BEF8WA013","RLJ00028.1")</f>
        <v>RLJ00028.1</v>
      </c>
      <c r="G404" s="162"/>
    </row>
    <row r="405" spans="1:7" s="115" customFormat="1" ht="18" x14ac:dyDescent="0.25">
      <c r="A405" s="157" t="s">
        <v>369</v>
      </c>
      <c r="B405" s="158" t="s">
        <v>368</v>
      </c>
      <c r="C405" s="159">
        <v>3.0000000000000001E-112</v>
      </c>
      <c r="D405" s="160">
        <v>44.67</v>
      </c>
      <c r="E405" s="160">
        <v>475</v>
      </c>
      <c r="F405" s="161" t="str">
        <f>HYPERLINK("https://www.ncbi.nlm.nih.gov/protein/RLJ07172.1?report=genbank&amp;log$=prottop&amp;blast_rank=23&amp;RID=41BEF8WA013","RLJ07172.1")</f>
        <v>RLJ07172.1</v>
      </c>
      <c r="G405" s="162"/>
    </row>
    <row r="406" spans="1:7" s="115" customFormat="1" ht="18" x14ac:dyDescent="0.25">
      <c r="A406" s="157" t="s">
        <v>370</v>
      </c>
      <c r="B406" s="158" t="s">
        <v>368</v>
      </c>
      <c r="C406" s="159">
        <v>3.9999999999999999E-121</v>
      </c>
      <c r="D406" s="160">
        <v>44.04</v>
      </c>
      <c r="E406" s="160">
        <v>476</v>
      </c>
      <c r="F406" s="161" t="str">
        <f>HYPERLINK("https://www.ncbi.nlm.nih.gov/protein/HDD71565.1?report=genbank&amp;log$=prottop&amp;blast_rank=14&amp;RID=41BEF8WA013","HDD71565.1")</f>
        <v>HDD71565.1</v>
      </c>
      <c r="G406" s="162"/>
    </row>
    <row r="407" spans="1:7" s="115" customFormat="1" ht="18" x14ac:dyDescent="0.25">
      <c r="A407" s="157" t="s">
        <v>367</v>
      </c>
      <c r="B407" s="158" t="s">
        <v>368</v>
      </c>
      <c r="C407" s="159">
        <v>2.9999999999999999E-145</v>
      </c>
      <c r="D407" s="160">
        <v>48.64</v>
      </c>
      <c r="E407" s="160">
        <v>478</v>
      </c>
      <c r="F407" s="161" t="str">
        <f>HYPERLINK("https://www.ncbi.nlm.nih.gov/protein/MCD6477678.1?report=genbank&amp;log$=prottop&amp;blast_rank=4&amp;RID=41BEF8WA013","MCD6477678.1")</f>
        <v>MCD6477678.1</v>
      </c>
      <c r="G407" s="162"/>
    </row>
    <row r="408" spans="1:7" s="115" customFormat="1" ht="18" x14ac:dyDescent="0.25">
      <c r="A408" s="157" t="s">
        <v>367</v>
      </c>
      <c r="B408" s="158" t="s">
        <v>368</v>
      </c>
      <c r="C408" s="159">
        <v>5.9999999999999998E-117</v>
      </c>
      <c r="D408" s="160">
        <v>44.01</v>
      </c>
      <c r="E408" s="160">
        <v>481</v>
      </c>
      <c r="F408" s="161" t="str">
        <f>HYPERLINK("https://www.ncbi.nlm.nih.gov/protein/MCD6381814.1?report=genbank&amp;log$=prottop&amp;blast_rank=18&amp;RID=41BEF8WA013","MCD6381814.1")</f>
        <v>MCD6381814.1</v>
      </c>
      <c r="G408" s="162"/>
    </row>
    <row r="409" spans="1:7" s="115" customFormat="1" ht="18" x14ac:dyDescent="0.25">
      <c r="A409" s="157" t="s">
        <v>369</v>
      </c>
      <c r="B409" s="158" t="s">
        <v>368</v>
      </c>
      <c r="C409" s="159">
        <v>1E-108</v>
      </c>
      <c r="D409" s="160">
        <v>46.79</v>
      </c>
      <c r="E409" s="160">
        <v>481</v>
      </c>
      <c r="F409" s="161" t="str">
        <f>HYPERLINK("https://www.ncbi.nlm.nih.gov/protein/RLJ05544.1?report=genbank&amp;log$=prottop&amp;blast_rank=26&amp;RID=41BEF8WA013","RLJ05544.1")</f>
        <v>RLJ05544.1</v>
      </c>
      <c r="G409" s="162"/>
    </row>
    <row r="410" spans="1:7" s="115" customFormat="1" ht="18" x14ac:dyDescent="0.25">
      <c r="A410" s="157" t="s">
        <v>367</v>
      </c>
      <c r="B410" s="158" t="s">
        <v>368</v>
      </c>
      <c r="C410" s="159">
        <v>1E-100</v>
      </c>
      <c r="D410" s="160">
        <v>43.04</v>
      </c>
      <c r="E410" s="160">
        <v>481</v>
      </c>
      <c r="F410" s="161" t="str">
        <f>HYPERLINK("https://www.ncbi.nlm.nih.gov/protein/MCD6367624.1?report=genbank&amp;log$=prottop&amp;blast_rank=28&amp;RID=41BEF8WA013","MCD6367624.1")</f>
        <v>MCD6367624.1</v>
      </c>
      <c r="G410" s="162"/>
    </row>
    <row r="411" spans="1:7" s="115" customFormat="1" ht="18" x14ac:dyDescent="0.25">
      <c r="A411" s="157" t="s">
        <v>371</v>
      </c>
      <c r="B411" s="158" t="s">
        <v>364</v>
      </c>
      <c r="C411" s="159">
        <v>3.0000000000000002E-90</v>
      </c>
      <c r="D411" s="160">
        <v>38.03</v>
      </c>
      <c r="E411" s="160">
        <v>481</v>
      </c>
      <c r="F411" s="161" t="str">
        <f>HYPERLINK("https://www.ncbi.nlm.nih.gov/protein/UCD04169.1?report=genbank&amp;log$=prottop&amp;blast_rank=30&amp;RID=41BEF8WA013","UCD04169.1")</f>
        <v>UCD04169.1</v>
      </c>
      <c r="G411" s="162"/>
    </row>
    <row r="412" spans="1:7" s="115" customFormat="1" ht="18" x14ac:dyDescent="0.25">
      <c r="A412" s="157" t="s">
        <v>372</v>
      </c>
      <c r="B412" s="158" t="s">
        <v>373</v>
      </c>
      <c r="C412" s="159">
        <v>6.0000000000000002E-111</v>
      </c>
      <c r="D412" s="160">
        <v>42.17</v>
      </c>
      <c r="E412" s="160">
        <v>483</v>
      </c>
      <c r="F412" s="161" t="str">
        <f>HYPERLINK("https://www.ncbi.nlm.nih.gov/protein/RLG21458.1?report=genbank&amp;log$=prottop&amp;blast_rank=24&amp;RID=41BEF8WA013","RLG21458.1")</f>
        <v>RLG21458.1</v>
      </c>
      <c r="G412" s="162"/>
    </row>
    <row r="413" spans="1:7" s="115" customFormat="1" ht="18" x14ac:dyDescent="0.25">
      <c r="A413" s="157" t="s">
        <v>367</v>
      </c>
      <c r="B413" s="158" t="s">
        <v>368</v>
      </c>
      <c r="C413" s="159">
        <v>7.0000000000000003E-122</v>
      </c>
      <c r="D413" s="160">
        <v>44.16</v>
      </c>
      <c r="E413" s="160">
        <v>484</v>
      </c>
      <c r="F413" s="161" t="str">
        <f>HYPERLINK("https://www.ncbi.nlm.nih.gov/protein/NIO44659.1?report=genbank&amp;log$=prottop&amp;blast_rank=12&amp;RID=41BEF8WA013","NIO44659.1")</f>
        <v>NIO44659.1</v>
      </c>
      <c r="G413" s="162"/>
    </row>
    <row r="414" spans="1:7" s="115" customFormat="1" ht="18" x14ac:dyDescent="0.25">
      <c r="A414" s="157" t="s">
        <v>365</v>
      </c>
      <c r="B414" s="158" t="s">
        <v>366</v>
      </c>
      <c r="C414" s="159">
        <v>4.0000000000000001E-119</v>
      </c>
      <c r="D414" s="160">
        <v>45.49</v>
      </c>
      <c r="E414" s="160">
        <v>484</v>
      </c>
      <c r="F414" s="161" t="str">
        <f>HYPERLINK("https://www.ncbi.nlm.nih.gov/protein/MCD6246962.1?report=genbank&amp;log$=prottop&amp;blast_rank=17&amp;RID=41BEF8WA013","MCD6246962.1")</f>
        <v>MCD6246962.1</v>
      </c>
      <c r="G414" s="162"/>
    </row>
    <row r="415" spans="1:7" s="115" customFormat="1" ht="18" x14ac:dyDescent="0.25">
      <c r="A415" s="157" t="s">
        <v>370</v>
      </c>
      <c r="B415" s="158" t="s">
        <v>368</v>
      </c>
      <c r="C415" s="159">
        <v>4.0000000000000002E-122</v>
      </c>
      <c r="D415" s="160">
        <v>45.71</v>
      </c>
      <c r="E415" s="160">
        <v>485</v>
      </c>
      <c r="F415" s="161" t="str">
        <f>HYPERLINK("https://www.ncbi.nlm.nih.gov/protein/HDM05913.1?report=genbank&amp;log$=prottop&amp;blast_rank=11&amp;RID=41BEF8WA013","HDM05913.1")</f>
        <v>HDM05913.1</v>
      </c>
      <c r="G415" s="162"/>
    </row>
    <row r="416" spans="1:7" s="115" customFormat="1" ht="18" x14ac:dyDescent="0.25">
      <c r="A416" s="157" t="s">
        <v>367</v>
      </c>
      <c r="B416" s="158" t="s">
        <v>368</v>
      </c>
      <c r="C416" s="159">
        <v>6.9999999999999997E-117</v>
      </c>
      <c r="D416" s="160">
        <v>45.77</v>
      </c>
      <c r="E416" s="160">
        <v>494</v>
      </c>
      <c r="F416" s="161" t="str">
        <f>HYPERLINK("https://www.ncbi.nlm.nih.gov/protein/MCD6590597.1?report=genbank&amp;log$=prottop&amp;blast_rank=19&amp;RID=41BEF8WA013","MCD6590597.1")</f>
        <v>MCD6590597.1</v>
      </c>
      <c r="G416" s="162"/>
    </row>
    <row r="417" spans="1:7" s="115" customFormat="1" ht="18" x14ac:dyDescent="0.25">
      <c r="A417" s="157" t="s">
        <v>367</v>
      </c>
      <c r="B417" s="158" t="s">
        <v>368</v>
      </c>
      <c r="C417" s="159">
        <v>1.9999999999999999E-112</v>
      </c>
      <c r="D417" s="160">
        <v>42.36</v>
      </c>
      <c r="E417" s="160">
        <v>496</v>
      </c>
      <c r="F417" s="161" t="str">
        <f>HYPERLINK("https://www.ncbi.nlm.nih.gov/protein/NIO19737.1?report=genbank&amp;log$=prottop&amp;blast_rank=22&amp;RID=41BEF8WA013","NIO19737.1")</f>
        <v>NIO19737.1</v>
      </c>
      <c r="G417" s="162"/>
    </row>
    <row r="418" spans="1:7" s="115" customFormat="1" ht="18" x14ac:dyDescent="0.25">
      <c r="A418" s="157" t="s">
        <v>367</v>
      </c>
      <c r="B418" s="158" t="s">
        <v>368</v>
      </c>
      <c r="C418" s="159">
        <v>2.0000000000000001E-110</v>
      </c>
      <c r="D418" s="160">
        <v>42.04</v>
      </c>
      <c r="E418" s="160">
        <v>496</v>
      </c>
      <c r="F418" s="161" t="str">
        <f>HYPERLINK("https://www.ncbi.nlm.nih.gov/protein/NIO22693.1?report=genbank&amp;log$=prottop&amp;blast_rank=25&amp;RID=41BEF8WA013","NIO22693.1")</f>
        <v>NIO22693.1</v>
      </c>
      <c r="G418" s="162"/>
    </row>
    <row r="419" spans="1:7" s="115" customFormat="1" ht="18" x14ac:dyDescent="0.25">
      <c r="A419" s="157" t="s">
        <v>365</v>
      </c>
      <c r="B419" s="158" t="s">
        <v>366</v>
      </c>
      <c r="C419" s="159">
        <v>8.0000000000000003E-108</v>
      </c>
      <c r="D419" s="160">
        <v>44.09</v>
      </c>
      <c r="E419" s="160">
        <v>501</v>
      </c>
      <c r="F419" s="161" t="str">
        <f>HYPERLINK("https://www.ncbi.nlm.nih.gov/protein/MCD6434517.1?report=genbank&amp;log$=prottop&amp;blast_rank=27&amp;RID=41BEF8WA013","MCD6434517.1")</f>
        <v>MCD6434517.1</v>
      </c>
      <c r="G419" s="162"/>
    </row>
    <row r="420" spans="1:7" s="115" customFormat="1" ht="18" x14ac:dyDescent="0.25">
      <c r="A420" s="157" t="s">
        <v>367</v>
      </c>
      <c r="B420" s="158" t="s">
        <v>368</v>
      </c>
      <c r="C420" s="159">
        <v>5.0000000000000003E-116</v>
      </c>
      <c r="D420" s="160">
        <v>41.97</v>
      </c>
      <c r="E420" s="160">
        <v>509</v>
      </c>
      <c r="F420" s="161" t="str">
        <f>HYPERLINK("https://www.ncbi.nlm.nih.gov/protein/MBM3303890.1?report=genbank&amp;log$=prottop&amp;blast_rank=20&amp;RID=41BEF8WA013","MBM3303890.1")</f>
        <v>MBM3303890.1</v>
      </c>
      <c r="G420" s="162"/>
    </row>
    <row r="421" spans="1:7" s="115" customFormat="1" ht="18" x14ac:dyDescent="0.25">
      <c r="A421" s="157" t="s">
        <v>374</v>
      </c>
      <c r="B421" s="158" t="s">
        <v>375</v>
      </c>
      <c r="C421" s="159">
        <v>7.0000000000000004E-115</v>
      </c>
      <c r="D421" s="160">
        <v>45.3</v>
      </c>
      <c r="E421" s="160">
        <v>518</v>
      </c>
      <c r="F421" s="161" t="str">
        <f>HYPERLINK("https://www.ncbi.nlm.nih.gov/protein/OYT35885.1?report=genbank&amp;log$=prottop&amp;blast_rank=21&amp;RID=41BEF8WA013","OYT35885.1")</f>
        <v>OYT35885.1</v>
      </c>
      <c r="G421" s="162"/>
    </row>
    <row r="422" spans="1:7" s="115" customFormat="1" ht="18" x14ac:dyDescent="0.25">
      <c r="A422" s="163" t="s">
        <v>367</v>
      </c>
      <c r="B422" s="164" t="s">
        <v>368</v>
      </c>
      <c r="C422" s="165">
        <v>3.0000000000000002E-77</v>
      </c>
      <c r="D422" s="166">
        <v>42.52</v>
      </c>
      <c r="E422" s="166">
        <v>965</v>
      </c>
      <c r="F422" s="167" t="str">
        <f>HYPERLINK("https://www.ncbi.nlm.nih.gov/protein/MBI5332363.1?report=genbank&amp;log$=prottop&amp;blast_rank=33&amp;RID=41BEF8WA013","MBI5332363.1")</f>
        <v>MBI5332363.1</v>
      </c>
      <c r="G422" s="168"/>
    </row>
    <row r="423" spans="1:7" s="115" customFormat="1" x14ac:dyDescent="0.25">
      <c r="A423" s="117"/>
      <c r="B423" s="117"/>
      <c r="C423" s="117"/>
      <c r="D423" s="117"/>
      <c r="E423" s="117"/>
      <c r="F423" s="118"/>
      <c r="G423" s="117"/>
    </row>
    <row r="424" spans="1:7" s="116" customFormat="1" x14ac:dyDescent="0.25">
      <c r="A424" s="117"/>
      <c r="B424" s="117"/>
      <c r="C424" s="117"/>
      <c r="D424" s="117"/>
      <c r="E424" s="117"/>
      <c r="F424" s="118"/>
      <c r="G424" s="117"/>
    </row>
    <row r="425" spans="1:7" s="115" customFormat="1" x14ac:dyDescent="0.25">
      <c r="A425" s="117"/>
      <c r="B425" s="117"/>
      <c r="C425" s="117"/>
      <c r="D425" s="117"/>
      <c r="E425" s="117"/>
      <c r="F425" s="118"/>
      <c r="G425" s="117"/>
    </row>
    <row r="426" spans="1:7" s="115" customFormat="1" x14ac:dyDescent="0.25">
      <c r="A426" s="117"/>
      <c r="B426" s="117"/>
      <c r="C426" s="117"/>
      <c r="D426" s="117"/>
      <c r="E426" s="117"/>
      <c r="F426" s="118"/>
      <c r="G426" s="117"/>
    </row>
    <row r="427" spans="1:7" s="115" customFormat="1" x14ac:dyDescent="0.25">
      <c r="A427" s="117"/>
      <c r="B427" s="117"/>
      <c r="C427" s="117"/>
      <c r="D427" s="117"/>
      <c r="E427" s="117"/>
      <c r="F427" s="118"/>
      <c r="G427" s="117"/>
    </row>
    <row r="428" spans="1:7" s="115" customFormat="1" x14ac:dyDescent="0.25">
      <c r="A428" s="117"/>
      <c r="B428" s="117"/>
      <c r="C428" s="117"/>
      <c r="D428" s="117"/>
      <c r="E428" s="117"/>
      <c r="F428" s="118"/>
      <c r="G428" s="117"/>
    </row>
    <row r="429" spans="1:7" s="115" customFormat="1" x14ac:dyDescent="0.25">
      <c r="A429" s="117"/>
      <c r="B429" s="117"/>
      <c r="C429" s="117"/>
      <c r="D429" s="117"/>
      <c r="E429" s="117"/>
      <c r="F429" s="118"/>
      <c r="G429" s="117"/>
    </row>
    <row r="430" spans="1:7" s="115" customFormat="1" x14ac:dyDescent="0.25">
      <c r="A430" s="117"/>
      <c r="B430" s="117"/>
      <c r="C430" s="117"/>
      <c r="D430" s="117"/>
      <c r="E430" s="117"/>
      <c r="F430" s="118"/>
      <c r="G430" s="117"/>
    </row>
    <row r="431" spans="1:7" s="115" customFormat="1" x14ac:dyDescent="0.25">
      <c r="A431" s="117"/>
      <c r="B431" s="117"/>
      <c r="C431" s="117"/>
      <c r="D431" s="117"/>
      <c r="E431" s="117"/>
      <c r="F431" s="118"/>
      <c r="G431" s="117"/>
    </row>
    <row r="432" spans="1:7" s="115" customFormat="1" x14ac:dyDescent="0.25">
      <c r="A432" s="117"/>
      <c r="B432" s="117"/>
      <c r="C432" s="117"/>
      <c r="D432" s="117"/>
      <c r="E432" s="117"/>
      <c r="F432" s="118"/>
      <c r="G432" s="117"/>
    </row>
    <row r="433" spans="1:7" s="115" customFormat="1" x14ac:dyDescent="0.25">
      <c r="A433" s="117"/>
      <c r="B433" s="117"/>
      <c r="C433" s="117"/>
      <c r="D433" s="117"/>
      <c r="E433" s="117"/>
      <c r="F433" s="118"/>
      <c r="G433" s="117"/>
    </row>
    <row r="434" spans="1:7" s="115" customFormat="1" x14ac:dyDescent="0.25">
      <c r="A434" s="117"/>
      <c r="B434" s="117"/>
      <c r="C434" s="117"/>
      <c r="D434" s="117"/>
      <c r="E434" s="117"/>
      <c r="F434" s="118"/>
      <c r="G434" s="117"/>
    </row>
    <row r="435" spans="1:7" s="115" customFormat="1" x14ac:dyDescent="0.25">
      <c r="A435" s="117"/>
      <c r="B435" s="117"/>
      <c r="C435" s="117"/>
      <c r="D435" s="117"/>
      <c r="E435" s="117"/>
      <c r="F435" s="118"/>
      <c r="G435" s="117"/>
    </row>
    <row r="436" spans="1:7" s="115" customFormat="1" x14ac:dyDescent="0.25">
      <c r="A436" s="117"/>
      <c r="B436" s="117"/>
      <c r="C436" s="117"/>
      <c r="D436" s="117"/>
      <c r="E436" s="117"/>
      <c r="F436" s="118"/>
      <c r="G436" s="117"/>
    </row>
    <row r="437" spans="1:7" s="115" customFormat="1" x14ac:dyDescent="0.25">
      <c r="A437" s="117"/>
      <c r="B437" s="117"/>
      <c r="C437" s="117"/>
      <c r="D437" s="117"/>
      <c r="E437" s="117"/>
      <c r="F437" s="118"/>
      <c r="G437" s="117"/>
    </row>
    <row r="438" spans="1:7" s="115" customFormat="1" x14ac:dyDescent="0.25">
      <c r="A438" s="117"/>
      <c r="B438" s="117"/>
      <c r="C438" s="117"/>
      <c r="D438" s="117"/>
      <c r="E438" s="117"/>
      <c r="F438" s="118"/>
      <c r="G438" s="117"/>
    </row>
    <row r="439" spans="1:7" s="115" customFormat="1" x14ac:dyDescent="0.25">
      <c r="A439" s="117"/>
      <c r="B439" s="117"/>
      <c r="C439" s="117"/>
      <c r="D439" s="117"/>
      <c r="E439" s="117"/>
      <c r="F439" s="118"/>
      <c r="G439" s="117"/>
    </row>
    <row r="440" spans="1:7" s="115" customFormat="1" x14ac:dyDescent="0.25">
      <c r="A440" s="117"/>
      <c r="B440" s="117"/>
      <c r="C440" s="117"/>
      <c r="D440" s="117"/>
      <c r="E440" s="117"/>
      <c r="F440" s="118"/>
      <c r="G440" s="117"/>
    </row>
    <row r="441" spans="1:7" s="115" customFormat="1" x14ac:dyDescent="0.25">
      <c r="A441" s="117"/>
      <c r="B441" s="117"/>
      <c r="C441" s="117"/>
      <c r="D441" s="117"/>
      <c r="E441" s="117"/>
      <c r="F441" s="118"/>
      <c r="G441" s="117"/>
    </row>
    <row r="442" spans="1:7" s="115" customFormat="1" x14ac:dyDescent="0.25">
      <c r="A442" s="117"/>
      <c r="B442" s="117"/>
      <c r="C442" s="117"/>
      <c r="D442" s="117"/>
      <c r="E442" s="117"/>
      <c r="F442" s="118"/>
      <c r="G442" s="117"/>
    </row>
    <row r="443" spans="1:7" s="115" customFormat="1" x14ac:dyDescent="0.25">
      <c r="A443" s="117"/>
      <c r="B443" s="117"/>
      <c r="C443" s="117"/>
      <c r="D443" s="117"/>
      <c r="E443" s="117"/>
      <c r="F443" s="118"/>
      <c r="G443" s="117"/>
    </row>
    <row r="444" spans="1:7" s="115" customFormat="1" x14ac:dyDescent="0.25">
      <c r="A444" s="117"/>
      <c r="B444" s="117"/>
      <c r="C444" s="117"/>
      <c r="D444" s="117"/>
      <c r="E444" s="117"/>
      <c r="F444" s="118"/>
      <c r="G444" s="117"/>
    </row>
    <row r="445" spans="1:7" s="115" customFormat="1" x14ac:dyDescent="0.25">
      <c r="A445" s="117"/>
      <c r="B445" s="117"/>
      <c r="C445" s="117"/>
      <c r="D445" s="117"/>
      <c r="E445" s="117"/>
      <c r="F445" s="118"/>
      <c r="G445" s="117"/>
    </row>
    <row r="446" spans="1:7" s="115" customFormat="1" x14ac:dyDescent="0.25">
      <c r="A446" s="117"/>
      <c r="B446" s="117"/>
      <c r="C446" s="117"/>
      <c r="D446" s="117"/>
      <c r="E446" s="117"/>
      <c r="F446" s="118"/>
      <c r="G446" s="117"/>
    </row>
    <row r="447" spans="1:7" s="115" customFormat="1" x14ac:dyDescent="0.25">
      <c r="A447" s="117"/>
      <c r="B447" s="117"/>
      <c r="C447" s="117"/>
      <c r="D447" s="117"/>
      <c r="E447" s="117"/>
      <c r="F447" s="118"/>
      <c r="G447" s="117"/>
    </row>
    <row r="448" spans="1:7" s="115" customFormat="1" x14ac:dyDescent="0.25">
      <c r="A448" s="117"/>
      <c r="B448" s="117"/>
      <c r="C448" s="117"/>
      <c r="D448" s="117"/>
      <c r="E448" s="117"/>
      <c r="F448" s="118"/>
      <c r="G448" s="117"/>
    </row>
    <row r="449" spans="1:7" s="115" customFormat="1" x14ac:dyDescent="0.25">
      <c r="A449" s="117"/>
      <c r="B449" s="117"/>
      <c r="C449" s="117"/>
      <c r="D449" s="117"/>
      <c r="E449" s="117"/>
      <c r="F449" s="118"/>
      <c r="G449" s="117"/>
    </row>
    <row r="450" spans="1:7" s="115" customFormat="1" x14ac:dyDescent="0.25">
      <c r="A450" s="117"/>
      <c r="B450" s="117"/>
      <c r="C450" s="117"/>
      <c r="D450" s="117"/>
      <c r="E450" s="117"/>
      <c r="F450" s="118"/>
      <c r="G450" s="117"/>
    </row>
    <row r="451" spans="1:7" s="115" customFormat="1" x14ac:dyDescent="0.25">
      <c r="A451" s="117"/>
      <c r="B451" s="117"/>
      <c r="C451" s="117"/>
      <c r="D451" s="117"/>
      <c r="E451" s="117"/>
      <c r="F451" s="118"/>
      <c r="G451" s="117"/>
    </row>
    <row r="452" spans="1:7" s="115" customFormat="1" x14ac:dyDescent="0.25">
      <c r="A452" s="117"/>
      <c r="B452" s="117"/>
      <c r="C452" s="117"/>
      <c r="D452" s="117"/>
      <c r="E452" s="117"/>
      <c r="F452" s="118"/>
      <c r="G452" s="117"/>
    </row>
    <row r="453" spans="1:7" s="115" customFormat="1" x14ac:dyDescent="0.25">
      <c r="A453" s="117"/>
      <c r="B453" s="117"/>
      <c r="C453" s="117"/>
      <c r="D453" s="117"/>
      <c r="E453" s="117"/>
      <c r="F453" s="118"/>
      <c r="G453" s="117"/>
    </row>
    <row r="454" spans="1:7" s="115" customFormat="1" x14ac:dyDescent="0.25">
      <c r="A454" s="117"/>
      <c r="B454" s="117"/>
      <c r="C454" s="117"/>
      <c r="D454" s="117"/>
      <c r="E454" s="117"/>
      <c r="F454" s="118"/>
      <c r="G454" s="117"/>
    </row>
    <row r="455" spans="1:7" s="115" customFormat="1" x14ac:dyDescent="0.25">
      <c r="A455" s="117"/>
      <c r="B455" s="117"/>
      <c r="C455" s="117"/>
      <c r="D455" s="117"/>
      <c r="E455" s="117"/>
      <c r="F455" s="118"/>
      <c r="G455" s="117"/>
    </row>
    <row r="456" spans="1:7" s="115" customFormat="1" x14ac:dyDescent="0.25">
      <c r="A456" s="117"/>
      <c r="B456" s="117"/>
      <c r="C456" s="117"/>
      <c r="D456" s="117"/>
      <c r="E456" s="117"/>
      <c r="F456" s="118"/>
      <c r="G456" s="117"/>
    </row>
    <row r="457" spans="1:7" s="116" customFormat="1" x14ac:dyDescent="0.25">
      <c r="A457" s="117"/>
      <c r="B457" s="117"/>
      <c r="C457" s="117"/>
      <c r="D457" s="117"/>
      <c r="E457" s="117"/>
      <c r="F457" s="118"/>
      <c r="G457" s="117"/>
    </row>
    <row r="458" spans="1:7" s="115" customFormat="1" x14ac:dyDescent="0.25">
      <c r="A458" s="117"/>
      <c r="B458" s="117"/>
      <c r="C458" s="117"/>
      <c r="D458" s="117"/>
      <c r="E458" s="117"/>
      <c r="F458" s="118"/>
      <c r="G458" s="117"/>
    </row>
    <row r="459" spans="1:7" s="115" customFormat="1" x14ac:dyDescent="0.25">
      <c r="A459" s="117"/>
      <c r="B459" s="117"/>
      <c r="C459" s="117"/>
      <c r="D459" s="117"/>
      <c r="E459" s="117"/>
      <c r="F459" s="118"/>
      <c r="G459" s="117"/>
    </row>
    <row r="460" spans="1:7" s="115" customFormat="1" x14ac:dyDescent="0.25">
      <c r="A460" s="117"/>
      <c r="B460" s="117"/>
      <c r="C460" s="117"/>
      <c r="D460" s="117"/>
      <c r="E460" s="117"/>
      <c r="F460" s="118"/>
      <c r="G460" s="117"/>
    </row>
    <row r="461" spans="1:7" s="115" customFormat="1" x14ac:dyDescent="0.25">
      <c r="A461" s="117"/>
      <c r="B461" s="117"/>
      <c r="C461" s="117"/>
      <c r="D461" s="117"/>
      <c r="E461" s="117"/>
      <c r="F461" s="118"/>
      <c r="G461" s="117"/>
    </row>
    <row r="462" spans="1:7" s="115" customFormat="1" x14ac:dyDescent="0.25">
      <c r="A462" s="117"/>
      <c r="B462" s="117"/>
      <c r="C462" s="117"/>
      <c r="D462" s="117"/>
      <c r="E462" s="117"/>
      <c r="F462" s="118"/>
      <c r="G462" s="117"/>
    </row>
    <row r="463" spans="1:7" s="115" customFormat="1" x14ac:dyDescent="0.25">
      <c r="A463" s="117"/>
      <c r="B463" s="117"/>
      <c r="C463" s="117"/>
      <c r="D463" s="117"/>
      <c r="E463" s="117"/>
      <c r="F463" s="118"/>
      <c r="G463" s="117"/>
    </row>
    <row r="464" spans="1:7" s="115" customFormat="1" x14ac:dyDescent="0.25">
      <c r="A464" s="117"/>
      <c r="B464" s="117"/>
      <c r="C464" s="117"/>
      <c r="D464" s="117"/>
      <c r="E464" s="117"/>
      <c r="F464" s="118"/>
      <c r="G464" s="117"/>
    </row>
    <row r="465" spans="1:7" s="115" customFormat="1" x14ac:dyDescent="0.25">
      <c r="A465" s="117"/>
      <c r="B465" s="117"/>
      <c r="C465" s="117"/>
      <c r="D465" s="117"/>
      <c r="E465" s="117"/>
      <c r="F465" s="118"/>
      <c r="G465" s="117"/>
    </row>
    <row r="466" spans="1:7" s="115" customFormat="1" x14ac:dyDescent="0.25">
      <c r="A466" s="117"/>
      <c r="B466" s="117"/>
      <c r="C466" s="117"/>
      <c r="D466" s="117"/>
      <c r="E466" s="117"/>
      <c r="F466" s="118"/>
      <c r="G466" s="117"/>
    </row>
    <row r="467" spans="1:7" s="115" customFormat="1" x14ac:dyDescent="0.25">
      <c r="A467" s="117"/>
      <c r="B467" s="117"/>
      <c r="C467" s="117"/>
      <c r="D467" s="117"/>
      <c r="E467" s="117"/>
      <c r="F467" s="118"/>
      <c r="G467" s="117"/>
    </row>
    <row r="468" spans="1:7" s="115" customFormat="1" x14ac:dyDescent="0.25">
      <c r="A468" s="117"/>
      <c r="B468" s="117"/>
      <c r="C468" s="117"/>
      <c r="D468" s="117"/>
      <c r="E468" s="117"/>
      <c r="F468" s="118"/>
      <c r="G468" s="117"/>
    </row>
    <row r="469" spans="1:7" s="115" customFormat="1" x14ac:dyDescent="0.25">
      <c r="A469" s="117"/>
      <c r="B469" s="117"/>
      <c r="C469" s="117"/>
      <c r="D469" s="117"/>
      <c r="E469" s="117"/>
      <c r="F469" s="118"/>
      <c r="G469" s="117"/>
    </row>
    <row r="470" spans="1:7" s="115" customFormat="1" x14ac:dyDescent="0.25">
      <c r="A470" s="117"/>
      <c r="B470" s="117"/>
      <c r="C470" s="117"/>
      <c r="D470" s="117"/>
      <c r="E470" s="117"/>
      <c r="F470" s="118"/>
      <c r="G470" s="117"/>
    </row>
    <row r="471" spans="1:7" s="115" customFormat="1" x14ac:dyDescent="0.25">
      <c r="A471" s="117"/>
      <c r="B471" s="117"/>
      <c r="C471" s="117"/>
      <c r="D471" s="117"/>
      <c r="E471" s="117"/>
      <c r="F471" s="118"/>
      <c r="G471" s="117"/>
    </row>
    <row r="472" spans="1:7" s="115" customFormat="1" x14ac:dyDescent="0.25">
      <c r="A472" s="117"/>
      <c r="B472" s="117"/>
      <c r="C472" s="117"/>
      <c r="D472" s="117"/>
      <c r="E472" s="117"/>
      <c r="F472" s="118"/>
      <c r="G472" s="117"/>
    </row>
    <row r="473" spans="1:7" s="115" customFormat="1" x14ac:dyDescent="0.25">
      <c r="A473" s="117"/>
      <c r="B473" s="117"/>
      <c r="C473" s="117"/>
      <c r="D473" s="117"/>
      <c r="E473" s="117"/>
      <c r="F473" s="118"/>
      <c r="G473" s="117"/>
    </row>
    <row r="474" spans="1:7" s="115" customFormat="1" x14ac:dyDescent="0.25">
      <c r="A474" s="117"/>
      <c r="B474" s="117"/>
      <c r="C474" s="117"/>
      <c r="D474" s="117"/>
      <c r="E474" s="117"/>
      <c r="F474" s="118"/>
      <c r="G474" s="117"/>
    </row>
    <row r="475" spans="1:7" s="115" customFormat="1" x14ac:dyDescent="0.25">
      <c r="A475" s="117"/>
      <c r="B475" s="117"/>
      <c r="C475" s="117"/>
      <c r="D475" s="117"/>
      <c r="E475" s="117"/>
      <c r="F475" s="118"/>
      <c r="G475" s="117"/>
    </row>
    <row r="476" spans="1:7" s="115" customFormat="1" x14ac:dyDescent="0.25">
      <c r="A476" s="117"/>
      <c r="B476" s="117"/>
      <c r="C476" s="117"/>
      <c r="D476" s="117"/>
      <c r="E476" s="117"/>
      <c r="F476" s="118"/>
      <c r="G476" s="117"/>
    </row>
    <row r="477" spans="1:7" s="115" customFormat="1" x14ac:dyDescent="0.25">
      <c r="A477" s="117"/>
      <c r="B477" s="117"/>
      <c r="C477" s="117"/>
      <c r="D477" s="117"/>
      <c r="E477" s="117"/>
      <c r="F477" s="118"/>
      <c r="G477" s="117"/>
    </row>
    <row r="478" spans="1:7" s="115" customFormat="1" x14ac:dyDescent="0.25">
      <c r="A478" s="117"/>
      <c r="B478" s="117"/>
      <c r="C478" s="117"/>
      <c r="D478" s="117"/>
      <c r="E478" s="117"/>
      <c r="F478" s="118"/>
      <c r="G478" s="117"/>
    </row>
    <row r="479" spans="1:7" s="115" customFormat="1" x14ac:dyDescent="0.25">
      <c r="A479" s="117"/>
      <c r="B479" s="117"/>
      <c r="C479" s="117"/>
      <c r="D479" s="117"/>
      <c r="E479" s="117"/>
      <c r="F479" s="118"/>
      <c r="G479" s="117"/>
    </row>
    <row r="480" spans="1:7" s="115" customFormat="1" x14ac:dyDescent="0.25">
      <c r="A480" s="117"/>
      <c r="B480" s="117"/>
      <c r="C480" s="117"/>
      <c r="D480" s="117"/>
      <c r="E480" s="117"/>
      <c r="F480" s="118"/>
      <c r="G480" s="117"/>
    </row>
    <row r="481" spans="1:7" s="115" customFormat="1" x14ac:dyDescent="0.25">
      <c r="A481" s="117"/>
      <c r="B481" s="117"/>
      <c r="C481" s="117"/>
      <c r="D481" s="117"/>
      <c r="E481" s="117"/>
      <c r="F481" s="118"/>
      <c r="G481" s="117"/>
    </row>
    <row r="482" spans="1:7" s="115" customFormat="1" x14ac:dyDescent="0.25">
      <c r="A482" s="117"/>
      <c r="B482" s="117"/>
      <c r="C482" s="117"/>
      <c r="D482" s="117"/>
      <c r="E482" s="117"/>
      <c r="F482" s="118"/>
      <c r="G482" s="117"/>
    </row>
    <row r="483" spans="1:7" s="115" customFormat="1" x14ac:dyDescent="0.25">
      <c r="A483" s="117"/>
      <c r="B483" s="117"/>
      <c r="C483" s="117"/>
      <c r="D483" s="117"/>
      <c r="E483" s="117"/>
      <c r="F483" s="118"/>
      <c r="G483" s="117"/>
    </row>
    <row r="484" spans="1:7" s="115" customFormat="1" x14ac:dyDescent="0.25">
      <c r="A484" s="117"/>
      <c r="B484" s="117"/>
      <c r="C484" s="117"/>
      <c r="D484" s="117"/>
      <c r="E484" s="117"/>
      <c r="F484" s="118"/>
      <c r="G484" s="117"/>
    </row>
    <row r="485" spans="1:7" s="115" customFormat="1" x14ac:dyDescent="0.25">
      <c r="A485" s="117"/>
      <c r="B485" s="117"/>
      <c r="C485" s="117"/>
      <c r="D485" s="117"/>
      <c r="E485" s="117"/>
      <c r="F485" s="118"/>
      <c r="G485" s="117"/>
    </row>
    <row r="486" spans="1:7" s="115" customFormat="1" x14ac:dyDescent="0.25">
      <c r="A486" s="117"/>
      <c r="B486" s="117"/>
      <c r="C486" s="117"/>
      <c r="D486" s="117"/>
      <c r="E486" s="117"/>
      <c r="F486" s="118"/>
      <c r="G486" s="117"/>
    </row>
    <row r="487" spans="1:7" s="115" customFormat="1" x14ac:dyDescent="0.25">
      <c r="A487" s="117"/>
      <c r="B487" s="117"/>
      <c r="C487" s="117"/>
      <c r="D487" s="117"/>
      <c r="E487" s="117"/>
      <c r="F487" s="118"/>
      <c r="G487" s="117"/>
    </row>
    <row r="488" spans="1:7" s="115" customFormat="1" x14ac:dyDescent="0.25">
      <c r="A488" s="117"/>
      <c r="B488" s="117"/>
      <c r="C488" s="117"/>
      <c r="D488" s="117"/>
      <c r="E488" s="117"/>
      <c r="F488" s="118"/>
      <c r="G488" s="117"/>
    </row>
    <row r="489" spans="1:7" s="115" customFormat="1" x14ac:dyDescent="0.25">
      <c r="A489" s="117"/>
      <c r="B489" s="117"/>
      <c r="C489" s="117"/>
      <c r="D489" s="117"/>
      <c r="E489" s="117"/>
      <c r="F489" s="118"/>
      <c r="G489" s="117"/>
    </row>
    <row r="490" spans="1:7" s="115" customFormat="1" x14ac:dyDescent="0.25">
      <c r="A490" s="117"/>
      <c r="B490" s="117"/>
      <c r="C490" s="117"/>
      <c r="D490" s="117"/>
      <c r="E490" s="117"/>
      <c r="F490" s="118"/>
      <c r="G490" s="117"/>
    </row>
    <row r="491" spans="1:7" s="115" customFormat="1" x14ac:dyDescent="0.25">
      <c r="A491" s="117"/>
      <c r="B491" s="117"/>
      <c r="C491" s="117"/>
      <c r="D491" s="117"/>
      <c r="E491" s="117"/>
      <c r="F491" s="118"/>
      <c r="G491" s="117"/>
    </row>
    <row r="492" spans="1:7" s="115" customFormat="1" x14ac:dyDescent="0.25">
      <c r="A492" s="117"/>
      <c r="B492" s="117"/>
      <c r="C492" s="117"/>
      <c r="D492" s="117"/>
      <c r="E492" s="117"/>
      <c r="F492" s="118"/>
      <c r="G492" s="117"/>
    </row>
    <row r="493" spans="1:7" s="115" customFormat="1" x14ac:dyDescent="0.25">
      <c r="A493" s="117"/>
      <c r="B493" s="117"/>
      <c r="C493" s="117"/>
      <c r="D493" s="117"/>
      <c r="E493" s="117"/>
      <c r="F493" s="118"/>
      <c r="G493" s="117"/>
    </row>
    <row r="494" spans="1:7" s="115" customFormat="1" x14ac:dyDescent="0.25">
      <c r="A494" s="117"/>
      <c r="B494" s="117"/>
      <c r="C494" s="117"/>
      <c r="D494" s="117"/>
      <c r="E494" s="117"/>
      <c r="F494" s="118"/>
      <c r="G494" s="117"/>
    </row>
    <row r="495" spans="1:7" s="115" customFormat="1" x14ac:dyDescent="0.25">
      <c r="A495" s="117"/>
      <c r="B495" s="117"/>
      <c r="C495" s="117"/>
      <c r="D495" s="117"/>
      <c r="E495" s="117"/>
      <c r="F495" s="118"/>
      <c r="G495" s="117"/>
    </row>
    <row r="496" spans="1:7" s="115" customFormat="1" x14ac:dyDescent="0.25">
      <c r="A496" s="117"/>
      <c r="B496" s="117"/>
      <c r="C496" s="117"/>
      <c r="D496" s="117"/>
      <c r="E496" s="117"/>
      <c r="F496" s="118"/>
      <c r="G496" s="117"/>
    </row>
    <row r="497" spans="1:7" s="115" customFormat="1" x14ac:dyDescent="0.25">
      <c r="A497" s="117"/>
      <c r="B497" s="117"/>
      <c r="C497" s="117"/>
      <c r="D497" s="117"/>
      <c r="E497" s="117"/>
      <c r="F497" s="118"/>
      <c r="G497" s="117"/>
    </row>
    <row r="498" spans="1:7" s="115" customFormat="1" x14ac:dyDescent="0.25">
      <c r="A498" s="117"/>
      <c r="B498" s="117"/>
      <c r="C498" s="117"/>
      <c r="D498" s="117"/>
      <c r="E498" s="117"/>
      <c r="F498" s="118"/>
      <c r="G498" s="117"/>
    </row>
    <row r="499" spans="1:7" s="115" customFormat="1" x14ac:dyDescent="0.25">
      <c r="A499" s="117"/>
      <c r="B499" s="117"/>
      <c r="C499" s="117"/>
      <c r="D499" s="117"/>
      <c r="E499" s="117"/>
      <c r="F499" s="118"/>
      <c r="G499" s="117"/>
    </row>
    <row r="500" spans="1:7" s="115" customFormat="1" x14ac:dyDescent="0.25">
      <c r="A500" s="117"/>
      <c r="B500" s="117"/>
      <c r="C500" s="117"/>
      <c r="D500" s="117"/>
      <c r="E500" s="117"/>
      <c r="F500" s="118"/>
      <c r="G500" s="117"/>
    </row>
    <row r="501" spans="1:7" s="115" customFormat="1" x14ac:dyDescent="0.25">
      <c r="A501" s="117"/>
      <c r="B501" s="117"/>
      <c r="C501" s="117"/>
      <c r="D501" s="117"/>
      <c r="E501" s="117"/>
      <c r="F501" s="118"/>
      <c r="G501" s="117"/>
    </row>
    <row r="502" spans="1:7" s="115" customFormat="1" x14ac:dyDescent="0.25">
      <c r="A502" s="117"/>
      <c r="B502" s="117"/>
      <c r="C502" s="117"/>
      <c r="D502" s="117"/>
      <c r="E502" s="117"/>
      <c r="F502" s="118"/>
      <c r="G502" s="117"/>
    </row>
    <row r="503" spans="1:7" s="115" customFormat="1" x14ac:dyDescent="0.25">
      <c r="A503" s="117"/>
      <c r="B503" s="117"/>
      <c r="C503" s="117"/>
      <c r="D503" s="117"/>
      <c r="E503" s="117"/>
      <c r="F503" s="118"/>
      <c r="G503" s="117"/>
    </row>
    <row r="504" spans="1:7" s="115" customFormat="1" x14ac:dyDescent="0.25">
      <c r="A504" s="117"/>
      <c r="B504" s="117"/>
      <c r="C504" s="117"/>
      <c r="D504" s="117"/>
      <c r="E504" s="117"/>
      <c r="F504" s="118"/>
      <c r="G504" s="117"/>
    </row>
    <row r="505" spans="1:7" s="115" customFormat="1" x14ac:dyDescent="0.25">
      <c r="A505" s="117"/>
      <c r="B505" s="117"/>
      <c r="C505" s="117"/>
      <c r="D505" s="117"/>
      <c r="E505" s="117"/>
      <c r="F505" s="118"/>
      <c r="G505" s="117"/>
    </row>
    <row r="506" spans="1:7" s="115" customFormat="1" x14ac:dyDescent="0.25">
      <c r="A506" s="117"/>
      <c r="B506" s="117"/>
      <c r="C506" s="117"/>
      <c r="D506" s="117"/>
      <c r="E506" s="117"/>
      <c r="F506" s="118"/>
      <c r="G506" s="117"/>
    </row>
    <row r="507" spans="1:7" s="115" customFormat="1" x14ac:dyDescent="0.25">
      <c r="A507" s="117"/>
      <c r="B507" s="117"/>
      <c r="C507" s="117"/>
      <c r="D507" s="117"/>
      <c r="E507" s="117"/>
      <c r="F507" s="118"/>
      <c r="G507" s="117"/>
    </row>
    <row r="508" spans="1:7" s="115" customFormat="1" x14ac:dyDescent="0.25">
      <c r="A508" s="117"/>
      <c r="B508" s="117"/>
      <c r="C508" s="117"/>
      <c r="D508" s="117"/>
      <c r="E508" s="117"/>
      <c r="F508" s="118"/>
      <c r="G508" s="117"/>
    </row>
    <row r="509" spans="1:7" s="115" customFormat="1" x14ac:dyDescent="0.25">
      <c r="A509" s="117"/>
      <c r="B509" s="117"/>
      <c r="C509" s="117"/>
      <c r="D509" s="117"/>
      <c r="E509" s="117"/>
      <c r="F509" s="118"/>
      <c r="G509" s="117"/>
    </row>
    <row r="510" spans="1:7" s="115" customFormat="1" x14ac:dyDescent="0.25">
      <c r="A510" s="117"/>
      <c r="B510" s="117"/>
      <c r="C510" s="117"/>
      <c r="D510" s="117"/>
      <c r="E510" s="117"/>
      <c r="F510" s="118"/>
      <c r="G510" s="117"/>
    </row>
    <row r="511" spans="1:7" s="115" customFormat="1" x14ac:dyDescent="0.25">
      <c r="A511" s="117"/>
      <c r="B511" s="117"/>
      <c r="C511" s="117"/>
      <c r="D511" s="117"/>
      <c r="E511" s="117"/>
      <c r="F511" s="118"/>
      <c r="G511" s="117"/>
    </row>
    <row r="512" spans="1:7" s="115" customFormat="1" x14ac:dyDescent="0.25">
      <c r="A512" s="117"/>
      <c r="B512" s="117"/>
      <c r="C512" s="117"/>
      <c r="D512" s="117"/>
      <c r="E512" s="117"/>
      <c r="F512" s="118"/>
      <c r="G512" s="117"/>
    </row>
    <row r="513" spans="1:7" s="115" customFormat="1" x14ac:dyDescent="0.25">
      <c r="A513" s="117"/>
      <c r="B513" s="117"/>
      <c r="C513" s="117"/>
      <c r="D513" s="117"/>
      <c r="E513" s="117"/>
      <c r="F513" s="118"/>
      <c r="G513" s="117"/>
    </row>
    <row r="514" spans="1:7" s="115" customFormat="1" x14ac:dyDescent="0.25">
      <c r="A514" s="117"/>
      <c r="B514" s="117"/>
      <c r="C514" s="117"/>
      <c r="D514" s="117"/>
      <c r="E514" s="117"/>
      <c r="F514" s="118"/>
      <c r="G514" s="117"/>
    </row>
    <row r="515" spans="1:7" s="115" customFormat="1" x14ac:dyDescent="0.25">
      <c r="A515" s="117"/>
      <c r="B515" s="117"/>
      <c r="C515" s="117"/>
      <c r="D515" s="117"/>
      <c r="E515" s="117"/>
      <c r="F515" s="118"/>
      <c r="G515" s="117"/>
    </row>
    <row r="516" spans="1:7" s="115" customFormat="1" x14ac:dyDescent="0.25">
      <c r="A516" s="117"/>
      <c r="B516" s="117"/>
      <c r="C516" s="117"/>
      <c r="D516" s="117"/>
      <c r="E516" s="117"/>
      <c r="F516" s="118"/>
      <c r="G516" s="117"/>
    </row>
    <row r="517" spans="1:7" s="115" customFormat="1" x14ac:dyDescent="0.25">
      <c r="A517" s="117"/>
      <c r="B517" s="117"/>
      <c r="C517" s="117"/>
      <c r="D517" s="117"/>
      <c r="E517" s="117"/>
      <c r="F517" s="118"/>
      <c r="G517" s="117"/>
    </row>
    <row r="518" spans="1:7" s="115" customFormat="1" x14ac:dyDescent="0.25">
      <c r="A518" s="117"/>
      <c r="B518" s="117"/>
      <c r="C518" s="117"/>
      <c r="D518" s="117"/>
      <c r="E518" s="117"/>
      <c r="F518" s="118"/>
      <c r="G518" s="117"/>
    </row>
    <row r="519" spans="1:7" s="115" customFormat="1" x14ac:dyDescent="0.25">
      <c r="A519" s="117"/>
      <c r="B519" s="117"/>
      <c r="C519" s="117"/>
      <c r="D519" s="117"/>
      <c r="E519" s="117"/>
      <c r="F519" s="118"/>
      <c r="G519" s="117"/>
    </row>
    <row r="520" spans="1:7" s="115" customFormat="1" x14ac:dyDescent="0.25">
      <c r="A520" s="117"/>
      <c r="B520" s="117"/>
      <c r="C520" s="117"/>
      <c r="D520" s="117"/>
      <c r="E520" s="117"/>
      <c r="F520" s="118"/>
      <c r="G520" s="117"/>
    </row>
    <row r="521" spans="1:7" s="115" customFormat="1" x14ac:dyDescent="0.25">
      <c r="A521" s="117"/>
      <c r="B521" s="117"/>
      <c r="C521" s="117"/>
      <c r="D521" s="117"/>
      <c r="E521" s="117"/>
      <c r="F521" s="118"/>
      <c r="G521" s="117"/>
    </row>
    <row r="522" spans="1:7" s="115" customFormat="1" x14ac:dyDescent="0.25">
      <c r="A522" s="117"/>
      <c r="B522" s="117"/>
      <c r="C522" s="117"/>
      <c r="D522" s="117"/>
      <c r="E522" s="117"/>
      <c r="F522" s="118"/>
      <c r="G522" s="117"/>
    </row>
    <row r="523" spans="1:7" s="115" customFormat="1" x14ac:dyDescent="0.25">
      <c r="A523" s="117"/>
      <c r="B523" s="117"/>
      <c r="C523" s="117"/>
      <c r="D523" s="117"/>
      <c r="E523" s="117"/>
      <c r="F523" s="118"/>
      <c r="G523" s="117"/>
    </row>
    <row r="524" spans="1:7" s="115" customFormat="1" x14ac:dyDescent="0.25">
      <c r="A524" s="117"/>
      <c r="B524" s="117"/>
      <c r="C524" s="117"/>
      <c r="D524" s="117"/>
      <c r="E524" s="117"/>
      <c r="F524" s="118"/>
      <c r="G524" s="117"/>
    </row>
    <row r="525" spans="1:7" s="115" customFormat="1" x14ac:dyDescent="0.25">
      <c r="A525" s="117"/>
      <c r="B525" s="117"/>
      <c r="C525" s="117"/>
      <c r="D525" s="117"/>
      <c r="E525" s="117"/>
      <c r="F525" s="118"/>
      <c r="G525" s="117"/>
    </row>
    <row r="526" spans="1:7" s="115" customFormat="1" x14ac:dyDescent="0.25">
      <c r="A526" s="117"/>
      <c r="B526" s="117"/>
      <c r="C526" s="117"/>
      <c r="D526" s="117"/>
      <c r="E526" s="117"/>
      <c r="F526" s="118"/>
      <c r="G526" s="117"/>
    </row>
    <row r="527" spans="1:7" s="115" customFormat="1" x14ac:dyDescent="0.25">
      <c r="A527" s="117"/>
      <c r="B527" s="117"/>
      <c r="C527" s="117"/>
      <c r="D527" s="117"/>
      <c r="E527" s="117"/>
      <c r="F527" s="118"/>
      <c r="G527" s="117"/>
    </row>
    <row r="528" spans="1:7" s="115" customFormat="1" x14ac:dyDescent="0.25">
      <c r="A528" s="117"/>
      <c r="B528" s="117"/>
      <c r="C528" s="117"/>
      <c r="D528" s="117"/>
      <c r="E528" s="117"/>
      <c r="F528" s="118"/>
      <c r="G528" s="117"/>
    </row>
    <row r="529" spans="1:7" s="115" customFormat="1" x14ac:dyDescent="0.25">
      <c r="A529" s="117"/>
      <c r="B529" s="117"/>
      <c r="C529" s="117"/>
      <c r="D529" s="117"/>
      <c r="E529" s="117"/>
      <c r="F529" s="118"/>
      <c r="G529" s="117"/>
    </row>
    <row r="530" spans="1:7" s="115" customFormat="1" x14ac:dyDescent="0.25">
      <c r="A530" s="117"/>
      <c r="B530" s="117"/>
      <c r="C530" s="117"/>
      <c r="D530" s="117"/>
      <c r="E530" s="117"/>
      <c r="F530" s="118"/>
      <c r="G530" s="117"/>
    </row>
    <row r="531" spans="1:7" s="115" customFormat="1" x14ac:dyDescent="0.25">
      <c r="A531" s="117"/>
      <c r="B531" s="117"/>
      <c r="C531" s="117"/>
      <c r="D531" s="117"/>
      <c r="E531" s="117"/>
      <c r="F531" s="118"/>
      <c r="G531" s="117"/>
    </row>
    <row r="532" spans="1:7" s="115" customFormat="1" x14ac:dyDescent="0.25">
      <c r="A532" s="117"/>
      <c r="B532" s="117"/>
      <c r="C532" s="117"/>
      <c r="D532" s="117"/>
      <c r="E532" s="117"/>
      <c r="F532" s="118"/>
      <c r="G532" s="117"/>
    </row>
    <row r="533" spans="1:7" s="115" customFormat="1" x14ac:dyDescent="0.25">
      <c r="A533" s="117"/>
      <c r="B533" s="117"/>
      <c r="C533" s="117"/>
      <c r="D533" s="117"/>
      <c r="E533" s="117"/>
      <c r="F533" s="118"/>
      <c r="G533" s="117"/>
    </row>
    <row r="534" spans="1:7" s="115" customFormat="1" x14ac:dyDescent="0.25">
      <c r="A534" s="117"/>
      <c r="B534" s="117"/>
      <c r="C534" s="117"/>
      <c r="D534" s="117"/>
      <c r="E534" s="117"/>
      <c r="F534" s="118"/>
      <c r="G534" s="117"/>
    </row>
    <row r="535" spans="1:7" s="115" customFormat="1" x14ac:dyDescent="0.25">
      <c r="A535" s="117"/>
      <c r="B535" s="117"/>
      <c r="C535" s="117"/>
      <c r="D535" s="117"/>
      <c r="E535" s="117"/>
      <c r="F535" s="118"/>
      <c r="G535" s="117"/>
    </row>
    <row r="536" spans="1:7" s="115" customFormat="1" x14ac:dyDescent="0.25">
      <c r="A536" s="117"/>
      <c r="B536" s="117"/>
      <c r="C536" s="117"/>
      <c r="D536" s="117"/>
      <c r="E536" s="117"/>
      <c r="F536" s="118"/>
      <c r="G536" s="117"/>
    </row>
    <row r="537" spans="1:7" s="115" customFormat="1" x14ac:dyDescent="0.25">
      <c r="A537" s="117"/>
      <c r="B537" s="117"/>
      <c r="C537" s="117"/>
      <c r="D537" s="117"/>
      <c r="E537" s="117"/>
      <c r="F537" s="118"/>
      <c r="G537" s="117"/>
    </row>
    <row r="538" spans="1:7" s="115" customFormat="1" x14ac:dyDescent="0.25">
      <c r="A538" s="117"/>
      <c r="B538" s="117"/>
      <c r="C538" s="117"/>
      <c r="D538" s="117"/>
      <c r="E538" s="117"/>
      <c r="F538" s="118"/>
      <c r="G538" s="117"/>
    </row>
    <row r="539" spans="1:7" s="115" customFormat="1" x14ac:dyDescent="0.25">
      <c r="A539" s="117"/>
      <c r="B539" s="117"/>
      <c r="C539" s="117"/>
      <c r="D539" s="117"/>
      <c r="E539" s="117"/>
      <c r="F539" s="118"/>
      <c r="G539" s="117"/>
    </row>
    <row r="540" spans="1:7" s="115" customFormat="1" x14ac:dyDescent="0.25">
      <c r="A540" s="117"/>
      <c r="B540" s="117"/>
      <c r="C540" s="117"/>
      <c r="D540" s="117"/>
      <c r="E540" s="117"/>
      <c r="F540" s="118"/>
      <c r="G540" s="117"/>
    </row>
    <row r="541" spans="1:7" s="115" customFormat="1" x14ac:dyDescent="0.25">
      <c r="A541" s="117"/>
      <c r="B541" s="117"/>
      <c r="C541" s="117"/>
      <c r="D541" s="117"/>
      <c r="E541" s="117"/>
      <c r="F541" s="118"/>
      <c r="G541" s="117"/>
    </row>
    <row r="542" spans="1:7" s="115" customFormat="1" x14ac:dyDescent="0.25">
      <c r="A542" s="117"/>
      <c r="B542" s="117"/>
      <c r="C542" s="117"/>
      <c r="D542" s="117"/>
      <c r="E542" s="117"/>
      <c r="F542" s="118"/>
      <c r="G542" s="117"/>
    </row>
    <row r="543" spans="1:7" s="115" customFormat="1" x14ac:dyDescent="0.25">
      <c r="A543" s="117"/>
      <c r="B543" s="117"/>
      <c r="C543" s="117"/>
      <c r="D543" s="117"/>
      <c r="E543" s="117"/>
      <c r="F543" s="118"/>
      <c r="G543" s="117"/>
    </row>
    <row r="544" spans="1:7" s="115" customFormat="1" x14ac:dyDescent="0.25">
      <c r="A544" s="117"/>
      <c r="B544" s="117"/>
      <c r="C544" s="117"/>
      <c r="D544" s="117"/>
      <c r="E544" s="117"/>
      <c r="F544" s="118"/>
      <c r="G544" s="117"/>
    </row>
    <row r="545" spans="1:7" s="115" customFormat="1" x14ac:dyDescent="0.25">
      <c r="A545" s="117"/>
      <c r="B545" s="117"/>
      <c r="C545" s="117"/>
      <c r="D545" s="117"/>
      <c r="E545" s="117"/>
      <c r="F545" s="118"/>
      <c r="G545" s="117"/>
    </row>
    <row r="546" spans="1:7" s="115" customFormat="1" x14ac:dyDescent="0.25">
      <c r="A546" s="117"/>
      <c r="B546" s="117"/>
      <c r="C546" s="117"/>
      <c r="D546" s="117"/>
      <c r="E546" s="117"/>
      <c r="F546" s="118"/>
      <c r="G546" s="117"/>
    </row>
    <row r="547" spans="1:7" s="115" customFormat="1" x14ac:dyDescent="0.25">
      <c r="A547" s="117"/>
      <c r="B547" s="117"/>
      <c r="C547" s="117"/>
      <c r="D547" s="117"/>
      <c r="E547" s="117"/>
      <c r="F547" s="118"/>
      <c r="G547" s="117"/>
    </row>
    <row r="548" spans="1:7" s="115" customFormat="1" x14ac:dyDescent="0.25">
      <c r="A548" s="117"/>
      <c r="B548" s="117"/>
      <c r="C548" s="117"/>
      <c r="D548" s="117"/>
      <c r="E548" s="117"/>
      <c r="F548" s="118"/>
      <c r="G548" s="117"/>
    </row>
    <row r="549" spans="1:7" s="115" customFormat="1" x14ac:dyDescent="0.25">
      <c r="A549" s="117"/>
      <c r="B549" s="117"/>
      <c r="C549" s="117"/>
      <c r="D549" s="117"/>
      <c r="E549" s="117"/>
      <c r="F549" s="118"/>
      <c r="G549" s="117"/>
    </row>
    <row r="550" spans="1:7" s="115" customFormat="1" x14ac:dyDescent="0.25">
      <c r="A550" s="117"/>
      <c r="B550" s="117"/>
      <c r="C550" s="117"/>
      <c r="D550" s="117"/>
      <c r="E550" s="117"/>
      <c r="F550" s="118"/>
      <c r="G550" s="117"/>
    </row>
    <row r="551" spans="1:7" s="115" customFormat="1" x14ac:dyDescent="0.25">
      <c r="A551" s="117"/>
      <c r="B551" s="117"/>
      <c r="C551" s="117"/>
      <c r="D551" s="117"/>
      <c r="E551" s="117"/>
      <c r="F551" s="118"/>
      <c r="G551" s="117"/>
    </row>
    <row r="552" spans="1:7" s="115" customFormat="1" x14ac:dyDescent="0.25">
      <c r="A552" s="117"/>
      <c r="B552" s="117"/>
      <c r="C552" s="117"/>
      <c r="D552" s="117"/>
      <c r="E552" s="117"/>
      <c r="F552" s="118"/>
      <c r="G552" s="117"/>
    </row>
    <row r="553" spans="1:7" s="115" customFormat="1" x14ac:dyDescent="0.25">
      <c r="A553" s="117"/>
      <c r="B553" s="117"/>
      <c r="C553" s="117"/>
      <c r="D553" s="117"/>
      <c r="E553" s="117"/>
      <c r="F553" s="118"/>
      <c r="G553" s="117"/>
    </row>
    <row r="554" spans="1:7" s="115" customFormat="1" x14ac:dyDescent="0.25">
      <c r="A554" s="117"/>
      <c r="B554" s="117"/>
      <c r="C554" s="117"/>
      <c r="D554" s="117"/>
      <c r="E554" s="117"/>
      <c r="F554" s="118"/>
      <c r="G554" s="117"/>
    </row>
    <row r="555" spans="1:7" s="115" customFormat="1" x14ac:dyDescent="0.25">
      <c r="A555" s="117"/>
      <c r="B555" s="117"/>
      <c r="C555" s="117"/>
      <c r="D555" s="117"/>
      <c r="E555" s="117"/>
      <c r="F555" s="118"/>
      <c r="G555" s="117"/>
    </row>
    <row r="556" spans="1:7" s="115" customFormat="1" x14ac:dyDescent="0.25">
      <c r="A556" s="117"/>
      <c r="B556" s="117"/>
      <c r="C556" s="117"/>
      <c r="D556" s="117"/>
      <c r="E556" s="117"/>
      <c r="F556" s="118"/>
      <c r="G556" s="117"/>
    </row>
    <row r="557" spans="1:7" s="115" customFormat="1" x14ac:dyDescent="0.25">
      <c r="A557" s="117"/>
      <c r="B557" s="117"/>
      <c r="C557" s="117"/>
      <c r="D557" s="117"/>
      <c r="E557" s="117"/>
      <c r="F557" s="118"/>
      <c r="G557" s="117"/>
    </row>
    <row r="558" spans="1:7" s="115" customFormat="1" x14ac:dyDescent="0.25">
      <c r="A558" s="117"/>
      <c r="B558" s="117"/>
      <c r="C558" s="117"/>
      <c r="D558" s="117"/>
      <c r="E558" s="117"/>
      <c r="F558" s="118"/>
      <c r="G558" s="117"/>
    </row>
    <row r="559" spans="1:7" s="115" customFormat="1" x14ac:dyDescent="0.25">
      <c r="A559" s="117"/>
      <c r="B559" s="117"/>
      <c r="C559" s="117"/>
      <c r="D559" s="117"/>
      <c r="E559" s="117"/>
      <c r="F559" s="118"/>
      <c r="G559" s="117"/>
    </row>
    <row r="560" spans="1:7" s="115" customFormat="1" x14ac:dyDescent="0.25">
      <c r="A560" s="117"/>
      <c r="B560" s="117"/>
      <c r="C560" s="117"/>
      <c r="D560" s="117"/>
      <c r="E560" s="117"/>
      <c r="F560" s="118"/>
      <c r="G560" s="117"/>
    </row>
    <row r="561" spans="1:7" s="115" customFormat="1" x14ac:dyDescent="0.25">
      <c r="A561" s="117"/>
      <c r="B561" s="117"/>
      <c r="C561" s="117"/>
      <c r="D561" s="117"/>
      <c r="E561" s="117"/>
      <c r="F561" s="118"/>
      <c r="G561" s="117"/>
    </row>
    <row r="562" spans="1:7" s="115" customFormat="1" x14ac:dyDescent="0.25">
      <c r="A562" s="117"/>
      <c r="B562" s="117"/>
      <c r="C562" s="117"/>
      <c r="D562" s="117"/>
      <c r="E562" s="117"/>
      <c r="F562" s="118"/>
      <c r="G562" s="117"/>
    </row>
    <row r="563" spans="1:7" s="115" customFormat="1" x14ac:dyDescent="0.25">
      <c r="A563" s="117"/>
      <c r="B563" s="117"/>
      <c r="C563" s="117"/>
      <c r="D563" s="117"/>
      <c r="E563" s="117"/>
      <c r="F563" s="118"/>
      <c r="G563" s="117"/>
    </row>
    <row r="564" spans="1:7" s="115" customFormat="1" x14ac:dyDescent="0.25">
      <c r="A564" s="117"/>
      <c r="B564" s="117"/>
      <c r="C564" s="117"/>
      <c r="D564" s="117"/>
      <c r="E564" s="117"/>
      <c r="F564" s="118"/>
      <c r="G564" s="117"/>
    </row>
    <row r="565" spans="1:7" s="115" customFormat="1" x14ac:dyDescent="0.25">
      <c r="A565" s="117"/>
      <c r="B565" s="117"/>
      <c r="C565" s="117"/>
      <c r="D565" s="117"/>
      <c r="E565" s="117"/>
      <c r="F565" s="118"/>
      <c r="G565" s="117"/>
    </row>
    <row r="566" spans="1:7" s="116" customFormat="1" x14ac:dyDescent="0.25">
      <c r="A566" s="117"/>
      <c r="B566" s="117"/>
      <c r="C566" s="117"/>
      <c r="D566" s="117"/>
      <c r="E566" s="117"/>
      <c r="F566" s="118"/>
      <c r="G566" s="117"/>
    </row>
    <row r="567" spans="1:7" s="115" customFormat="1" x14ac:dyDescent="0.25">
      <c r="A567" s="117"/>
      <c r="B567" s="117"/>
      <c r="C567" s="117"/>
      <c r="D567" s="117"/>
      <c r="E567" s="117"/>
      <c r="F567" s="118"/>
      <c r="G567" s="117"/>
    </row>
    <row r="568" spans="1:7" s="115" customFormat="1" x14ac:dyDescent="0.25">
      <c r="A568" s="117"/>
      <c r="B568" s="117"/>
      <c r="C568" s="117"/>
      <c r="D568" s="117"/>
      <c r="E568" s="117"/>
      <c r="F568" s="118"/>
      <c r="G568" s="117"/>
    </row>
    <row r="569" spans="1:7" s="115" customFormat="1" x14ac:dyDescent="0.25">
      <c r="A569" s="117"/>
      <c r="B569" s="117"/>
      <c r="C569" s="117"/>
      <c r="D569" s="117"/>
      <c r="E569" s="117"/>
      <c r="F569" s="118"/>
      <c r="G569" s="117"/>
    </row>
    <row r="570" spans="1:7" s="115" customFormat="1" x14ac:dyDescent="0.25">
      <c r="A570" s="117"/>
      <c r="B570" s="117"/>
      <c r="C570" s="117"/>
      <c r="D570" s="117"/>
      <c r="E570" s="117"/>
      <c r="F570" s="118"/>
      <c r="G570" s="117"/>
    </row>
    <row r="571" spans="1:7" s="115" customFormat="1" x14ac:dyDescent="0.25">
      <c r="A571" s="117"/>
      <c r="B571" s="117"/>
      <c r="C571" s="117"/>
      <c r="D571" s="117"/>
      <c r="E571" s="117"/>
      <c r="F571" s="118"/>
      <c r="G571" s="117"/>
    </row>
    <row r="572" spans="1:7" s="115" customFormat="1" x14ac:dyDescent="0.25">
      <c r="A572" s="117"/>
      <c r="B572" s="117"/>
      <c r="C572" s="117"/>
      <c r="D572" s="117"/>
      <c r="E572" s="117"/>
      <c r="F572" s="118"/>
      <c r="G572" s="117"/>
    </row>
    <row r="573" spans="1:7" s="115" customFormat="1" x14ac:dyDescent="0.25">
      <c r="A573" s="117"/>
      <c r="B573" s="117"/>
      <c r="C573" s="117"/>
      <c r="D573" s="117"/>
      <c r="E573" s="117"/>
      <c r="F573" s="118"/>
      <c r="G573" s="117"/>
    </row>
    <row r="574" spans="1:7" s="115" customFormat="1" x14ac:dyDescent="0.25">
      <c r="A574" s="117"/>
      <c r="B574" s="117"/>
      <c r="C574" s="117"/>
      <c r="D574" s="117"/>
      <c r="E574" s="117"/>
      <c r="F574" s="118"/>
      <c r="G574" s="117"/>
    </row>
    <row r="575" spans="1:7" s="115" customFormat="1" x14ac:dyDescent="0.25">
      <c r="A575" s="117"/>
      <c r="B575" s="117"/>
      <c r="C575" s="117"/>
      <c r="D575" s="117"/>
      <c r="E575" s="117"/>
      <c r="F575" s="118"/>
      <c r="G575" s="117"/>
    </row>
    <row r="576" spans="1:7" s="115" customFormat="1" x14ac:dyDescent="0.25">
      <c r="A576" s="117"/>
      <c r="B576" s="117"/>
      <c r="C576" s="117"/>
      <c r="D576" s="117"/>
      <c r="E576" s="117"/>
      <c r="F576" s="118"/>
      <c r="G576" s="117"/>
    </row>
    <row r="577" spans="1:7" s="115" customFormat="1" x14ac:dyDescent="0.25">
      <c r="A577" s="117"/>
      <c r="B577" s="117"/>
      <c r="C577" s="117"/>
      <c r="D577" s="117"/>
      <c r="E577" s="117"/>
      <c r="F577" s="118"/>
      <c r="G577" s="117"/>
    </row>
    <row r="578" spans="1:7" s="115" customFormat="1" x14ac:dyDescent="0.25">
      <c r="A578" s="117"/>
      <c r="B578" s="117"/>
      <c r="C578" s="117"/>
      <c r="D578" s="117"/>
      <c r="E578" s="117"/>
      <c r="F578" s="118"/>
      <c r="G578" s="117"/>
    </row>
    <row r="579" spans="1:7" s="115" customFormat="1" x14ac:dyDescent="0.25">
      <c r="A579" s="117"/>
      <c r="B579" s="117"/>
      <c r="C579" s="117"/>
      <c r="D579" s="117"/>
      <c r="E579" s="117"/>
      <c r="F579" s="118"/>
      <c r="G579" s="117"/>
    </row>
    <row r="580" spans="1:7" s="115" customFormat="1" x14ac:dyDescent="0.25">
      <c r="A580" s="117"/>
      <c r="B580" s="117"/>
      <c r="C580" s="117"/>
      <c r="D580" s="117"/>
      <c r="E580" s="117"/>
      <c r="F580" s="118"/>
      <c r="G580" s="117"/>
    </row>
    <row r="581" spans="1:7" s="115" customFormat="1" x14ac:dyDescent="0.25">
      <c r="A581" s="117"/>
      <c r="B581" s="117"/>
      <c r="C581" s="117"/>
      <c r="D581" s="117"/>
      <c r="E581" s="117"/>
      <c r="F581" s="118"/>
      <c r="G581" s="117"/>
    </row>
    <row r="582" spans="1:7" s="115" customFormat="1" x14ac:dyDescent="0.25">
      <c r="A582" s="117"/>
      <c r="B582" s="117"/>
      <c r="C582" s="117"/>
      <c r="D582" s="117"/>
      <c r="E582" s="117"/>
      <c r="F582" s="118"/>
      <c r="G582" s="117"/>
    </row>
    <row r="583" spans="1:7" s="115" customFormat="1" x14ac:dyDescent="0.25">
      <c r="A583" s="117"/>
      <c r="B583" s="117"/>
      <c r="C583" s="117"/>
      <c r="D583" s="117"/>
      <c r="E583" s="117"/>
      <c r="F583" s="118"/>
      <c r="G583" s="117"/>
    </row>
    <row r="584" spans="1:7" s="115" customFormat="1" x14ac:dyDescent="0.25">
      <c r="A584" s="117"/>
      <c r="B584" s="117"/>
      <c r="C584" s="117"/>
      <c r="D584" s="117"/>
      <c r="E584" s="117"/>
      <c r="F584" s="118"/>
      <c r="G584" s="117"/>
    </row>
    <row r="585" spans="1:7" s="115" customFormat="1" x14ac:dyDescent="0.25">
      <c r="A585" s="117"/>
      <c r="B585" s="117"/>
      <c r="C585" s="117"/>
      <c r="D585" s="117"/>
      <c r="E585" s="117"/>
      <c r="F585" s="118"/>
      <c r="G585" s="117"/>
    </row>
    <row r="586" spans="1:7" s="115" customFormat="1" x14ac:dyDescent="0.25">
      <c r="A586" s="117"/>
      <c r="B586" s="117"/>
      <c r="C586" s="117"/>
      <c r="D586" s="117"/>
      <c r="E586" s="117"/>
      <c r="F586" s="118"/>
      <c r="G586" s="117"/>
    </row>
    <row r="587" spans="1:7" s="115" customFormat="1" x14ac:dyDescent="0.25">
      <c r="A587" s="117"/>
      <c r="B587" s="117"/>
      <c r="C587" s="117"/>
      <c r="D587" s="117"/>
      <c r="E587" s="117"/>
      <c r="F587" s="118"/>
      <c r="G587" s="117"/>
    </row>
    <row r="588" spans="1:7" s="115" customFormat="1" x14ac:dyDescent="0.25">
      <c r="A588" s="117"/>
      <c r="B588" s="117"/>
      <c r="C588" s="117"/>
      <c r="D588" s="117"/>
      <c r="E588" s="117"/>
      <c r="F588" s="118"/>
      <c r="G588" s="117"/>
    </row>
    <row r="589" spans="1:7" s="115" customFormat="1" x14ac:dyDescent="0.25">
      <c r="A589" s="117"/>
      <c r="B589" s="117"/>
      <c r="C589" s="117"/>
      <c r="D589" s="117"/>
      <c r="E589" s="117"/>
      <c r="F589" s="118"/>
      <c r="G589" s="117"/>
    </row>
    <row r="590" spans="1:7" s="115" customFormat="1" x14ac:dyDescent="0.25">
      <c r="A590" s="117"/>
      <c r="B590" s="117"/>
      <c r="C590" s="117"/>
      <c r="D590" s="117"/>
      <c r="E590" s="117"/>
      <c r="F590" s="118"/>
      <c r="G590" s="117"/>
    </row>
    <row r="591" spans="1:7" s="115" customFormat="1" x14ac:dyDescent="0.25">
      <c r="A591" s="117"/>
      <c r="B591" s="117"/>
      <c r="C591" s="117"/>
      <c r="D591" s="117"/>
      <c r="E591" s="117"/>
      <c r="F591" s="118"/>
      <c r="G591" s="117"/>
    </row>
    <row r="592" spans="1:7" s="115" customFormat="1" x14ac:dyDescent="0.25">
      <c r="A592" s="117"/>
      <c r="B592" s="117"/>
      <c r="C592" s="117"/>
      <c r="D592" s="117"/>
      <c r="E592" s="117"/>
      <c r="F592" s="118"/>
      <c r="G592" s="117"/>
    </row>
    <row r="593" spans="1:7" s="115" customFormat="1" x14ac:dyDescent="0.25">
      <c r="A593" s="117"/>
      <c r="B593" s="117"/>
      <c r="C593" s="117"/>
      <c r="D593" s="117"/>
      <c r="E593" s="117"/>
      <c r="F593" s="118"/>
      <c r="G593" s="117"/>
    </row>
    <row r="594" spans="1:7" s="116" customFormat="1" x14ac:dyDescent="0.25">
      <c r="A594" s="117"/>
      <c r="B594" s="117"/>
      <c r="C594" s="117"/>
      <c r="D594" s="117"/>
      <c r="E594" s="117"/>
      <c r="F594" s="118"/>
      <c r="G594" s="117"/>
    </row>
    <row r="595" spans="1:7" s="115" customFormat="1" x14ac:dyDescent="0.25">
      <c r="A595" s="117"/>
      <c r="B595" s="117"/>
      <c r="C595" s="117"/>
      <c r="D595" s="117"/>
      <c r="E595" s="117"/>
      <c r="F595" s="118"/>
      <c r="G595" s="117"/>
    </row>
    <row r="596" spans="1:7" s="115" customFormat="1" x14ac:dyDescent="0.25">
      <c r="A596" s="117"/>
      <c r="B596" s="117"/>
      <c r="C596" s="117"/>
      <c r="D596" s="117"/>
      <c r="E596" s="117"/>
      <c r="F596" s="118"/>
      <c r="G596" s="117"/>
    </row>
    <row r="597" spans="1:7" s="115" customFormat="1" x14ac:dyDescent="0.25">
      <c r="A597" s="117"/>
      <c r="B597" s="117"/>
      <c r="C597" s="117"/>
      <c r="D597" s="117"/>
      <c r="E597" s="117"/>
      <c r="F597" s="118"/>
      <c r="G597" s="117"/>
    </row>
    <row r="598" spans="1:7" s="115" customFormat="1" x14ac:dyDescent="0.25">
      <c r="A598" s="117"/>
      <c r="B598" s="117"/>
      <c r="C598" s="117"/>
      <c r="D598" s="117"/>
      <c r="E598" s="117"/>
      <c r="F598" s="118"/>
      <c r="G598" s="117"/>
    </row>
    <row r="599" spans="1:7" s="115" customFormat="1" x14ac:dyDescent="0.25">
      <c r="A599" s="117"/>
      <c r="B599" s="117"/>
      <c r="C599" s="117"/>
      <c r="D599" s="117"/>
      <c r="E599" s="117"/>
      <c r="F599" s="118"/>
      <c r="G599" s="117"/>
    </row>
    <row r="600" spans="1:7" s="115" customFormat="1" x14ac:dyDescent="0.25">
      <c r="A600" s="117"/>
      <c r="B600" s="117"/>
      <c r="C600" s="117"/>
      <c r="D600" s="117"/>
      <c r="E600" s="117"/>
      <c r="F600" s="118"/>
      <c r="G600" s="117"/>
    </row>
    <row r="601" spans="1:7" s="115" customFormat="1" x14ac:dyDescent="0.25">
      <c r="A601" s="117"/>
      <c r="B601" s="117"/>
      <c r="C601" s="117"/>
      <c r="D601" s="117"/>
      <c r="E601" s="117"/>
      <c r="F601" s="118"/>
      <c r="G601" s="117"/>
    </row>
    <row r="602" spans="1:7" s="115" customFormat="1" x14ac:dyDescent="0.25">
      <c r="A602" s="117"/>
      <c r="B602" s="117"/>
      <c r="C602" s="117"/>
      <c r="D602" s="117"/>
      <c r="E602" s="117"/>
      <c r="F602" s="118"/>
      <c r="G602" s="117"/>
    </row>
    <row r="603" spans="1:7" s="115" customFormat="1" x14ac:dyDescent="0.25">
      <c r="A603" s="117"/>
      <c r="B603" s="117"/>
      <c r="C603" s="117"/>
      <c r="D603" s="117"/>
      <c r="E603" s="117"/>
      <c r="F603" s="118"/>
      <c r="G603" s="117"/>
    </row>
    <row r="604" spans="1:7" s="115" customFormat="1" x14ac:dyDescent="0.25">
      <c r="A604" s="117"/>
      <c r="B604" s="117"/>
      <c r="C604" s="117"/>
      <c r="D604" s="117"/>
      <c r="E604" s="117"/>
      <c r="F604" s="118"/>
      <c r="G604" s="117"/>
    </row>
    <row r="605" spans="1:7" s="115" customFormat="1" x14ac:dyDescent="0.25">
      <c r="A605" s="117"/>
      <c r="B605" s="117"/>
      <c r="C605" s="117"/>
      <c r="D605" s="117"/>
      <c r="E605" s="117"/>
      <c r="F605" s="118"/>
      <c r="G605" s="117"/>
    </row>
    <row r="606" spans="1:7" s="115" customFormat="1" x14ac:dyDescent="0.25">
      <c r="A606" s="117"/>
      <c r="B606" s="117"/>
      <c r="C606" s="117"/>
      <c r="D606" s="117"/>
      <c r="E606" s="117"/>
      <c r="F606" s="118"/>
      <c r="G606" s="117"/>
    </row>
    <row r="607" spans="1:7" s="115" customFormat="1" x14ac:dyDescent="0.25">
      <c r="A607" s="117"/>
      <c r="B607" s="117"/>
      <c r="C607" s="117"/>
      <c r="D607" s="117"/>
      <c r="E607" s="117"/>
      <c r="F607" s="118"/>
      <c r="G607" s="117"/>
    </row>
    <row r="608" spans="1:7" s="115" customFormat="1" x14ac:dyDescent="0.25">
      <c r="A608" s="117"/>
      <c r="B608" s="117"/>
      <c r="C608" s="117"/>
      <c r="D608" s="117"/>
      <c r="E608" s="117"/>
      <c r="F608" s="118"/>
      <c r="G608" s="117"/>
    </row>
    <row r="609" spans="1:7" s="115" customFormat="1" x14ac:dyDescent="0.25">
      <c r="A609" s="117"/>
      <c r="B609" s="117"/>
      <c r="C609" s="117"/>
      <c r="D609" s="117"/>
      <c r="E609" s="117"/>
      <c r="F609" s="118"/>
      <c r="G609" s="117"/>
    </row>
    <row r="610" spans="1:7" s="115" customFormat="1" x14ac:dyDescent="0.25">
      <c r="A610" s="117"/>
      <c r="B610" s="117"/>
      <c r="C610" s="117"/>
      <c r="D610" s="117"/>
      <c r="E610" s="117"/>
      <c r="F610" s="118"/>
      <c r="G610" s="117"/>
    </row>
    <row r="611" spans="1:7" s="115" customFormat="1" x14ac:dyDescent="0.25">
      <c r="A611" s="117"/>
      <c r="B611" s="117"/>
      <c r="C611" s="117"/>
      <c r="D611" s="117"/>
      <c r="E611" s="117"/>
      <c r="F611" s="118"/>
      <c r="G611" s="117"/>
    </row>
    <row r="612" spans="1:7" s="115" customFormat="1" x14ac:dyDescent="0.25">
      <c r="A612" s="117"/>
      <c r="B612" s="117"/>
      <c r="C612" s="117"/>
      <c r="D612" s="117"/>
      <c r="E612" s="117"/>
      <c r="F612" s="118"/>
      <c r="G612" s="117"/>
    </row>
    <row r="613" spans="1:7" s="115" customFormat="1" x14ac:dyDescent="0.25">
      <c r="A613" s="117"/>
      <c r="B613" s="117"/>
      <c r="C613" s="117"/>
      <c r="D613" s="117"/>
      <c r="E613" s="117"/>
      <c r="F613" s="118"/>
      <c r="G613" s="117"/>
    </row>
    <row r="614" spans="1:7" s="115" customFormat="1" x14ac:dyDescent="0.25">
      <c r="A614" s="117"/>
      <c r="B614" s="117"/>
      <c r="C614" s="117"/>
      <c r="D614" s="117"/>
      <c r="E614" s="117"/>
      <c r="F614" s="118"/>
      <c r="G614" s="117"/>
    </row>
    <row r="615" spans="1:7" s="116" customFormat="1" x14ac:dyDescent="0.25">
      <c r="A615" s="117"/>
      <c r="B615" s="117"/>
      <c r="C615" s="117"/>
      <c r="D615" s="117"/>
      <c r="E615" s="117"/>
      <c r="F615" s="118"/>
      <c r="G615" s="117"/>
    </row>
    <row r="616" spans="1:7" s="115" customFormat="1" x14ac:dyDescent="0.25">
      <c r="A616" s="117"/>
      <c r="B616" s="117"/>
      <c r="C616" s="117"/>
      <c r="D616" s="117"/>
      <c r="E616" s="117"/>
      <c r="F616" s="118"/>
      <c r="G616" s="117"/>
    </row>
    <row r="617" spans="1:7" s="115" customFormat="1" x14ac:dyDescent="0.25">
      <c r="A617" s="117"/>
      <c r="B617" s="117"/>
      <c r="C617" s="117"/>
      <c r="D617" s="117"/>
      <c r="E617" s="117"/>
      <c r="F617" s="118"/>
      <c r="G617" s="117"/>
    </row>
    <row r="618" spans="1:7" s="115" customFormat="1" x14ac:dyDescent="0.25">
      <c r="A618" s="117"/>
      <c r="B618" s="117"/>
      <c r="C618" s="117"/>
      <c r="D618" s="117"/>
      <c r="E618" s="117"/>
      <c r="F618" s="118"/>
      <c r="G618" s="117"/>
    </row>
    <row r="619" spans="1:7" s="115" customFormat="1" x14ac:dyDescent="0.25">
      <c r="A619" s="117"/>
      <c r="B619" s="117"/>
      <c r="C619" s="117"/>
      <c r="D619" s="117"/>
      <c r="E619" s="117"/>
      <c r="F619" s="118"/>
      <c r="G619" s="117"/>
    </row>
    <row r="620" spans="1:7" s="115" customFormat="1" x14ac:dyDescent="0.25">
      <c r="A620" s="117"/>
      <c r="B620" s="117"/>
      <c r="C620" s="117"/>
      <c r="D620" s="117"/>
      <c r="E620" s="117"/>
      <c r="F620" s="118"/>
      <c r="G620" s="117"/>
    </row>
    <row r="621" spans="1:7" s="115" customFormat="1" x14ac:dyDescent="0.25">
      <c r="A621" s="117"/>
      <c r="B621" s="117"/>
      <c r="C621" s="117"/>
      <c r="D621" s="117"/>
      <c r="E621" s="117"/>
      <c r="F621" s="118"/>
      <c r="G621" s="117"/>
    </row>
    <row r="622" spans="1:7" s="115" customFormat="1" x14ac:dyDescent="0.25">
      <c r="A622" s="117"/>
      <c r="B622" s="117"/>
      <c r="C622" s="117"/>
      <c r="D622" s="117"/>
      <c r="E622" s="117"/>
      <c r="F622" s="118"/>
      <c r="G622" s="117"/>
    </row>
    <row r="623" spans="1:7" s="115" customFormat="1" x14ac:dyDescent="0.25">
      <c r="A623" s="117"/>
      <c r="B623" s="117"/>
      <c r="C623" s="117"/>
      <c r="D623" s="117"/>
      <c r="E623" s="117"/>
      <c r="F623" s="118"/>
      <c r="G623" s="117"/>
    </row>
    <row r="624" spans="1:7" s="115" customFormat="1" x14ac:dyDescent="0.25">
      <c r="A624" s="117"/>
      <c r="B624" s="117"/>
      <c r="C624" s="117"/>
      <c r="D624" s="117"/>
      <c r="E624" s="117"/>
      <c r="F624" s="118"/>
      <c r="G624" s="117"/>
    </row>
    <row r="625" spans="1:7" s="115" customFormat="1" x14ac:dyDescent="0.25">
      <c r="A625" s="117"/>
      <c r="B625" s="117"/>
      <c r="C625" s="117"/>
      <c r="D625" s="117"/>
      <c r="E625" s="117"/>
      <c r="F625" s="118"/>
      <c r="G625" s="117"/>
    </row>
    <row r="626" spans="1:7" s="115" customFormat="1" x14ac:dyDescent="0.25">
      <c r="A626" s="117"/>
      <c r="B626" s="117"/>
      <c r="C626" s="117"/>
      <c r="D626" s="117"/>
      <c r="E626" s="117"/>
      <c r="F626" s="118"/>
      <c r="G626" s="117"/>
    </row>
    <row r="629" spans="1:7" s="115" customFormat="1" x14ac:dyDescent="0.25">
      <c r="A629" s="117"/>
      <c r="B629" s="117"/>
      <c r="C629" s="117"/>
      <c r="D629" s="117"/>
      <c r="E629" s="117"/>
      <c r="F629" s="118"/>
      <c r="G629" s="117"/>
    </row>
    <row r="630" spans="1:7" s="115" customFormat="1" x14ac:dyDescent="0.25">
      <c r="A630" s="117"/>
      <c r="B630" s="117"/>
      <c r="C630" s="117"/>
      <c r="D630" s="117"/>
      <c r="E630" s="117"/>
      <c r="F630" s="118"/>
      <c r="G630" s="117"/>
    </row>
    <row r="631" spans="1:7" s="115" customFormat="1" x14ac:dyDescent="0.25">
      <c r="A631" s="117"/>
      <c r="B631" s="117"/>
      <c r="C631" s="117"/>
      <c r="D631" s="117"/>
      <c r="E631" s="117"/>
      <c r="F631" s="118"/>
      <c r="G631" s="117"/>
    </row>
    <row r="632" spans="1:7" s="115" customFormat="1" x14ac:dyDescent="0.25">
      <c r="A632" s="117"/>
      <c r="B632" s="117"/>
      <c r="C632" s="117"/>
      <c r="D632" s="117"/>
      <c r="E632" s="117"/>
      <c r="F632" s="118"/>
      <c r="G632" s="117"/>
    </row>
    <row r="633" spans="1:7" s="115" customFormat="1" x14ac:dyDescent="0.25">
      <c r="A633" s="117"/>
      <c r="B633" s="117"/>
      <c r="C633" s="117"/>
      <c r="D633" s="117"/>
      <c r="E633" s="117"/>
      <c r="F633" s="118"/>
      <c r="G633" s="117"/>
    </row>
    <row r="634" spans="1:7" s="115" customFormat="1" x14ac:dyDescent="0.25">
      <c r="A634" s="117"/>
      <c r="B634" s="117"/>
      <c r="C634" s="117"/>
      <c r="D634" s="117"/>
      <c r="E634" s="117"/>
      <c r="F634" s="118"/>
      <c r="G634" s="117"/>
    </row>
    <row r="635" spans="1:7" s="115" customFormat="1" x14ac:dyDescent="0.25">
      <c r="A635" s="117"/>
      <c r="B635" s="117"/>
      <c r="C635" s="117"/>
      <c r="D635" s="117"/>
      <c r="E635" s="117"/>
      <c r="F635" s="118"/>
      <c r="G635" s="117"/>
    </row>
    <row r="636" spans="1:7" s="115" customFormat="1" x14ac:dyDescent="0.25">
      <c r="A636" s="117"/>
      <c r="B636" s="117"/>
      <c r="C636" s="117"/>
      <c r="D636" s="117"/>
      <c r="E636" s="117"/>
      <c r="F636" s="118"/>
      <c r="G636" s="117"/>
    </row>
    <row r="637" spans="1:7" s="115" customFormat="1" x14ac:dyDescent="0.25">
      <c r="A637" s="117"/>
      <c r="B637" s="117"/>
      <c r="C637" s="117"/>
      <c r="D637" s="117"/>
      <c r="E637" s="117"/>
      <c r="F637" s="118"/>
      <c r="G637" s="117"/>
    </row>
    <row r="638" spans="1:7" s="115" customFormat="1" x14ac:dyDescent="0.25">
      <c r="A638" s="117"/>
      <c r="B638" s="117"/>
      <c r="C638" s="117"/>
      <c r="D638" s="117"/>
      <c r="E638" s="117"/>
      <c r="F638" s="118"/>
      <c r="G638" s="117"/>
    </row>
    <row r="639" spans="1:7" s="115" customFormat="1" x14ac:dyDescent="0.25">
      <c r="A639" s="117"/>
      <c r="B639" s="117"/>
      <c r="C639" s="117"/>
      <c r="D639" s="117"/>
      <c r="E639" s="117"/>
      <c r="F639" s="118"/>
      <c r="G639" s="117"/>
    </row>
    <row r="640" spans="1:7" s="115" customFormat="1" x14ac:dyDescent="0.25">
      <c r="A640" s="117"/>
      <c r="B640" s="117"/>
      <c r="C640" s="117"/>
      <c r="D640" s="117"/>
      <c r="E640" s="117"/>
      <c r="F640" s="118"/>
      <c r="G640" s="117"/>
    </row>
    <row r="641" spans="1:7" s="115" customFormat="1" x14ac:dyDescent="0.25">
      <c r="A641" s="117"/>
      <c r="B641" s="117"/>
      <c r="C641" s="117"/>
      <c r="D641" s="117"/>
      <c r="E641" s="117"/>
      <c r="F641" s="118"/>
      <c r="G641" s="117"/>
    </row>
    <row r="642" spans="1:7" s="115" customFormat="1" x14ac:dyDescent="0.25">
      <c r="A642" s="117"/>
      <c r="B642" s="117"/>
      <c r="C642" s="117"/>
      <c r="D642" s="117"/>
      <c r="E642" s="117"/>
      <c r="F642" s="118"/>
      <c r="G642" s="117"/>
    </row>
    <row r="643" spans="1:7" s="115" customFormat="1" x14ac:dyDescent="0.25">
      <c r="A643" s="117"/>
      <c r="B643" s="117"/>
      <c r="C643" s="117"/>
      <c r="D643" s="117"/>
      <c r="E643" s="117"/>
      <c r="F643" s="118"/>
      <c r="G643" s="117"/>
    </row>
    <row r="644" spans="1:7" s="115" customFormat="1" x14ac:dyDescent="0.25">
      <c r="A644" s="117"/>
      <c r="B644" s="117"/>
      <c r="C644" s="117"/>
      <c r="D644" s="117"/>
      <c r="E644" s="117"/>
      <c r="F644" s="118"/>
      <c r="G644" s="117"/>
    </row>
    <row r="645" spans="1:7" s="115" customFormat="1" x14ac:dyDescent="0.25">
      <c r="A645" s="117"/>
      <c r="B645" s="117"/>
      <c r="C645" s="117"/>
      <c r="D645" s="117"/>
      <c r="E645" s="117"/>
      <c r="F645" s="118"/>
      <c r="G645" s="117"/>
    </row>
    <row r="646" spans="1:7" s="115" customFormat="1" x14ac:dyDescent="0.25">
      <c r="A646" s="117"/>
      <c r="B646" s="117"/>
      <c r="C646" s="117"/>
      <c r="D646" s="117"/>
      <c r="E646" s="117"/>
      <c r="F646" s="118"/>
      <c r="G646" s="117"/>
    </row>
    <row r="647" spans="1:7" s="115" customFormat="1" x14ac:dyDescent="0.25">
      <c r="A647" s="117"/>
      <c r="B647" s="117"/>
      <c r="C647" s="117"/>
      <c r="D647" s="117"/>
      <c r="E647" s="117"/>
      <c r="F647" s="118"/>
      <c r="G647" s="117"/>
    </row>
    <row r="648" spans="1:7" s="115" customFormat="1" x14ac:dyDescent="0.25">
      <c r="A648" s="117"/>
      <c r="B648" s="117"/>
      <c r="C648" s="117"/>
      <c r="D648" s="117"/>
      <c r="E648" s="117"/>
      <c r="F648" s="118"/>
      <c r="G648" s="117"/>
    </row>
    <row r="649" spans="1:7" s="115" customFormat="1" x14ac:dyDescent="0.25">
      <c r="A649" s="117"/>
      <c r="B649" s="117"/>
      <c r="C649" s="117"/>
      <c r="D649" s="117"/>
      <c r="E649" s="117"/>
      <c r="F649" s="118"/>
      <c r="G649" s="117"/>
    </row>
    <row r="650" spans="1:7" s="115" customFormat="1" x14ac:dyDescent="0.25">
      <c r="A650" s="117"/>
      <c r="B650" s="117"/>
      <c r="C650" s="117"/>
      <c r="D650" s="117"/>
      <c r="E650" s="117"/>
      <c r="F650" s="118"/>
      <c r="G650" s="117"/>
    </row>
    <row r="651" spans="1:7" s="115" customFormat="1" x14ac:dyDescent="0.25">
      <c r="A651" s="117"/>
      <c r="B651" s="117"/>
      <c r="C651" s="117"/>
      <c r="D651" s="117"/>
      <c r="E651" s="117"/>
      <c r="F651" s="118"/>
      <c r="G651" s="117"/>
    </row>
    <row r="652" spans="1:7" s="115" customFormat="1" x14ac:dyDescent="0.25">
      <c r="A652" s="117"/>
      <c r="B652" s="117"/>
      <c r="C652" s="117"/>
      <c r="D652" s="117"/>
      <c r="E652" s="117"/>
      <c r="F652" s="118"/>
      <c r="G652" s="117"/>
    </row>
    <row r="653" spans="1:7" s="115" customFormat="1" x14ac:dyDescent="0.25">
      <c r="A653" s="117"/>
      <c r="B653" s="117"/>
      <c r="C653" s="117"/>
      <c r="D653" s="117"/>
      <c r="E653" s="117"/>
      <c r="F653" s="118"/>
      <c r="G653" s="117"/>
    </row>
    <row r="654" spans="1:7" s="115" customFormat="1" x14ac:dyDescent="0.25">
      <c r="A654" s="117"/>
      <c r="B654" s="117"/>
      <c r="C654" s="117"/>
      <c r="D654" s="117"/>
      <c r="E654" s="117"/>
      <c r="F654" s="118"/>
      <c r="G654" s="117"/>
    </row>
    <row r="655" spans="1:7" s="115" customFormat="1" x14ac:dyDescent="0.25">
      <c r="A655" s="117"/>
      <c r="B655" s="117"/>
      <c r="C655" s="117"/>
      <c r="D655" s="117"/>
      <c r="E655" s="117"/>
      <c r="F655" s="118"/>
      <c r="G655" s="117"/>
    </row>
    <row r="656" spans="1:7" s="115" customFormat="1" x14ac:dyDescent="0.25">
      <c r="A656" s="117"/>
      <c r="B656" s="117"/>
      <c r="C656" s="117"/>
      <c r="D656" s="117"/>
      <c r="E656" s="117"/>
      <c r="F656" s="118"/>
      <c r="G656" s="117"/>
    </row>
    <row r="657" spans="1:7" s="115" customFormat="1" x14ac:dyDescent="0.25">
      <c r="A657" s="117"/>
      <c r="B657" s="117"/>
      <c r="C657" s="117"/>
      <c r="D657" s="117"/>
      <c r="E657" s="117"/>
      <c r="F657" s="118"/>
      <c r="G657" s="117"/>
    </row>
    <row r="658" spans="1:7" s="115" customFormat="1" x14ac:dyDescent="0.25">
      <c r="A658" s="117"/>
      <c r="B658" s="117"/>
      <c r="C658" s="117"/>
      <c r="D658" s="117"/>
      <c r="E658" s="117"/>
      <c r="F658" s="118"/>
      <c r="G658" s="117"/>
    </row>
    <row r="659" spans="1:7" s="115" customFormat="1" x14ac:dyDescent="0.25">
      <c r="A659" s="117"/>
      <c r="B659" s="117"/>
      <c r="C659" s="117"/>
      <c r="D659" s="117"/>
      <c r="E659" s="117"/>
      <c r="F659" s="118"/>
      <c r="G659" s="117"/>
    </row>
    <row r="660" spans="1:7" s="115" customFormat="1" x14ac:dyDescent="0.25">
      <c r="A660" s="117"/>
      <c r="B660" s="117"/>
      <c r="C660" s="117"/>
      <c r="D660" s="117"/>
      <c r="E660" s="117"/>
      <c r="F660" s="118"/>
      <c r="G660" s="117"/>
    </row>
  </sheetData>
  <autoFilter ref="A1:G660" xr:uid="{00000000-0009-0000-0000-000000000000}"/>
  <mergeCells count="4">
    <mergeCell ref="A3:G3"/>
    <mergeCell ref="A21:G21"/>
    <mergeCell ref="A245:G245"/>
    <mergeCell ref="A394:G394"/>
  </mergeCells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6"/>
  <sheetViews>
    <sheetView zoomScale="55" zoomScaleNormal="55" workbookViewId="0">
      <selection activeCell="BC47" sqref="BC47"/>
    </sheetView>
  </sheetViews>
  <sheetFormatPr defaultColWidth="8.88671875" defaultRowHeight="13.8" x14ac:dyDescent="0.25"/>
  <cols>
    <col min="1" max="1" width="20.109375" style="52" customWidth="1"/>
    <col min="2" max="2" width="19.77734375" style="52" customWidth="1"/>
    <col min="3" max="3" width="20.21875" style="52" customWidth="1"/>
    <col min="4" max="4" width="32.88671875" style="52" customWidth="1"/>
    <col min="5" max="5" width="19" style="52" customWidth="1"/>
    <col min="6" max="6" width="20.109375" style="52" customWidth="1"/>
    <col min="7" max="7" width="33.33203125" style="52" customWidth="1"/>
    <col min="8" max="8" width="19" style="52" customWidth="1"/>
    <col min="9" max="9" width="17.33203125" style="52" customWidth="1"/>
    <col min="10" max="10" width="46.77734375" style="52" customWidth="1"/>
    <col min="11" max="11" width="16.109375" style="52" customWidth="1"/>
    <col min="12" max="16384" width="8.88671875" style="52"/>
  </cols>
  <sheetData>
    <row r="1" spans="1:10" ht="17.399999999999999" x14ac:dyDescent="0.25">
      <c r="A1" s="185" t="s">
        <v>376</v>
      </c>
      <c r="B1" s="186"/>
      <c r="C1" s="186"/>
      <c r="D1" s="186"/>
      <c r="E1" s="186"/>
      <c r="F1" s="186"/>
      <c r="G1" s="186"/>
      <c r="H1" s="187"/>
      <c r="I1" s="94"/>
      <c r="J1" s="95"/>
    </row>
    <row r="2" spans="1:10" s="47" customFormat="1" ht="17.399999999999999" x14ac:dyDescent="0.3">
      <c r="A2" s="53" t="s">
        <v>377</v>
      </c>
      <c r="B2" s="54" t="s">
        <v>378</v>
      </c>
      <c r="C2" s="54" t="s">
        <v>379</v>
      </c>
      <c r="D2" s="53" t="s">
        <v>380</v>
      </c>
      <c r="E2" s="54" t="s">
        <v>381</v>
      </c>
      <c r="F2" s="54" t="s">
        <v>382</v>
      </c>
      <c r="G2" s="54" t="s">
        <v>383</v>
      </c>
      <c r="H2" s="55" t="s">
        <v>384</v>
      </c>
    </row>
    <row r="3" spans="1:10" s="47" customFormat="1" ht="17.399999999999999" x14ac:dyDescent="0.3">
      <c r="A3" s="56" t="s">
        <v>385</v>
      </c>
      <c r="B3" s="57" t="s">
        <v>386</v>
      </c>
      <c r="C3" s="57" t="s">
        <v>387</v>
      </c>
      <c r="D3" s="57">
        <v>30</v>
      </c>
      <c r="E3" s="57" t="s">
        <v>388</v>
      </c>
      <c r="F3" s="58">
        <v>1745330</v>
      </c>
      <c r="G3" s="59">
        <v>0</v>
      </c>
      <c r="H3" s="60" t="s">
        <v>389</v>
      </c>
    </row>
    <row r="4" spans="1:10" s="47" customFormat="1" ht="17.399999999999999" x14ac:dyDescent="0.3">
      <c r="A4" s="61" t="s">
        <v>390</v>
      </c>
      <c r="B4" s="62" t="s">
        <v>391</v>
      </c>
      <c r="C4" s="62" t="s">
        <v>392</v>
      </c>
      <c r="D4" s="62">
        <v>85</v>
      </c>
      <c r="E4" s="62" t="s">
        <v>388</v>
      </c>
      <c r="F4" s="63">
        <v>2688430</v>
      </c>
      <c r="G4" s="64">
        <v>0.26606888863030498</v>
      </c>
      <c r="H4" s="65" t="s">
        <v>393</v>
      </c>
    </row>
    <row r="5" spans="1:10" s="47" customFormat="1" ht="17.399999999999999" x14ac:dyDescent="0.3">
      <c r="A5" s="61" t="s">
        <v>394</v>
      </c>
      <c r="B5" s="62" t="s">
        <v>395</v>
      </c>
      <c r="C5" s="62" t="s">
        <v>392</v>
      </c>
      <c r="D5" s="62">
        <v>100</v>
      </c>
      <c r="E5" s="62" t="s">
        <v>388</v>
      </c>
      <c r="F5" s="63">
        <v>1685782</v>
      </c>
      <c r="G5" s="64">
        <v>3.3945436943109901</v>
      </c>
      <c r="H5" s="66" t="s">
        <v>393</v>
      </c>
    </row>
    <row r="6" spans="1:10" s="47" customFormat="1" ht="17.399999999999999" x14ac:dyDescent="0.3">
      <c r="A6" s="61" t="s">
        <v>396</v>
      </c>
      <c r="B6" s="62" t="s">
        <v>397</v>
      </c>
      <c r="C6" s="62" t="s">
        <v>392</v>
      </c>
      <c r="D6" s="62">
        <v>125</v>
      </c>
      <c r="E6" s="62" t="s">
        <v>388</v>
      </c>
      <c r="F6" s="63">
        <v>1123559</v>
      </c>
      <c r="G6" s="64">
        <v>7.6397331934722299</v>
      </c>
      <c r="H6" s="66" t="s">
        <v>393</v>
      </c>
    </row>
    <row r="7" spans="1:10" s="47" customFormat="1" ht="17.399999999999999" x14ac:dyDescent="0.3">
      <c r="A7" s="61" t="s">
        <v>398</v>
      </c>
      <c r="B7" s="62" t="s">
        <v>399</v>
      </c>
      <c r="C7" s="62" t="s">
        <v>400</v>
      </c>
      <c r="D7" s="62">
        <v>300</v>
      </c>
      <c r="E7" s="62" t="s">
        <v>388</v>
      </c>
      <c r="F7" s="63">
        <v>5479974</v>
      </c>
      <c r="G7" s="64">
        <v>4.4380608004440596</v>
      </c>
      <c r="H7" s="66" t="s">
        <v>393</v>
      </c>
    </row>
    <row r="8" spans="1:10" s="47" customFormat="1" ht="17.399999999999999" x14ac:dyDescent="0.3">
      <c r="A8" s="56" t="s">
        <v>401</v>
      </c>
      <c r="B8" s="57" t="s">
        <v>402</v>
      </c>
      <c r="C8" s="57" t="s">
        <v>403</v>
      </c>
      <c r="D8" s="57">
        <v>500</v>
      </c>
      <c r="E8" s="57" t="s">
        <v>388</v>
      </c>
      <c r="F8" s="58">
        <v>533824</v>
      </c>
      <c r="G8" s="59">
        <v>0</v>
      </c>
      <c r="H8" s="60" t="s">
        <v>389</v>
      </c>
    </row>
    <row r="9" spans="1:10" s="47" customFormat="1" ht="17.399999999999999" x14ac:dyDescent="0.3">
      <c r="A9" s="56" t="s">
        <v>404</v>
      </c>
      <c r="B9" s="57" t="s">
        <v>405</v>
      </c>
      <c r="C9" s="57" t="s">
        <v>403</v>
      </c>
      <c r="D9" s="57">
        <v>800</v>
      </c>
      <c r="E9" s="57" t="s">
        <v>388</v>
      </c>
      <c r="F9" s="58">
        <v>201806</v>
      </c>
      <c r="G9" s="59">
        <v>0</v>
      </c>
      <c r="H9" s="60" t="s">
        <v>389</v>
      </c>
    </row>
    <row r="10" spans="1:10" s="47" customFormat="1" ht="17.399999999999999" x14ac:dyDescent="0.3">
      <c r="A10" s="56" t="s">
        <v>406</v>
      </c>
      <c r="B10" s="57" t="s">
        <v>407</v>
      </c>
      <c r="C10" s="57" t="s">
        <v>403</v>
      </c>
      <c r="D10" s="57">
        <v>1000</v>
      </c>
      <c r="E10" s="57" t="s">
        <v>388</v>
      </c>
      <c r="F10" s="58">
        <v>173089</v>
      </c>
      <c r="G10" s="59">
        <v>0</v>
      </c>
      <c r="H10" s="60" t="s">
        <v>389</v>
      </c>
    </row>
    <row r="11" spans="1:10" s="47" customFormat="1" ht="18" x14ac:dyDescent="0.25">
      <c r="A11" s="188" t="s">
        <v>408</v>
      </c>
      <c r="B11" s="189"/>
      <c r="C11" s="189"/>
      <c r="D11" s="189"/>
      <c r="E11" s="189"/>
      <c r="F11" s="189"/>
      <c r="G11" s="189"/>
      <c r="H11" s="190"/>
      <c r="I11" s="96"/>
      <c r="J11" s="96"/>
    </row>
    <row r="12" spans="1:10" s="47" customFormat="1" ht="15" x14ac:dyDescent="0.25">
      <c r="A12" s="191"/>
      <c r="B12" s="192"/>
      <c r="C12" s="192"/>
      <c r="D12" s="192"/>
      <c r="E12" s="192"/>
      <c r="F12" s="192"/>
      <c r="G12" s="192"/>
      <c r="H12" s="193"/>
      <c r="I12" s="96"/>
      <c r="J12" s="96"/>
    </row>
    <row r="13" spans="1:10" s="47" customFormat="1" ht="17.399999999999999" x14ac:dyDescent="0.3">
      <c r="A13" s="68" t="s">
        <v>409</v>
      </c>
      <c r="B13" s="69" t="s">
        <v>410</v>
      </c>
      <c r="C13" s="70" t="s">
        <v>411</v>
      </c>
      <c r="D13" s="69">
        <v>3675.5</v>
      </c>
      <c r="E13" s="70" t="s">
        <v>412</v>
      </c>
      <c r="F13" s="71">
        <v>46564104</v>
      </c>
      <c r="G13" s="72">
        <v>0.215064938254695</v>
      </c>
      <c r="H13" s="73" t="s">
        <v>413</v>
      </c>
    </row>
    <row r="14" spans="1:10" s="47" customFormat="1" ht="17.399999999999999" x14ac:dyDescent="0.3">
      <c r="A14" s="68" t="s">
        <v>414</v>
      </c>
      <c r="B14" s="69" t="s">
        <v>415</v>
      </c>
      <c r="C14" s="70" t="s">
        <v>411</v>
      </c>
      <c r="D14" s="69">
        <v>3676.5</v>
      </c>
      <c r="E14" s="70" t="s">
        <v>412</v>
      </c>
      <c r="F14" s="71">
        <v>42172952</v>
      </c>
      <c r="G14" s="72">
        <v>0.15265159148317001</v>
      </c>
      <c r="H14" s="73" t="s">
        <v>413</v>
      </c>
    </row>
    <row r="15" spans="1:10" s="47" customFormat="1" ht="17.399999999999999" x14ac:dyDescent="0.3">
      <c r="A15" s="68" t="s">
        <v>416</v>
      </c>
      <c r="B15" s="69" t="s">
        <v>417</v>
      </c>
      <c r="C15" s="70" t="s">
        <v>411</v>
      </c>
      <c r="D15" s="69">
        <v>3677.5</v>
      </c>
      <c r="E15" s="70" t="s">
        <v>412</v>
      </c>
      <c r="F15" s="71">
        <v>54252432</v>
      </c>
      <c r="G15" s="72">
        <v>1.45032823687316</v>
      </c>
      <c r="H15" s="73" t="s">
        <v>413</v>
      </c>
    </row>
    <row r="16" spans="1:10" s="47" customFormat="1" ht="17.399999999999999" x14ac:dyDescent="0.3">
      <c r="A16" s="68" t="s">
        <v>418</v>
      </c>
      <c r="B16" s="69" t="s">
        <v>419</v>
      </c>
      <c r="C16" s="70" t="s">
        <v>411</v>
      </c>
      <c r="D16" s="69">
        <v>3678.5</v>
      </c>
      <c r="E16" s="70" t="s">
        <v>412</v>
      </c>
      <c r="F16" s="71">
        <v>60327859</v>
      </c>
      <c r="G16" s="72">
        <v>0.99598822013344201</v>
      </c>
      <c r="H16" s="73" t="s">
        <v>413</v>
      </c>
    </row>
    <row r="17" spans="1:10" s="47" customFormat="1" ht="17.399999999999999" x14ac:dyDescent="0.3">
      <c r="A17" s="68" t="s">
        <v>420</v>
      </c>
      <c r="B17" s="69" t="s">
        <v>421</v>
      </c>
      <c r="C17" s="70" t="s">
        <v>411</v>
      </c>
      <c r="D17" s="69">
        <v>3679.5</v>
      </c>
      <c r="E17" s="70" t="s">
        <v>412</v>
      </c>
      <c r="F17" s="71">
        <v>50473898</v>
      </c>
      <c r="G17" s="72">
        <v>0.99202821145745501</v>
      </c>
      <c r="H17" s="73" t="s">
        <v>413</v>
      </c>
    </row>
    <row r="18" spans="1:10" s="47" customFormat="1" ht="17.399999999999999" x14ac:dyDescent="0.3">
      <c r="A18" s="68" t="s">
        <v>422</v>
      </c>
      <c r="B18" s="69" t="s">
        <v>423</v>
      </c>
      <c r="C18" s="70" t="s">
        <v>411</v>
      </c>
      <c r="D18" s="69">
        <v>3680.5</v>
      </c>
      <c r="E18" s="70" t="s">
        <v>412</v>
      </c>
      <c r="F18" s="71">
        <v>55232055</v>
      </c>
      <c r="G18" s="72">
        <v>0.919517449431972</v>
      </c>
      <c r="H18" s="73" t="s">
        <v>413</v>
      </c>
    </row>
    <row r="19" spans="1:10" s="47" customFormat="1" ht="17.399999999999999" x14ac:dyDescent="0.3">
      <c r="A19" s="68" t="s">
        <v>424</v>
      </c>
      <c r="B19" s="69" t="s">
        <v>425</v>
      </c>
      <c r="C19" s="70" t="s">
        <v>411</v>
      </c>
      <c r="D19" s="69">
        <v>3681.5</v>
      </c>
      <c r="E19" s="70" t="s">
        <v>412</v>
      </c>
      <c r="F19" s="71">
        <v>55988408</v>
      </c>
      <c r="G19" s="72">
        <v>1.3670313916026999</v>
      </c>
      <c r="H19" s="73" t="s">
        <v>413</v>
      </c>
    </row>
    <row r="20" spans="1:10" s="47" customFormat="1" ht="17.399999999999999" x14ac:dyDescent="0.3">
      <c r="A20" s="68" t="s">
        <v>426</v>
      </c>
      <c r="B20" s="69" t="s">
        <v>427</v>
      </c>
      <c r="C20" s="70" t="s">
        <v>411</v>
      </c>
      <c r="D20" s="69">
        <v>3682.5</v>
      </c>
      <c r="E20" s="70" t="s">
        <v>412</v>
      </c>
      <c r="F20" s="71">
        <v>50219033</v>
      </c>
      <c r="G20" s="72">
        <v>1.5240817421127899</v>
      </c>
      <c r="H20" s="73" t="s">
        <v>413</v>
      </c>
    </row>
    <row r="21" spans="1:10" ht="18" x14ac:dyDescent="0.25">
      <c r="A21" s="194" t="s">
        <v>428</v>
      </c>
      <c r="B21" s="195"/>
      <c r="C21" s="195"/>
      <c r="D21" s="195"/>
      <c r="E21" s="195"/>
      <c r="F21" s="195"/>
      <c r="G21" s="195"/>
      <c r="H21" s="196"/>
      <c r="I21" s="96"/>
      <c r="J21" s="96"/>
    </row>
    <row r="22" spans="1:10" s="47" customFormat="1" ht="15" x14ac:dyDescent="0.25"/>
    <row r="23" spans="1:10" s="47" customFormat="1" ht="15" x14ac:dyDescent="0.25">
      <c r="A23" s="67"/>
    </row>
    <row r="24" spans="1:10" ht="17.399999999999999" x14ac:dyDescent="0.25">
      <c r="A24" s="185" t="s">
        <v>429</v>
      </c>
      <c r="B24" s="186"/>
      <c r="C24" s="186"/>
      <c r="D24" s="186"/>
      <c r="E24" s="186"/>
      <c r="F24" s="186"/>
      <c r="G24" s="186"/>
      <c r="H24" s="187"/>
      <c r="I24" s="97"/>
      <c r="J24" s="97"/>
    </row>
    <row r="25" spans="1:10" s="48" customFormat="1" ht="16.8" customHeight="1" x14ac:dyDescent="0.3">
      <c r="A25" s="53" t="s">
        <v>377</v>
      </c>
      <c r="B25" s="54" t="s">
        <v>378</v>
      </c>
      <c r="C25" s="54" t="s">
        <v>379</v>
      </c>
      <c r="D25" s="53" t="s">
        <v>380</v>
      </c>
      <c r="E25" s="54" t="s">
        <v>381</v>
      </c>
      <c r="F25" s="54" t="s">
        <v>382</v>
      </c>
      <c r="G25" s="54" t="s">
        <v>383</v>
      </c>
      <c r="H25" s="55" t="s">
        <v>384</v>
      </c>
    </row>
    <row r="26" spans="1:10" s="49" customFormat="1" ht="17.399999999999999" x14ac:dyDescent="0.3">
      <c r="A26" s="74" t="s">
        <v>430</v>
      </c>
      <c r="B26" s="75" t="s">
        <v>431</v>
      </c>
      <c r="C26" s="76">
        <v>121.24925568</v>
      </c>
      <c r="D26" s="75">
        <v>50</v>
      </c>
      <c r="E26" s="75" t="s">
        <v>388</v>
      </c>
      <c r="F26" s="77">
        <v>2632476</v>
      </c>
      <c r="G26" s="59">
        <v>0</v>
      </c>
      <c r="H26" s="78" t="s">
        <v>389</v>
      </c>
    </row>
    <row r="27" spans="1:10" s="49" customFormat="1" ht="17.399999999999999" x14ac:dyDescent="0.3">
      <c r="A27" s="74" t="s">
        <v>432</v>
      </c>
      <c r="B27" s="75" t="s">
        <v>433</v>
      </c>
      <c r="C27" s="76">
        <v>2.0089408</v>
      </c>
      <c r="D27" s="75">
        <v>70</v>
      </c>
      <c r="E27" s="75" t="s">
        <v>388</v>
      </c>
      <c r="F27" s="77">
        <v>3369922</v>
      </c>
      <c r="G27" s="59">
        <v>0</v>
      </c>
      <c r="H27" s="78" t="s">
        <v>389</v>
      </c>
    </row>
    <row r="28" spans="1:10" s="49" customFormat="1" ht="17.399999999999999" x14ac:dyDescent="0.3">
      <c r="A28" s="79" t="s">
        <v>434</v>
      </c>
      <c r="B28" s="80" t="s">
        <v>435</v>
      </c>
      <c r="C28" s="81">
        <v>0.50020319999999996</v>
      </c>
      <c r="D28" s="80">
        <v>80</v>
      </c>
      <c r="E28" s="80" t="s">
        <v>388</v>
      </c>
      <c r="F28" s="82">
        <v>2802858</v>
      </c>
      <c r="G28" s="64">
        <v>0</v>
      </c>
      <c r="H28" s="65" t="s">
        <v>393</v>
      </c>
    </row>
    <row r="29" spans="1:10" s="49" customFormat="1" ht="17.399999999999999" x14ac:dyDescent="0.3">
      <c r="A29" s="79" t="s">
        <v>436</v>
      </c>
      <c r="B29" s="80" t="s">
        <v>437</v>
      </c>
      <c r="C29" s="81">
        <v>0.30012191999999999</v>
      </c>
      <c r="D29" s="80">
        <v>85</v>
      </c>
      <c r="E29" s="80" t="s">
        <v>388</v>
      </c>
      <c r="F29" s="82">
        <v>2736366</v>
      </c>
      <c r="G29" s="64">
        <v>0</v>
      </c>
      <c r="H29" s="65" t="s">
        <v>393</v>
      </c>
    </row>
    <row r="30" spans="1:10" s="49" customFormat="1" ht="17.399999999999999" x14ac:dyDescent="0.3">
      <c r="A30" s="79" t="s">
        <v>438</v>
      </c>
      <c r="B30" s="80" t="s">
        <v>439</v>
      </c>
      <c r="C30" s="81">
        <v>0.30012191999999999</v>
      </c>
      <c r="D30" s="80">
        <v>90</v>
      </c>
      <c r="E30" s="80" t="s">
        <v>388</v>
      </c>
      <c r="F30" s="82">
        <v>3453197</v>
      </c>
      <c r="G30" s="64">
        <v>0</v>
      </c>
      <c r="H30" s="65" t="s">
        <v>393</v>
      </c>
    </row>
    <row r="31" spans="1:10" s="49" customFormat="1" ht="17.399999999999999" x14ac:dyDescent="0.3">
      <c r="A31" s="79" t="s">
        <v>440</v>
      </c>
      <c r="B31" s="80" t="s">
        <v>441</v>
      </c>
      <c r="C31" s="81">
        <v>0.30012191999999999</v>
      </c>
      <c r="D31" s="80">
        <v>95</v>
      </c>
      <c r="E31" s="80" t="s">
        <v>388</v>
      </c>
      <c r="F31" s="82">
        <v>2826300</v>
      </c>
      <c r="G31" s="64">
        <v>1.2654487886289001</v>
      </c>
      <c r="H31" s="65" t="s">
        <v>393</v>
      </c>
    </row>
    <row r="32" spans="1:10" s="49" customFormat="1" ht="17.399999999999999" x14ac:dyDescent="0.3">
      <c r="A32" s="79" t="s">
        <v>442</v>
      </c>
      <c r="B32" s="80" t="s">
        <v>443</v>
      </c>
      <c r="C32" s="81">
        <v>0.30012191999999999</v>
      </c>
      <c r="D32" s="80">
        <v>100</v>
      </c>
      <c r="E32" s="80" t="s">
        <v>388</v>
      </c>
      <c r="F32" s="82">
        <v>3048919</v>
      </c>
      <c r="G32" s="64">
        <v>1.40766136901709</v>
      </c>
      <c r="H32" s="65" t="s">
        <v>393</v>
      </c>
    </row>
    <row r="33" spans="1:10" s="49" customFormat="1" ht="17.399999999999999" x14ac:dyDescent="0.3">
      <c r="A33" s="79" t="s">
        <v>444</v>
      </c>
      <c r="B33" s="80" t="s">
        <v>445</v>
      </c>
      <c r="C33" s="81">
        <v>0.30012191999999999</v>
      </c>
      <c r="D33" s="80">
        <v>105</v>
      </c>
      <c r="E33" s="80" t="s">
        <v>388</v>
      </c>
      <c r="F33" s="82">
        <v>4494960</v>
      </c>
      <c r="G33" s="64">
        <v>2.54616755569926</v>
      </c>
      <c r="H33" s="65" t="s">
        <v>393</v>
      </c>
    </row>
    <row r="34" spans="1:10" s="49" customFormat="1" ht="17.399999999999999" x14ac:dyDescent="0.3">
      <c r="A34" s="79" t="s">
        <v>446</v>
      </c>
      <c r="B34" s="80" t="s">
        <v>447</v>
      </c>
      <c r="C34" s="81">
        <v>0.30012191999999999</v>
      </c>
      <c r="D34" s="80">
        <v>110</v>
      </c>
      <c r="E34" s="80" t="s">
        <v>388</v>
      </c>
      <c r="F34" s="82">
        <v>2522738</v>
      </c>
      <c r="G34" s="64">
        <v>3.4025297066617601</v>
      </c>
      <c r="H34" s="65" t="s">
        <v>393</v>
      </c>
    </row>
    <row r="35" spans="1:10" s="49" customFormat="1" ht="17.399999999999999" x14ac:dyDescent="0.3">
      <c r="A35" s="68" t="s">
        <v>448</v>
      </c>
      <c r="B35" s="69" t="s">
        <v>449</v>
      </c>
      <c r="C35" s="83">
        <v>0.30012191999999999</v>
      </c>
      <c r="D35" s="69">
        <v>130</v>
      </c>
      <c r="E35" s="69" t="s">
        <v>388</v>
      </c>
      <c r="F35" s="71">
        <v>2846094</v>
      </c>
      <c r="G35" s="72">
        <v>3.2672844148453399</v>
      </c>
      <c r="H35" s="73" t="s">
        <v>413</v>
      </c>
    </row>
    <row r="36" spans="1:10" s="49" customFormat="1" ht="17.399999999999999" x14ac:dyDescent="0.3">
      <c r="A36" s="68" t="s">
        <v>450</v>
      </c>
      <c r="B36" s="69" t="s">
        <v>451</v>
      </c>
      <c r="C36" s="83">
        <v>0.30012191999999999</v>
      </c>
      <c r="D36" s="69">
        <v>170</v>
      </c>
      <c r="E36" s="69" t="s">
        <v>388</v>
      </c>
      <c r="F36" s="71">
        <v>2697851</v>
      </c>
      <c r="G36" s="72">
        <v>0.79541929735226902</v>
      </c>
      <c r="H36" s="73" t="s">
        <v>413</v>
      </c>
    </row>
    <row r="37" spans="1:10" s="49" customFormat="1" ht="17.399999999999999" x14ac:dyDescent="0.3">
      <c r="A37" s="68" t="s">
        <v>452</v>
      </c>
      <c r="B37" s="69" t="s">
        <v>453</v>
      </c>
      <c r="C37" s="83">
        <v>0.30012191999999999</v>
      </c>
      <c r="D37" s="69">
        <v>250</v>
      </c>
      <c r="E37" s="69" t="s">
        <v>388</v>
      </c>
      <c r="F37" s="71">
        <v>2767507</v>
      </c>
      <c r="G37" s="72">
        <v>2.5846640397309599</v>
      </c>
      <c r="H37" s="73" t="s">
        <v>413</v>
      </c>
    </row>
    <row r="38" spans="1:10" s="49" customFormat="1" ht="17.399999999999999" x14ac:dyDescent="0.3">
      <c r="A38" s="68" t="s">
        <v>454</v>
      </c>
      <c r="B38" s="69" t="s">
        <v>455</v>
      </c>
      <c r="C38" s="83">
        <v>0.30012191999999999</v>
      </c>
      <c r="D38" s="69">
        <v>500</v>
      </c>
      <c r="E38" s="69" t="s">
        <v>388</v>
      </c>
      <c r="F38" s="71">
        <v>2467304</v>
      </c>
      <c r="G38" s="72">
        <v>2.8991465269799401</v>
      </c>
      <c r="H38" s="73" t="s">
        <v>413</v>
      </c>
    </row>
    <row r="39" spans="1:10" s="49" customFormat="1" ht="17.399999999999999" x14ac:dyDescent="0.3">
      <c r="A39" s="68" t="s">
        <v>456</v>
      </c>
      <c r="B39" s="69" t="s">
        <v>457</v>
      </c>
      <c r="C39" s="83">
        <v>0.40016256</v>
      </c>
      <c r="D39" s="69">
        <v>1000</v>
      </c>
      <c r="E39" s="69" t="s">
        <v>388</v>
      </c>
      <c r="F39" s="71">
        <v>3714900</v>
      </c>
      <c r="G39" s="72">
        <v>2.8882644846175101</v>
      </c>
      <c r="H39" s="73" t="s">
        <v>413</v>
      </c>
    </row>
    <row r="40" spans="1:10" s="49" customFormat="1" ht="17.399999999999999" x14ac:dyDescent="0.3">
      <c r="A40" s="68" t="s">
        <v>458</v>
      </c>
      <c r="B40" s="69" t="s">
        <v>459</v>
      </c>
      <c r="C40" s="83">
        <v>0.30012191999999999</v>
      </c>
      <c r="D40" s="69">
        <v>2000</v>
      </c>
      <c r="E40" s="69" t="s">
        <v>388</v>
      </c>
      <c r="F40" s="71">
        <v>2506131</v>
      </c>
      <c r="G40" s="72">
        <v>7.4209995960984001</v>
      </c>
      <c r="H40" s="73" t="s">
        <v>413</v>
      </c>
    </row>
    <row r="41" spans="1:10" s="49" customFormat="1" ht="18" x14ac:dyDescent="0.25">
      <c r="A41" s="188" t="s">
        <v>460</v>
      </c>
      <c r="B41" s="189"/>
      <c r="C41" s="189"/>
      <c r="D41" s="189"/>
      <c r="E41" s="189"/>
      <c r="F41" s="189"/>
      <c r="G41" s="189"/>
      <c r="H41" s="190"/>
      <c r="I41" s="96"/>
      <c r="J41" s="96"/>
    </row>
    <row r="42" spans="1:10" s="49" customFormat="1" ht="18" x14ac:dyDescent="0.25">
      <c r="A42" s="188" t="s">
        <v>461</v>
      </c>
      <c r="B42" s="189"/>
      <c r="C42" s="189"/>
      <c r="D42" s="189"/>
      <c r="E42" s="189"/>
      <c r="F42" s="189"/>
      <c r="G42" s="189"/>
      <c r="H42" s="190"/>
      <c r="I42" s="96"/>
      <c r="J42" s="96"/>
    </row>
    <row r="43" spans="1:10" s="49" customFormat="1" ht="17.399999999999999" x14ac:dyDescent="0.25">
      <c r="A43" s="188"/>
      <c r="B43" s="189"/>
      <c r="C43" s="189"/>
      <c r="D43" s="189"/>
      <c r="E43" s="189"/>
      <c r="F43" s="189"/>
      <c r="G43" s="189"/>
      <c r="H43" s="190"/>
      <c r="I43" s="96"/>
      <c r="J43" s="96"/>
    </row>
    <row r="44" spans="1:10" s="49" customFormat="1" ht="17.399999999999999" x14ac:dyDescent="0.3">
      <c r="A44" s="68" t="s">
        <v>462</v>
      </c>
      <c r="B44" s="69" t="s">
        <v>463</v>
      </c>
      <c r="C44" s="69" t="s">
        <v>413</v>
      </c>
      <c r="D44" s="69">
        <v>0.1</v>
      </c>
      <c r="E44" s="69" t="s">
        <v>464</v>
      </c>
      <c r="F44" s="71">
        <v>744189</v>
      </c>
      <c r="G44" s="72">
        <v>0</v>
      </c>
      <c r="H44" s="73" t="s">
        <v>413</v>
      </c>
    </row>
    <row r="45" spans="1:10" s="49" customFormat="1" ht="17.399999999999999" x14ac:dyDescent="0.3">
      <c r="A45" s="68" t="s">
        <v>462</v>
      </c>
      <c r="B45" s="69" t="s">
        <v>465</v>
      </c>
      <c r="C45" s="69" t="s">
        <v>413</v>
      </c>
      <c r="D45" s="69">
        <v>0.2</v>
      </c>
      <c r="E45" s="69" t="s">
        <v>464</v>
      </c>
      <c r="F45" s="71">
        <v>2102238</v>
      </c>
      <c r="G45" s="72">
        <v>0</v>
      </c>
      <c r="H45" s="73" t="s">
        <v>413</v>
      </c>
    </row>
    <row r="46" spans="1:10" s="49" customFormat="1" ht="17.399999999999999" x14ac:dyDescent="0.3">
      <c r="A46" s="68" t="s">
        <v>466</v>
      </c>
      <c r="B46" s="69" t="s">
        <v>467</v>
      </c>
      <c r="C46" s="69" t="s">
        <v>413</v>
      </c>
      <c r="D46" s="69">
        <v>1.05</v>
      </c>
      <c r="E46" s="69" t="s">
        <v>464</v>
      </c>
      <c r="F46" s="71">
        <v>103759302</v>
      </c>
      <c r="G46" s="72">
        <v>6.2045215380721698E-2</v>
      </c>
      <c r="H46" s="73" t="s">
        <v>413</v>
      </c>
    </row>
    <row r="47" spans="1:10" s="49" customFormat="1" ht="17.399999999999999" x14ac:dyDescent="0.3">
      <c r="A47" s="68" t="s">
        <v>468</v>
      </c>
      <c r="B47" s="69" t="s">
        <v>469</v>
      </c>
      <c r="C47" s="69" t="s">
        <v>413</v>
      </c>
      <c r="D47" s="69">
        <v>16</v>
      </c>
      <c r="E47" s="69" t="s">
        <v>470</v>
      </c>
      <c r="F47" s="71">
        <v>80525</v>
      </c>
      <c r="G47" s="72">
        <v>0</v>
      </c>
      <c r="H47" s="73" t="s">
        <v>413</v>
      </c>
    </row>
    <row r="48" spans="1:10" s="49" customFormat="1" ht="17.399999999999999" x14ac:dyDescent="0.3">
      <c r="A48" s="68" t="s">
        <v>471</v>
      </c>
      <c r="B48" s="69" t="s">
        <v>472</v>
      </c>
      <c r="C48" s="69" t="s">
        <v>413</v>
      </c>
      <c r="D48" s="69">
        <v>22</v>
      </c>
      <c r="E48" s="69" t="s">
        <v>464</v>
      </c>
      <c r="F48" s="71">
        <v>85932</v>
      </c>
      <c r="G48" s="72">
        <v>0</v>
      </c>
      <c r="H48" s="73" t="s">
        <v>413</v>
      </c>
    </row>
    <row r="49" spans="1:10" s="49" customFormat="1" ht="17.399999999999999" x14ac:dyDescent="0.3">
      <c r="A49" s="68" t="s">
        <v>473</v>
      </c>
      <c r="B49" s="69" t="s">
        <v>474</v>
      </c>
      <c r="C49" s="69" t="s">
        <v>413</v>
      </c>
      <c r="D49" s="69">
        <v>28.6</v>
      </c>
      <c r="E49" s="69" t="s">
        <v>464</v>
      </c>
      <c r="F49" s="71">
        <v>90067</v>
      </c>
      <c r="G49" s="72">
        <v>0</v>
      </c>
      <c r="H49" s="73" t="s">
        <v>413</v>
      </c>
    </row>
    <row r="50" spans="1:10" s="49" customFormat="1" ht="18" x14ac:dyDescent="0.25">
      <c r="A50" s="188" t="s">
        <v>475</v>
      </c>
      <c r="B50" s="189"/>
      <c r="C50" s="189"/>
      <c r="D50" s="189"/>
      <c r="E50" s="189"/>
      <c r="F50" s="189"/>
      <c r="G50" s="189"/>
      <c r="H50" s="190"/>
      <c r="I50" s="96"/>
      <c r="J50" s="96"/>
    </row>
    <row r="51" spans="1:10" s="49" customFormat="1" ht="18" x14ac:dyDescent="0.25">
      <c r="A51" s="188" t="s">
        <v>476</v>
      </c>
      <c r="B51" s="189"/>
      <c r="C51" s="189"/>
      <c r="D51" s="189"/>
      <c r="E51" s="189"/>
      <c r="F51" s="189"/>
      <c r="G51" s="189"/>
      <c r="H51" s="190"/>
      <c r="I51" s="96"/>
      <c r="J51" s="96"/>
    </row>
    <row r="52" spans="1:10" s="49" customFormat="1" ht="18" x14ac:dyDescent="0.25">
      <c r="A52" s="194" t="s">
        <v>477</v>
      </c>
      <c r="B52" s="195"/>
      <c r="C52" s="195"/>
      <c r="D52" s="195"/>
      <c r="E52" s="195"/>
      <c r="F52" s="195"/>
      <c r="G52" s="195"/>
      <c r="H52" s="196"/>
      <c r="I52" s="96"/>
      <c r="J52" s="96"/>
    </row>
    <row r="53" spans="1:10" ht="15" x14ac:dyDescent="0.25">
      <c r="A53" s="192"/>
      <c r="B53" s="192"/>
      <c r="C53" s="192"/>
      <c r="D53" s="192"/>
      <c r="E53" s="192"/>
      <c r="F53" s="192"/>
      <c r="G53" s="192"/>
      <c r="H53" s="192"/>
      <c r="I53" s="192"/>
      <c r="J53" s="192"/>
    </row>
    <row r="54" spans="1:10" ht="15" x14ac:dyDescent="0.25">
      <c r="A54" s="197"/>
      <c r="B54" s="197"/>
      <c r="C54" s="197"/>
      <c r="D54" s="197"/>
      <c r="E54" s="197"/>
      <c r="F54" s="197"/>
      <c r="G54" s="197"/>
      <c r="H54" s="197"/>
      <c r="J54" s="47"/>
    </row>
    <row r="55" spans="1:10" s="49" customFormat="1" ht="17.399999999999999" x14ac:dyDescent="0.25">
      <c r="A55" s="185" t="s">
        <v>478</v>
      </c>
      <c r="B55" s="186"/>
      <c r="C55" s="186"/>
      <c r="D55" s="186"/>
      <c r="E55" s="186"/>
      <c r="F55" s="186"/>
      <c r="G55" s="186"/>
      <c r="H55" s="187"/>
      <c r="I55" s="97"/>
      <c r="J55" s="97"/>
    </row>
    <row r="56" spans="1:10" s="49" customFormat="1" ht="17.399999999999999" x14ac:dyDescent="0.3">
      <c r="A56" s="53" t="s">
        <v>377</v>
      </c>
      <c r="B56" s="54" t="s">
        <v>378</v>
      </c>
      <c r="C56" s="54" t="s">
        <v>379</v>
      </c>
      <c r="D56" s="53" t="s">
        <v>380</v>
      </c>
      <c r="E56" s="54" t="s">
        <v>381</v>
      </c>
      <c r="F56" s="54" t="s">
        <v>382</v>
      </c>
      <c r="G56" s="54" t="s">
        <v>383</v>
      </c>
      <c r="H56" s="55" t="s">
        <v>384</v>
      </c>
    </row>
    <row r="57" spans="1:10" s="49" customFormat="1" ht="17.399999999999999" x14ac:dyDescent="0.3">
      <c r="A57" s="74" t="s">
        <v>479</v>
      </c>
      <c r="B57" s="75" t="s">
        <v>480</v>
      </c>
      <c r="C57" s="75">
        <v>345.4</v>
      </c>
      <c r="D57" s="75">
        <v>1.909</v>
      </c>
      <c r="E57" s="75" t="s">
        <v>388</v>
      </c>
      <c r="F57" s="84">
        <v>84210301</v>
      </c>
      <c r="G57" s="59">
        <v>0</v>
      </c>
      <c r="H57" s="85" t="s">
        <v>389</v>
      </c>
    </row>
    <row r="58" spans="1:10" s="49" customFormat="1" ht="17.399999999999999" x14ac:dyDescent="0.3">
      <c r="A58" s="86" t="s">
        <v>481</v>
      </c>
      <c r="B58" s="87" t="s">
        <v>482</v>
      </c>
      <c r="C58" s="87">
        <v>312.60000000000002</v>
      </c>
      <c r="D58" s="87">
        <v>10</v>
      </c>
      <c r="E58" s="75" t="s">
        <v>388</v>
      </c>
      <c r="F58" s="84">
        <v>185809</v>
      </c>
      <c r="G58" s="59">
        <v>0</v>
      </c>
      <c r="H58" s="85" t="s">
        <v>389</v>
      </c>
    </row>
    <row r="59" spans="1:10" s="49" customFormat="1" ht="17.399999999999999" x14ac:dyDescent="0.3">
      <c r="A59" s="74" t="s">
        <v>483</v>
      </c>
      <c r="B59" s="75" t="s">
        <v>484</v>
      </c>
      <c r="C59" s="75">
        <v>338.2</v>
      </c>
      <c r="D59" s="75">
        <v>60.548999999999999</v>
      </c>
      <c r="E59" s="75" t="s">
        <v>388</v>
      </c>
      <c r="F59" s="84">
        <v>33407561</v>
      </c>
      <c r="G59" s="59">
        <v>0</v>
      </c>
      <c r="H59" s="85" t="s">
        <v>389</v>
      </c>
    </row>
    <row r="60" spans="1:10" s="49" customFormat="1" ht="17.399999999999999" x14ac:dyDescent="0.3">
      <c r="A60" s="79" t="s">
        <v>485</v>
      </c>
      <c r="B60" s="80" t="s">
        <v>486</v>
      </c>
      <c r="C60" s="80">
        <v>54.5</v>
      </c>
      <c r="D60" s="80">
        <v>76.534000000000006</v>
      </c>
      <c r="E60" s="80" t="s">
        <v>388</v>
      </c>
      <c r="F60" s="88">
        <v>74333178</v>
      </c>
      <c r="G60" s="64">
        <v>0</v>
      </c>
      <c r="H60" s="89" t="s">
        <v>393</v>
      </c>
    </row>
    <row r="61" spans="1:10" s="49" customFormat="1" ht="17.399999999999999" x14ac:dyDescent="0.3">
      <c r="A61" s="90" t="s">
        <v>487</v>
      </c>
      <c r="B61" s="91" t="s">
        <v>488</v>
      </c>
      <c r="C61" s="91">
        <v>42.5</v>
      </c>
      <c r="D61" s="91">
        <v>80</v>
      </c>
      <c r="E61" s="80" t="s">
        <v>388</v>
      </c>
      <c r="F61" s="88">
        <v>354912</v>
      </c>
      <c r="G61" s="64">
        <v>0</v>
      </c>
      <c r="H61" s="89" t="s">
        <v>393</v>
      </c>
    </row>
    <row r="62" spans="1:10" s="49" customFormat="1" ht="17.399999999999999" x14ac:dyDescent="0.3">
      <c r="A62" s="68" t="s">
        <v>489</v>
      </c>
      <c r="B62" s="92" t="s">
        <v>490</v>
      </c>
      <c r="C62" s="69">
        <v>0</v>
      </c>
      <c r="D62" s="69">
        <v>400</v>
      </c>
      <c r="E62" s="69" t="s">
        <v>388</v>
      </c>
      <c r="F62" s="71">
        <v>434236</v>
      </c>
      <c r="G62" s="72">
        <v>11.5309487832022</v>
      </c>
      <c r="H62" s="93" t="s">
        <v>413</v>
      </c>
    </row>
    <row r="63" spans="1:10" s="49" customFormat="1" ht="18" x14ac:dyDescent="0.25">
      <c r="A63" s="188" t="s">
        <v>491</v>
      </c>
      <c r="B63" s="189"/>
      <c r="C63" s="189"/>
      <c r="D63" s="189"/>
      <c r="E63" s="189"/>
      <c r="F63" s="189"/>
      <c r="G63" s="189"/>
      <c r="H63" s="190"/>
      <c r="I63" s="96"/>
      <c r="J63" s="96"/>
    </row>
    <row r="64" spans="1:10" s="47" customFormat="1" ht="17.399999999999999" x14ac:dyDescent="0.3">
      <c r="A64" s="198"/>
      <c r="B64" s="199"/>
      <c r="C64" s="199"/>
      <c r="D64" s="199"/>
      <c r="E64" s="199"/>
      <c r="F64" s="199"/>
      <c r="G64" s="199"/>
      <c r="H64" s="200"/>
      <c r="I64" s="48"/>
      <c r="J64" s="52"/>
    </row>
    <row r="65" spans="1:11" s="47" customFormat="1" ht="17.399999999999999" x14ac:dyDescent="0.3">
      <c r="A65" s="98" t="s">
        <v>492</v>
      </c>
      <c r="B65" s="92" t="s">
        <v>493</v>
      </c>
      <c r="C65" s="69" t="s">
        <v>413</v>
      </c>
      <c r="D65" s="92">
        <v>30</v>
      </c>
      <c r="E65" s="92" t="s">
        <v>494</v>
      </c>
      <c r="F65" s="99">
        <v>4583279</v>
      </c>
      <c r="G65" s="72">
        <v>0.46820687695013002</v>
      </c>
      <c r="H65" s="93" t="s">
        <v>413</v>
      </c>
    </row>
    <row r="66" spans="1:11" s="47" customFormat="1" ht="17.399999999999999" x14ac:dyDescent="0.3">
      <c r="A66" s="98" t="s">
        <v>492</v>
      </c>
      <c r="B66" s="92" t="s">
        <v>495</v>
      </c>
      <c r="C66" s="69" t="s">
        <v>413</v>
      </c>
      <c r="D66" s="92">
        <v>31</v>
      </c>
      <c r="E66" s="92" t="s">
        <v>494</v>
      </c>
      <c r="F66" s="99">
        <v>5058960</v>
      </c>
      <c r="G66" s="72">
        <v>0.84836517655056198</v>
      </c>
      <c r="H66" s="93" t="s">
        <v>413</v>
      </c>
    </row>
    <row r="67" spans="1:11" s="47" customFormat="1" ht="17.399999999999999" x14ac:dyDescent="0.3">
      <c r="A67" s="98" t="s">
        <v>492</v>
      </c>
      <c r="B67" s="92" t="s">
        <v>496</v>
      </c>
      <c r="C67" s="69" t="s">
        <v>413</v>
      </c>
      <c r="D67" s="92">
        <v>32</v>
      </c>
      <c r="E67" s="92" t="s">
        <v>494</v>
      </c>
      <c r="F67" s="99">
        <v>3238255</v>
      </c>
      <c r="G67" s="72">
        <v>1.5462503959146501</v>
      </c>
      <c r="H67" s="93" t="s">
        <v>413</v>
      </c>
    </row>
    <row r="68" spans="1:11" s="47" customFormat="1" ht="17.399999999999999" x14ac:dyDescent="0.3">
      <c r="A68" s="98" t="s">
        <v>492</v>
      </c>
      <c r="B68" s="92" t="s">
        <v>497</v>
      </c>
      <c r="C68" s="69" t="s">
        <v>413</v>
      </c>
      <c r="D68" s="92">
        <v>33</v>
      </c>
      <c r="E68" s="92" t="s">
        <v>494</v>
      </c>
      <c r="F68" s="99">
        <v>3844784</v>
      </c>
      <c r="G68" s="72">
        <v>0.37209246722852202</v>
      </c>
      <c r="H68" s="93" t="s">
        <v>413</v>
      </c>
    </row>
    <row r="69" spans="1:11" s="47" customFormat="1" ht="17.399999999999999" x14ac:dyDescent="0.3">
      <c r="A69" s="98" t="s">
        <v>492</v>
      </c>
      <c r="B69" s="92" t="s">
        <v>498</v>
      </c>
      <c r="C69" s="69" t="s">
        <v>413</v>
      </c>
      <c r="D69" s="92">
        <v>34</v>
      </c>
      <c r="E69" s="92" t="s">
        <v>494</v>
      </c>
      <c r="F69" s="99">
        <v>3595866</v>
      </c>
      <c r="G69" s="72">
        <v>0.99462491408241005</v>
      </c>
      <c r="H69" s="93" t="s">
        <v>413</v>
      </c>
    </row>
    <row r="70" spans="1:11" s="47" customFormat="1" ht="17.399999999999999" x14ac:dyDescent="0.3">
      <c r="A70" s="98" t="s">
        <v>492</v>
      </c>
      <c r="B70" s="92" t="s">
        <v>499</v>
      </c>
      <c r="C70" s="69" t="s">
        <v>413</v>
      </c>
      <c r="D70" s="92">
        <v>35</v>
      </c>
      <c r="E70" s="92" t="s">
        <v>494</v>
      </c>
      <c r="F70" s="99">
        <v>4016239</v>
      </c>
      <c r="G70" s="72">
        <v>0.17810383850671499</v>
      </c>
      <c r="H70" s="93" t="s">
        <v>413</v>
      </c>
    </row>
    <row r="71" spans="1:11" s="47" customFormat="1" ht="17.399999999999999" x14ac:dyDescent="0.3">
      <c r="A71" s="98" t="s">
        <v>492</v>
      </c>
      <c r="B71" s="92" t="s">
        <v>500</v>
      </c>
      <c r="C71" s="69" t="s">
        <v>413</v>
      </c>
      <c r="D71" s="92">
        <v>36</v>
      </c>
      <c r="E71" s="92" t="s">
        <v>494</v>
      </c>
      <c r="F71" s="99">
        <v>3669208</v>
      </c>
      <c r="G71" s="72">
        <v>0.38989753770316199</v>
      </c>
      <c r="H71" s="93" t="s">
        <v>413</v>
      </c>
    </row>
    <row r="72" spans="1:11" s="47" customFormat="1" ht="17.399999999999999" x14ac:dyDescent="0.3">
      <c r="A72" s="98" t="s">
        <v>492</v>
      </c>
      <c r="B72" s="92" t="s">
        <v>501</v>
      </c>
      <c r="C72" s="69" t="s">
        <v>413</v>
      </c>
      <c r="D72" s="92">
        <v>37</v>
      </c>
      <c r="E72" s="92" t="s">
        <v>494</v>
      </c>
      <c r="F72" s="99">
        <v>3725015</v>
      </c>
      <c r="G72" s="72">
        <v>2.6883935102664598</v>
      </c>
      <c r="H72" s="93" t="s">
        <v>413</v>
      </c>
    </row>
    <row r="73" spans="1:11" ht="18" x14ac:dyDescent="0.25">
      <c r="A73" s="194" t="s">
        <v>502</v>
      </c>
      <c r="B73" s="195"/>
      <c r="C73" s="195"/>
      <c r="D73" s="195"/>
      <c r="E73" s="195"/>
      <c r="F73" s="195"/>
      <c r="G73" s="195"/>
      <c r="H73" s="196"/>
      <c r="I73" s="96"/>
      <c r="J73" s="96"/>
    </row>
    <row r="74" spans="1:11" ht="15" x14ac:dyDescent="0.25">
      <c r="A74" s="47"/>
      <c r="B74" s="47"/>
      <c r="C74" s="47"/>
      <c r="D74" s="47"/>
      <c r="E74" s="47"/>
      <c r="F74" s="47"/>
      <c r="G74" s="47"/>
      <c r="H74" s="47"/>
      <c r="I74" s="96"/>
      <c r="J74" s="96"/>
    </row>
    <row r="75" spans="1:11" ht="15" x14ac:dyDescent="0.25">
      <c r="J75" s="49"/>
    </row>
    <row r="76" spans="1:11" ht="17.399999999999999" x14ac:dyDescent="0.25">
      <c r="A76" s="185" t="s">
        <v>503</v>
      </c>
      <c r="B76" s="186"/>
      <c r="C76" s="186"/>
      <c r="D76" s="186"/>
      <c r="E76" s="186"/>
      <c r="F76" s="186"/>
      <c r="G76" s="186"/>
      <c r="H76" s="187"/>
      <c r="J76" s="47"/>
    </row>
    <row r="77" spans="1:11" s="50" customFormat="1" ht="18" x14ac:dyDescent="0.35">
      <c r="A77" s="53" t="s">
        <v>377</v>
      </c>
      <c r="B77" s="53" t="s">
        <v>378</v>
      </c>
      <c r="C77" s="53" t="s">
        <v>379</v>
      </c>
      <c r="D77" s="53" t="s">
        <v>380</v>
      </c>
      <c r="E77" s="53" t="s">
        <v>381</v>
      </c>
      <c r="F77" s="53" t="s">
        <v>382</v>
      </c>
      <c r="G77" s="53" t="s">
        <v>383</v>
      </c>
      <c r="H77" s="55" t="s">
        <v>384</v>
      </c>
      <c r="I77" s="112"/>
      <c r="J77" s="113"/>
      <c r="K77" s="113"/>
    </row>
    <row r="78" spans="1:11" s="51" customFormat="1" ht="17.399999999999999" x14ac:dyDescent="0.3">
      <c r="A78" s="100" t="s">
        <v>504</v>
      </c>
      <c r="B78" s="101" t="s">
        <v>505</v>
      </c>
      <c r="C78" s="101">
        <v>391.96231040502897</v>
      </c>
      <c r="D78" s="101">
        <v>0</v>
      </c>
      <c r="E78" s="75" t="s">
        <v>388</v>
      </c>
      <c r="F78" s="102">
        <v>47042707</v>
      </c>
      <c r="G78" s="59">
        <v>0</v>
      </c>
      <c r="H78" s="103" t="s">
        <v>389</v>
      </c>
    </row>
    <row r="79" spans="1:11" s="51" customFormat="1" ht="17.399999999999999" x14ac:dyDescent="0.3">
      <c r="A79" s="100" t="s">
        <v>506</v>
      </c>
      <c r="B79" s="101" t="s">
        <v>507</v>
      </c>
      <c r="C79" s="101">
        <v>244.4897488416</v>
      </c>
      <c r="D79" s="101">
        <v>30</v>
      </c>
      <c r="E79" s="75" t="s">
        <v>388</v>
      </c>
      <c r="F79" s="102">
        <v>43477955</v>
      </c>
      <c r="G79" s="59">
        <v>0</v>
      </c>
      <c r="H79" s="103" t="s">
        <v>389</v>
      </c>
    </row>
    <row r="80" spans="1:11" s="51" customFormat="1" ht="17.399999999999999" x14ac:dyDescent="0.3">
      <c r="A80" s="104" t="s">
        <v>508</v>
      </c>
      <c r="B80" s="105" t="s">
        <v>509</v>
      </c>
      <c r="C80" s="105">
        <v>159.251795679086</v>
      </c>
      <c r="D80" s="105">
        <v>50</v>
      </c>
      <c r="E80" s="80" t="s">
        <v>388</v>
      </c>
      <c r="F80" s="106">
        <v>47327833</v>
      </c>
      <c r="G80" s="64">
        <v>0</v>
      </c>
      <c r="H80" s="107" t="s">
        <v>393</v>
      </c>
    </row>
    <row r="81" spans="1:8" s="51" customFormat="1" ht="17.399999999999999" x14ac:dyDescent="0.3">
      <c r="A81" s="108" t="s">
        <v>510</v>
      </c>
      <c r="B81" s="109" t="s">
        <v>511</v>
      </c>
      <c r="C81" s="109">
        <v>25.0035450678857</v>
      </c>
      <c r="D81" s="109">
        <v>90</v>
      </c>
      <c r="E81" s="69" t="s">
        <v>388</v>
      </c>
      <c r="F81" s="110">
        <v>47362279</v>
      </c>
      <c r="G81" s="72">
        <v>0</v>
      </c>
      <c r="H81" s="111" t="s">
        <v>413</v>
      </c>
    </row>
    <row r="82" spans="1:8" s="51" customFormat="1" ht="17.399999999999999" x14ac:dyDescent="0.3">
      <c r="A82" s="108" t="s">
        <v>512</v>
      </c>
      <c r="B82" s="109" t="s">
        <v>513</v>
      </c>
      <c r="C82" s="109">
        <v>0</v>
      </c>
      <c r="D82" s="109">
        <v>120</v>
      </c>
      <c r="E82" s="69" t="s">
        <v>388</v>
      </c>
      <c r="F82" s="110">
        <v>47210825</v>
      </c>
      <c r="G82" s="72">
        <v>6.06053871975651E-2</v>
      </c>
      <c r="H82" s="111" t="s">
        <v>413</v>
      </c>
    </row>
    <row r="83" spans="1:8" s="51" customFormat="1" ht="17.399999999999999" x14ac:dyDescent="0.3">
      <c r="A83" s="108" t="s">
        <v>514</v>
      </c>
      <c r="B83" s="109" t="s">
        <v>515</v>
      </c>
      <c r="C83" s="109">
        <v>0</v>
      </c>
      <c r="D83" s="109">
        <v>140</v>
      </c>
      <c r="E83" s="69" t="s">
        <v>388</v>
      </c>
      <c r="F83" s="110">
        <v>44087525</v>
      </c>
      <c r="G83" s="72">
        <v>1.6224716226650799E-2</v>
      </c>
      <c r="H83" s="111" t="s">
        <v>413</v>
      </c>
    </row>
    <row r="84" spans="1:8" s="51" customFormat="1" ht="17.399999999999999" x14ac:dyDescent="0.3">
      <c r="A84" s="108" t="s">
        <v>516</v>
      </c>
      <c r="B84" s="109" t="s">
        <v>517</v>
      </c>
      <c r="C84" s="109">
        <v>0</v>
      </c>
      <c r="D84" s="109">
        <v>170</v>
      </c>
      <c r="E84" s="69" t="s">
        <v>388</v>
      </c>
      <c r="F84" s="110">
        <v>47457517</v>
      </c>
      <c r="G84" s="72">
        <v>0</v>
      </c>
      <c r="H84" s="111" t="s">
        <v>413</v>
      </c>
    </row>
    <row r="85" spans="1:8" ht="18" x14ac:dyDescent="0.25">
      <c r="A85" s="201" t="s">
        <v>518</v>
      </c>
      <c r="B85" s="202"/>
      <c r="C85" s="202"/>
      <c r="D85" s="202"/>
      <c r="E85" s="202"/>
      <c r="F85" s="202"/>
      <c r="G85" s="202"/>
      <c r="H85" s="203"/>
    </row>
    <row r="86" spans="1:8" ht="18" x14ac:dyDescent="0.25">
      <c r="A86" s="204" t="s">
        <v>519</v>
      </c>
      <c r="B86" s="205"/>
      <c r="C86" s="205"/>
      <c r="D86" s="205"/>
      <c r="E86" s="205"/>
      <c r="F86" s="205"/>
      <c r="G86" s="205"/>
      <c r="H86" s="206"/>
    </row>
  </sheetData>
  <mergeCells count="20">
    <mergeCell ref="A64:H64"/>
    <mergeCell ref="A73:H73"/>
    <mergeCell ref="A76:H76"/>
    <mergeCell ref="A85:H85"/>
    <mergeCell ref="A86:H86"/>
    <mergeCell ref="A52:H52"/>
    <mergeCell ref="A53:J53"/>
    <mergeCell ref="A54:H54"/>
    <mergeCell ref="A55:H55"/>
    <mergeCell ref="A63:H63"/>
    <mergeCell ref="A41:H41"/>
    <mergeCell ref="A42:H42"/>
    <mergeCell ref="A43:H43"/>
    <mergeCell ref="A50:H50"/>
    <mergeCell ref="A51:H51"/>
    <mergeCell ref="A1:H1"/>
    <mergeCell ref="A11:H11"/>
    <mergeCell ref="A12:H12"/>
    <mergeCell ref="A21:H21"/>
    <mergeCell ref="A24:H24"/>
  </mergeCells>
  <phoneticPr fontId="29" type="noConversion"/>
  <hyperlinks>
    <hyperlink ref="B7" r:id="rId1" tooltip="https://www.ncbi.nlm.nih.gov/sra/SRX648445[accn]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zoomScale="55" zoomScaleNormal="55" workbookViewId="0">
      <selection activeCell="H10" sqref="H10"/>
    </sheetView>
  </sheetViews>
  <sheetFormatPr defaultColWidth="8.88671875" defaultRowHeight="13.8" x14ac:dyDescent="0.25"/>
  <cols>
    <col min="1" max="1" width="23" style="11" customWidth="1"/>
    <col min="2" max="2" width="15.109375" style="11" customWidth="1"/>
    <col min="3" max="3" width="26.109375" style="11" customWidth="1"/>
    <col min="4" max="4" width="14.33203125" style="11" customWidth="1"/>
    <col min="5" max="5" width="60.5546875" style="11" customWidth="1"/>
    <col min="6" max="6" width="19.5546875" style="11" customWidth="1"/>
    <col min="7" max="7" width="21.33203125" style="11" customWidth="1"/>
    <col min="8" max="8" width="25.5546875" style="11" customWidth="1"/>
    <col min="9" max="9" width="42.6640625" style="11" customWidth="1"/>
    <col min="10" max="10" width="8.88671875" style="11" customWidth="1"/>
    <col min="11" max="16384" width="8.88671875" style="11"/>
  </cols>
  <sheetData>
    <row r="1" spans="1:9" ht="17.399999999999999" x14ac:dyDescent="0.25">
      <c r="A1" s="210" t="s">
        <v>520</v>
      </c>
      <c r="B1" s="211"/>
      <c r="C1" s="211"/>
      <c r="D1" s="211"/>
      <c r="E1" s="211"/>
      <c r="F1" s="211"/>
      <c r="G1" s="212"/>
      <c r="H1" s="12"/>
      <c r="I1" s="12"/>
    </row>
    <row r="2" spans="1:9" s="7" customFormat="1" ht="17.399999999999999" x14ac:dyDescent="0.3">
      <c r="A2" s="13" t="s">
        <v>521</v>
      </c>
      <c r="B2" s="14" t="s">
        <v>378</v>
      </c>
      <c r="C2" s="14" t="s">
        <v>379</v>
      </c>
      <c r="D2" s="14" t="s">
        <v>380</v>
      </c>
      <c r="E2" s="14" t="s">
        <v>381</v>
      </c>
      <c r="F2" s="14" t="s">
        <v>382</v>
      </c>
      <c r="G2" s="15" t="s">
        <v>383</v>
      </c>
    </row>
    <row r="3" spans="1:9" s="7" customFormat="1" ht="17.399999999999999" x14ac:dyDescent="0.3">
      <c r="A3" s="16" t="s">
        <v>522</v>
      </c>
      <c r="B3" s="17" t="s">
        <v>523</v>
      </c>
      <c r="C3" s="17" t="s">
        <v>524</v>
      </c>
      <c r="D3" s="17">
        <v>1</v>
      </c>
      <c r="E3" s="17" t="s">
        <v>525</v>
      </c>
      <c r="F3" s="18">
        <v>39805413</v>
      </c>
      <c r="G3" s="19">
        <v>0</v>
      </c>
    </row>
    <row r="4" spans="1:9" s="7" customFormat="1" ht="17.399999999999999" x14ac:dyDescent="0.3">
      <c r="A4" s="16" t="s">
        <v>526</v>
      </c>
      <c r="B4" s="17" t="s">
        <v>527</v>
      </c>
      <c r="C4" s="17" t="s">
        <v>528</v>
      </c>
      <c r="D4" s="17">
        <v>3</v>
      </c>
      <c r="E4" s="17" t="s">
        <v>525</v>
      </c>
      <c r="F4" s="18">
        <v>34231639</v>
      </c>
      <c r="G4" s="19">
        <v>0</v>
      </c>
    </row>
    <row r="5" spans="1:9" s="7" customFormat="1" ht="17.399999999999999" x14ac:dyDescent="0.3">
      <c r="A5" s="20" t="s">
        <v>529</v>
      </c>
      <c r="B5" s="21" t="s">
        <v>530</v>
      </c>
      <c r="C5" s="21" t="s">
        <v>531</v>
      </c>
      <c r="D5" s="21">
        <v>4</v>
      </c>
      <c r="E5" s="21" t="s">
        <v>525</v>
      </c>
      <c r="F5" s="22">
        <v>38608272</v>
      </c>
      <c r="G5" s="23">
        <v>0.166745826913552</v>
      </c>
    </row>
    <row r="6" spans="1:9" s="7" customFormat="1" ht="17.399999999999999" x14ac:dyDescent="0.3">
      <c r="A6" s="24" t="s">
        <v>532</v>
      </c>
      <c r="B6" s="25" t="s">
        <v>533</v>
      </c>
      <c r="C6" s="25" t="s">
        <v>534</v>
      </c>
      <c r="D6" s="25">
        <v>6</v>
      </c>
      <c r="E6" s="25" t="s">
        <v>525</v>
      </c>
      <c r="F6" s="26">
        <v>64099244</v>
      </c>
      <c r="G6" s="27">
        <v>0.30130315922337603</v>
      </c>
    </row>
    <row r="7" spans="1:9" s="7" customFormat="1" ht="17.399999999999999" x14ac:dyDescent="0.3">
      <c r="A7" s="24" t="s">
        <v>535</v>
      </c>
      <c r="B7" s="25" t="s">
        <v>536</v>
      </c>
      <c r="C7" s="25" t="s">
        <v>534</v>
      </c>
      <c r="D7" s="25">
        <v>8</v>
      </c>
      <c r="E7" s="25" t="s">
        <v>525</v>
      </c>
      <c r="F7" s="26">
        <v>39654432</v>
      </c>
      <c r="G7" s="27">
        <v>0.55919436823786905</v>
      </c>
    </row>
    <row r="8" spans="1:9" s="7" customFormat="1" ht="17.399999999999999" x14ac:dyDescent="0.3">
      <c r="A8" s="24" t="s">
        <v>537</v>
      </c>
      <c r="B8" s="25" t="s">
        <v>538</v>
      </c>
      <c r="C8" s="25" t="s">
        <v>534</v>
      </c>
      <c r="D8" s="25">
        <v>10</v>
      </c>
      <c r="E8" s="25" t="s">
        <v>525</v>
      </c>
      <c r="F8" s="26">
        <v>37635848</v>
      </c>
      <c r="G8" s="27">
        <v>0.70322264410340296</v>
      </c>
    </row>
    <row r="9" spans="1:9" s="7" customFormat="1" ht="18" x14ac:dyDescent="0.25">
      <c r="A9" s="213" t="s">
        <v>539</v>
      </c>
      <c r="B9" s="214"/>
      <c r="C9" s="214"/>
      <c r="D9" s="214"/>
      <c r="E9" s="214"/>
      <c r="F9" s="214"/>
      <c r="G9" s="215"/>
      <c r="H9" s="28"/>
      <c r="I9" s="28"/>
    </row>
    <row r="10" spans="1:9" s="7" customFormat="1" ht="15" x14ac:dyDescent="0.25"/>
    <row r="11" spans="1:9" s="8" customFormat="1" ht="18" x14ac:dyDescent="0.25"/>
    <row r="12" spans="1:9" ht="17.399999999999999" x14ac:dyDescent="0.25">
      <c r="A12" s="216" t="s">
        <v>540</v>
      </c>
      <c r="B12" s="217"/>
      <c r="C12" s="217"/>
      <c r="D12" s="217"/>
      <c r="E12" s="217"/>
      <c r="F12" s="217"/>
      <c r="G12" s="218"/>
      <c r="H12" s="29"/>
      <c r="I12" s="29"/>
    </row>
    <row r="13" spans="1:9" s="7" customFormat="1" ht="17.399999999999999" x14ac:dyDescent="0.3">
      <c r="A13" s="30" t="s">
        <v>521</v>
      </c>
      <c r="B13" s="31" t="s">
        <v>378</v>
      </c>
      <c r="C13" s="31" t="s">
        <v>384</v>
      </c>
      <c r="D13" s="31" t="s">
        <v>380</v>
      </c>
      <c r="E13" s="31" t="s">
        <v>381</v>
      </c>
      <c r="F13" s="31" t="s">
        <v>382</v>
      </c>
      <c r="G13" s="32" t="s">
        <v>383</v>
      </c>
    </row>
    <row r="14" spans="1:9" s="7" customFormat="1" ht="17.399999999999999" x14ac:dyDescent="0.3">
      <c r="A14" s="16" t="s">
        <v>541</v>
      </c>
      <c r="B14" s="17" t="s">
        <v>542</v>
      </c>
      <c r="C14" s="17" t="s">
        <v>389</v>
      </c>
      <c r="D14" s="17">
        <v>15</v>
      </c>
      <c r="E14" s="33" t="s">
        <v>543</v>
      </c>
      <c r="F14" s="18">
        <v>213082205</v>
      </c>
      <c r="G14" s="19">
        <v>0</v>
      </c>
    </row>
    <row r="15" spans="1:9" s="7" customFormat="1" ht="17.399999999999999" x14ac:dyDescent="0.3">
      <c r="A15" s="20" t="s">
        <v>544</v>
      </c>
      <c r="B15" s="21" t="s">
        <v>545</v>
      </c>
      <c r="C15" s="34" t="s">
        <v>546</v>
      </c>
      <c r="D15" s="21">
        <v>52</v>
      </c>
      <c r="E15" s="21" t="s">
        <v>547</v>
      </c>
      <c r="F15" s="22">
        <v>50223965</v>
      </c>
      <c r="G15" s="23">
        <v>0</v>
      </c>
    </row>
    <row r="16" spans="1:9" s="7" customFormat="1" ht="17.399999999999999" x14ac:dyDescent="0.3">
      <c r="A16" s="24" t="s">
        <v>548</v>
      </c>
      <c r="B16" s="25" t="s">
        <v>549</v>
      </c>
      <c r="C16" s="25" t="s">
        <v>413</v>
      </c>
      <c r="D16" s="25">
        <v>160</v>
      </c>
      <c r="E16" s="35" t="s">
        <v>543</v>
      </c>
      <c r="F16" s="26">
        <v>26912269</v>
      </c>
      <c r="G16" s="27">
        <v>5.3158474468308299E-2</v>
      </c>
    </row>
    <row r="17" spans="1:9" s="7" customFormat="1" ht="17.399999999999999" x14ac:dyDescent="0.3">
      <c r="A17" s="24" t="s">
        <v>550</v>
      </c>
      <c r="B17" s="25" t="s">
        <v>551</v>
      </c>
      <c r="C17" s="25" t="s">
        <v>413</v>
      </c>
      <c r="D17" s="25">
        <v>220</v>
      </c>
      <c r="E17" s="35" t="s">
        <v>543</v>
      </c>
      <c r="F17" s="26">
        <v>27736581</v>
      </c>
      <c r="G17" s="27">
        <v>2.5789320690259999E-2</v>
      </c>
    </row>
    <row r="18" spans="1:9" s="7" customFormat="1" ht="17.399999999999999" x14ac:dyDescent="0.3">
      <c r="A18" s="24" t="s">
        <v>552</v>
      </c>
      <c r="B18" s="25" t="s">
        <v>553</v>
      </c>
      <c r="C18" s="25" t="s">
        <v>413</v>
      </c>
      <c r="D18" s="25">
        <v>275</v>
      </c>
      <c r="E18" s="35" t="s">
        <v>543</v>
      </c>
      <c r="F18" s="26">
        <v>36682992</v>
      </c>
      <c r="G18" s="27">
        <v>3.8999413257259502E-2</v>
      </c>
    </row>
    <row r="19" spans="1:9" s="7" customFormat="1" ht="17.399999999999999" x14ac:dyDescent="0.3">
      <c r="A19" s="36" t="s">
        <v>554</v>
      </c>
      <c r="B19" s="35" t="s">
        <v>555</v>
      </c>
      <c r="C19" s="25" t="s">
        <v>413</v>
      </c>
      <c r="D19" s="35">
        <v>325</v>
      </c>
      <c r="E19" s="35" t="s">
        <v>543</v>
      </c>
      <c r="F19" s="26">
        <v>41169652</v>
      </c>
      <c r="G19" s="27">
        <v>8.6873163545367393E-2</v>
      </c>
    </row>
    <row r="20" spans="1:9" s="7" customFormat="1" ht="17.399999999999999" x14ac:dyDescent="0.25">
      <c r="A20" s="219" t="s">
        <v>556</v>
      </c>
      <c r="B20" s="220"/>
      <c r="C20" s="220"/>
      <c r="D20" s="220"/>
      <c r="E20" s="220"/>
      <c r="F20" s="220"/>
      <c r="G20" s="221"/>
      <c r="H20" s="28"/>
      <c r="I20" s="28"/>
    </row>
    <row r="21" spans="1:9" s="7" customFormat="1" ht="15" x14ac:dyDescent="0.25"/>
    <row r="22" spans="1:9" s="8" customFormat="1" ht="18" x14ac:dyDescent="0.25"/>
    <row r="23" spans="1:9" s="8" customFormat="1" ht="18" x14ac:dyDescent="0.25">
      <c r="A23" s="222" t="s">
        <v>557</v>
      </c>
      <c r="B23" s="223"/>
      <c r="C23" s="223"/>
      <c r="D23" s="223"/>
      <c r="E23" s="223"/>
      <c r="F23" s="223"/>
      <c r="G23" s="224"/>
      <c r="H23" s="29"/>
      <c r="I23" s="29"/>
    </row>
    <row r="24" spans="1:9" s="7" customFormat="1" ht="17.399999999999999" x14ac:dyDescent="0.3">
      <c r="A24" s="13" t="s">
        <v>521</v>
      </c>
      <c r="B24" s="14" t="s">
        <v>378</v>
      </c>
      <c r="C24" s="14" t="s">
        <v>384</v>
      </c>
      <c r="D24" s="14" t="s">
        <v>380</v>
      </c>
      <c r="E24" s="14" t="s">
        <v>381</v>
      </c>
      <c r="F24" s="14" t="s">
        <v>382</v>
      </c>
      <c r="G24" s="15" t="s">
        <v>383</v>
      </c>
    </row>
    <row r="25" spans="1:9" s="9" customFormat="1" ht="17.399999999999999" x14ac:dyDescent="0.3">
      <c r="A25" s="37" t="s">
        <v>558</v>
      </c>
      <c r="B25" s="38" t="s">
        <v>559</v>
      </c>
      <c r="C25" s="38" t="s">
        <v>389</v>
      </c>
      <c r="D25" s="38">
        <v>1</v>
      </c>
      <c r="E25" s="33" t="s">
        <v>543</v>
      </c>
      <c r="F25" s="39">
        <v>49367533</v>
      </c>
      <c r="G25" s="19">
        <v>0</v>
      </c>
    </row>
    <row r="26" spans="1:9" s="9" customFormat="1" ht="17.399999999999999" x14ac:dyDescent="0.3">
      <c r="A26" s="37" t="s">
        <v>560</v>
      </c>
      <c r="B26" s="38" t="s">
        <v>561</v>
      </c>
      <c r="C26" s="38" t="s">
        <v>389</v>
      </c>
      <c r="D26" s="38">
        <v>20</v>
      </c>
      <c r="E26" s="33" t="s">
        <v>543</v>
      </c>
      <c r="F26" s="39">
        <v>32691725</v>
      </c>
      <c r="G26" s="19">
        <v>0</v>
      </c>
    </row>
    <row r="27" spans="1:9" s="9" customFormat="1" ht="17.399999999999999" x14ac:dyDescent="0.3">
      <c r="A27" s="37" t="s">
        <v>562</v>
      </c>
      <c r="B27" s="38" t="s">
        <v>563</v>
      </c>
      <c r="C27" s="38" t="s">
        <v>389</v>
      </c>
      <c r="D27" s="38">
        <v>43</v>
      </c>
      <c r="E27" s="33" t="s">
        <v>543</v>
      </c>
      <c r="F27" s="39">
        <v>39774511</v>
      </c>
      <c r="G27" s="19">
        <v>0</v>
      </c>
    </row>
    <row r="28" spans="1:9" s="9" customFormat="1" ht="17.399999999999999" x14ac:dyDescent="0.3">
      <c r="A28" s="37" t="s">
        <v>564</v>
      </c>
      <c r="B28" s="38" t="s">
        <v>565</v>
      </c>
      <c r="C28" s="38" t="s">
        <v>389</v>
      </c>
      <c r="D28" s="38">
        <v>62</v>
      </c>
      <c r="E28" s="33" t="s">
        <v>543</v>
      </c>
      <c r="F28" s="39">
        <v>42017178</v>
      </c>
      <c r="G28" s="19">
        <v>0</v>
      </c>
    </row>
    <row r="29" spans="1:9" s="9" customFormat="1" ht="17.399999999999999" x14ac:dyDescent="0.3">
      <c r="A29" s="40" t="s">
        <v>566</v>
      </c>
      <c r="B29" s="34" t="s">
        <v>567</v>
      </c>
      <c r="C29" s="34" t="s">
        <v>393</v>
      </c>
      <c r="D29" s="34">
        <v>75</v>
      </c>
      <c r="E29" s="41" t="s">
        <v>543</v>
      </c>
      <c r="F29" s="42">
        <v>35717635</v>
      </c>
      <c r="G29" s="23">
        <v>0</v>
      </c>
    </row>
    <row r="30" spans="1:9" s="9" customFormat="1" ht="17.399999999999999" x14ac:dyDescent="0.3">
      <c r="A30" s="40" t="s">
        <v>568</v>
      </c>
      <c r="B30" s="34" t="s">
        <v>569</v>
      </c>
      <c r="C30" s="34" t="s">
        <v>393</v>
      </c>
      <c r="D30" s="34">
        <v>85</v>
      </c>
      <c r="E30" s="41" t="s">
        <v>543</v>
      </c>
      <c r="F30" s="42">
        <v>49043134</v>
      </c>
      <c r="G30" s="23">
        <v>0</v>
      </c>
    </row>
    <row r="31" spans="1:9" s="9" customFormat="1" ht="17.399999999999999" x14ac:dyDescent="0.3">
      <c r="A31" s="43" t="s">
        <v>570</v>
      </c>
      <c r="B31" s="44" t="s">
        <v>571</v>
      </c>
      <c r="C31" s="44" t="s">
        <v>413</v>
      </c>
      <c r="D31" s="44">
        <v>125</v>
      </c>
      <c r="E31" s="35" t="s">
        <v>543</v>
      </c>
      <c r="F31" s="45">
        <v>54104248</v>
      </c>
      <c r="G31" s="27">
        <v>0</v>
      </c>
    </row>
    <row r="32" spans="1:9" s="9" customFormat="1" ht="17.399999999999999" x14ac:dyDescent="0.3">
      <c r="A32" s="43" t="s">
        <v>572</v>
      </c>
      <c r="B32" s="44" t="s">
        <v>573</v>
      </c>
      <c r="C32" s="44" t="s">
        <v>413</v>
      </c>
      <c r="D32" s="44">
        <v>125</v>
      </c>
      <c r="E32" s="35" t="s">
        <v>543</v>
      </c>
      <c r="F32" s="45">
        <v>39440673</v>
      </c>
      <c r="G32" s="27">
        <v>0</v>
      </c>
    </row>
    <row r="33" spans="1:9" s="9" customFormat="1" ht="17.399999999999999" x14ac:dyDescent="0.3">
      <c r="A33" s="43" t="s">
        <v>574</v>
      </c>
      <c r="B33" s="44" t="s">
        <v>575</v>
      </c>
      <c r="C33" s="44" t="s">
        <v>413</v>
      </c>
      <c r="D33" s="44">
        <v>133</v>
      </c>
      <c r="E33" s="35" t="s">
        <v>543</v>
      </c>
      <c r="F33" s="45">
        <v>38831136</v>
      </c>
      <c r="G33" s="27">
        <v>0</v>
      </c>
    </row>
    <row r="34" spans="1:9" s="9" customFormat="1" ht="17.399999999999999" x14ac:dyDescent="0.3">
      <c r="A34" s="43" t="s">
        <v>576</v>
      </c>
      <c r="B34" s="44" t="s">
        <v>577</v>
      </c>
      <c r="C34" s="44" t="s">
        <v>413</v>
      </c>
      <c r="D34" s="44">
        <v>142</v>
      </c>
      <c r="E34" s="35" t="s">
        <v>543</v>
      </c>
      <c r="F34" s="45">
        <v>41273865</v>
      </c>
      <c r="G34" s="27">
        <v>0</v>
      </c>
    </row>
    <row r="35" spans="1:9" s="9" customFormat="1" ht="17.399999999999999" x14ac:dyDescent="0.3">
      <c r="A35" s="43" t="s">
        <v>578</v>
      </c>
      <c r="B35" s="44" t="s">
        <v>579</v>
      </c>
      <c r="C35" s="44" t="s">
        <v>413</v>
      </c>
      <c r="D35" s="44">
        <v>144</v>
      </c>
      <c r="E35" s="35" t="s">
        <v>543</v>
      </c>
      <c r="F35" s="45">
        <v>44452814</v>
      </c>
      <c r="G35" s="27">
        <v>3.2182780701368999E-2</v>
      </c>
    </row>
    <row r="36" spans="1:9" s="9" customFormat="1" ht="17.399999999999999" x14ac:dyDescent="0.3">
      <c r="A36" s="43" t="s">
        <v>580</v>
      </c>
      <c r="B36" s="44" t="s">
        <v>581</v>
      </c>
      <c r="C36" s="44" t="s">
        <v>413</v>
      </c>
      <c r="D36" s="44">
        <v>150</v>
      </c>
      <c r="E36" s="35" t="s">
        <v>543</v>
      </c>
      <c r="F36" s="45">
        <v>38741005</v>
      </c>
      <c r="G36" s="27">
        <v>0</v>
      </c>
    </row>
    <row r="37" spans="1:9" s="9" customFormat="1" ht="17.399999999999999" x14ac:dyDescent="0.3">
      <c r="A37" s="43" t="s">
        <v>582</v>
      </c>
      <c r="B37" s="44" t="s">
        <v>583</v>
      </c>
      <c r="C37" s="44" t="s">
        <v>413</v>
      </c>
      <c r="D37" s="44">
        <v>156</v>
      </c>
      <c r="E37" s="35" t="s">
        <v>543</v>
      </c>
      <c r="F37" s="45">
        <v>35749570</v>
      </c>
      <c r="G37" s="27">
        <v>2.0008844365411199E-2</v>
      </c>
    </row>
    <row r="38" spans="1:9" s="9" customFormat="1" ht="17.399999999999999" x14ac:dyDescent="0.3">
      <c r="A38" s="43" t="s">
        <v>584</v>
      </c>
      <c r="B38" s="44" t="s">
        <v>585</v>
      </c>
      <c r="C38" s="44" t="s">
        <v>413</v>
      </c>
      <c r="D38" s="44">
        <v>188</v>
      </c>
      <c r="E38" s="35" t="s">
        <v>543</v>
      </c>
      <c r="F38" s="45">
        <v>55904770</v>
      </c>
      <c r="G38" s="27">
        <v>0.17913151510408201</v>
      </c>
    </row>
    <row r="39" spans="1:9" s="9" customFormat="1" ht="18" x14ac:dyDescent="0.25">
      <c r="A39" s="207" t="s">
        <v>586</v>
      </c>
      <c r="B39" s="208"/>
      <c r="C39" s="208"/>
      <c r="D39" s="208"/>
      <c r="E39" s="208"/>
      <c r="F39" s="208"/>
      <c r="G39" s="209"/>
      <c r="H39" s="46"/>
      <c r="I39" s="46"/>
    </row>
    <row r="40" spans="1:9" s="10" customFormat="1" x14ac:dyDescent="0.25"/>
  </sheetData>
  <mergeCells count="6">
    <mergeCell ref="A39:G39"/>
    <mergeCell ref="A1:G1"/>
    <mergeCell ref="A9:G9"/>
    <mergeCell ref="A12:G12"/>
    <mergeCell ref="A20:G20"/>
    <mergeCell ref="A23:G23"/>
  </mergeCells>
  <phoneticPr fontId="29" type="noConversion"/>
  <hyperlinks>
    <hyperlink ref="A20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9"/>
  <sheetViews>
    <sheetView zoomScale="70" zoomScaleNormal="70" workbookViewId="0">
      <selection activeCell="M88" sqref="M88"/>
    </sheetView>
  </sheetViews>
  <sheetFormatPr defaultColWidth="8.88671875" defaultRowHeight="13.8" x14ac:dyDescent="0.25"/>
  <cols>
    <col min="1" max="1" width="100.88671875" style="1" customWidth="1"/>
    <col min="2" max="16384" width="8.88671875" style="1"/>
  </cols>
  <sheetData>
    <row r="1" spans="1:1" ht="17.399999999999999" x14ac:dyDescent="0.25">
      <c r="A1" s="2" t="s">
        <v>587</v>
      </c>
    </row>
    <row r="2" spans="1:1" ht="82.8" x14ac:dyDescent="0.25">
      <c r="A2" s="3" t="s">
        <v>588</v>
      </c>
    </row>
    <row r="3" spans="1:1" x14ac:dyDescent="0.25">
      <c r="A3" s="4"/>
    </row>
    <row r="4" spans="1:1" ht="17.399999999999999" x14ac:dyDescent="0.25">
      <c r="A4" s="5" t="s">
        <v>589</v>
      </c>
    </row>
    <row r="5" spans="1:1" ht="82.8" x14ac:dyDescent="0.25">
      <c r="A5" s="3" t="s">
        <v>590</v>
      </c>
    </row>
    <row r="6" spans="1:1" x14ac:dyDescent="0.25">
      <c r="A6" s="4"/>
    </row>
    <row r="7" spans="1:1" ht="17.399999999999999" x14ac:dyDescent="0.25">
      <c r="A7" s="5" t="s">
        <v>591</v>
      </c>
    </row>
    <row r="8" spans="1:1" ht="82.8" x14ac:dyDescent="0.25">
      <c r="A8" s="3" t="s">
        <v>592</v>
      </c>
    </row>
    <row r="9" spans="1:1" x14ac:dyDescent="0.25">
      <c r="A9" s="4"/>
    </row>
    <row r="10" spans="1:1" ht="17.399999999999999" x14ac:dyDescent="0.25">
      <c r="A10" s="5" t="s">
        <v>593</v>
      </c>
    </row>
    <row r="11" spans="1:1" ht="82.8" x14ac:dyDescent="0.25">
      <c r="A11" s="3" t="s">
        <v>594</v>
      </c>
    </row>
    <row r="12" spans="1:1" x14ac:dyDescent="0.25">
      <c r="A12" s="4"/>
    </row>
    <row r="13" spans="1:1" ht="17.399999999999999" x14ac:dyDescent="0.25">
      <c r="A13" s="5" t="s">
        <v>595</v>
      </c>
    </row>
    <row r="14" spans="1:1" ht="82.8" x14ac:dyDescent="0.25">
      <c r="A14" s="3" t="s">
        <v>596</v>
      </c>
    </row>
    <row r="15" spans="1:1" x14ac:dyDescent="0.25">
      <c r="A15" s="4"/>
    </row>
    <row r="16" spans="1:1" ht="17.399999999999999" x14ac:dyDescent="0.25">
      <c r="A16" s="5" t="s">
        <v>597</v>
      </c>
    </row>
    <row r="17" spans="1:1" ht="82.8" x14ac:dyDescent="0.25">
      <c r="A17" s="3" t="s">
        <v>598</v>
      </c>
    </row>
    <row r="18" spans="1:1" x14ac:dyDescent="0.25">
      <c r="A18" s="4"/>
    </row>
    <row r="19" spans="1:1" ht="17.399999999999999" x14ac:dyDescent="0.25">
      <c r="A19" s="5" t="s">
        <v>599</v>
      </c>
    </row>
    <row r="20" spans="1:1" ht="82.8" x14ac:dyDescent="0.25">
      <c r="A20" s="3" t="s">
        <v>600</v>
      </c>
    </row>
    <row r="21" spans="1:1" x14ac:dyDescent="0.25">
      <c r="A21" s="4"/>
    </row>
    <row r="22" spans="1:1" ht="17.399999999999999" x14ac:dyDescent="0.25">
      <c r="A22" s="5" t="s">
        <v>601</v>
      </c>
    </row>
    <row r="23" spans="1:1" ht="82.8" x14ac:dyDescent="0.25">
      <c r="A23" s="3" t="s">
        <v>602</v>
      </c>
    </row>
    <row r="24" spans="1:1" x14ac:dyDescent="0.25">
      <c r="A24" s="4"/>
    </row>
    <row r="25" spans="1:1" ht="17.399999999999999" x14ac:dyDescent="0.25">
      <c r="A25" s="5" t="s">
        <v>603</v>
      </c>
    </row>
    <row r="26" spans="1:1" ht="82.8" x14ac:dyDescent="0.25">
      <c r="A26" s="3" t="s">
        <v>604</v>
      </c>
    </row>
    <row r="27" spans="1:1" x14ac:dyDescent="0.25">
      <c r="A27" s="4"/>
    </row>
    <row r="28" spans="1:1" ht="17.399999999999999" x14ac:dyDescent="0.25">
      <c r="A28" s="5" t="s">
        <v>605</v>
      </c>
    </row>
    <row r="29" spans="1:1" ht="82.8" x14ac:dyDescent="0.25">
      <c r="A29" s="3" t="s">
        <v>606</v>
      </c>
    </row>
    <row r="30" spans="1:1" x14ac:dyDescent="0.25">
      <c r="A30" s="4"/>
    </row>
    <row r="31" spans="1:1" ht="17.399999999999999" x14ac:dyDescent="0.25">
      <c r="A31" s="5" t="s">
        <v>607</v>
      </c>
    </row>
    <row r="32" spans="1:1" ht="82.8" x14ac:dyDescent="0.25">
      <c r="A32" s="3" t="s">
        <v>608</v>
      </c>
    </row>
    <row r="33" spans="1:1" x14ac:dyDescent="0.25">
      <c r="A33" s="4"/>
    </row>
    <row r="34" spans="1:1" ht="17.399999999999999" x14ac:dyDescent="0.25">
      <c r="A34" s="5" t="s">
        <v>609</v>
      </c>
    </row>
    <row r="35" spans="1:1" ht="82.8" x14ac:dyDescent="0.25">
      <c r="A35" s="3" t="s">
        <v>610</v>
      </c>
    </row>
    <row r="36" spans="1:1" x14ac:dyDescent="0.25">
      <c r="A36" s="4"/>
    </row>
    <row r="37" spans="1:1" ht="17.399999999999999" x14ac:dyDescent="0.25">
      <c r="A37" s="5" t="s">
        <v>611</v>
      </c>
    </row>
    <row r="38" spans="1:1" ht="82.8" x14ac:dyDescent="0.25">
      <c r="A38" s="3" t="s">
        <v>612</v>
      </c>
    </row>
    <row r="39" spans="1:1" x14ac:dyDescent="0.25">
      <c r="A39" s="4"/>
    </row>
    <row r="40" spans="1:1" ht="17.399999999999999" x14ac:dyDescent="0.25">
      <c r="A40" s="5" t="s">
        <v>613</v>
      </c>
    </row>
    <row r="41" spans="1:1" ht="82.8" x14ac:dyDescent="0.25">
      <c r="A41" s="3" t="s">
        <v>614</v>
      </c>
    </row>
    <row r="42" spans="1:1" x14ac:dyDescent="0.25">
      <c r="A42" s="4"/>
    </row>
    <row r="43" spans="1:1" ht="17.399999999999999" x14ac:dyDescent="0.25">
      <c r="A43" s="5" t="s">
        <v>615</v>
      </c>
    </row>
    <row r="44" spans="1:1" ht="82.8" x14ac:dyDescent="0.25">
      <c r="A44" s="3" t="s">
        <v>616</v>
      </c>
    </row>
    <row r="45" spans="1:1" x14ac:dyDescent="0.25">
      <c r="A45" s="4"/>
    </row>
    <row r="46" spans="1:1" ht="17.399999999999999" x14ac:dyDescent="0.25">
      <c r="A46" s="5" t="s">
        <v>617</v>
      </c>
    </row>
    <row r="47" spans="1:1" ht="96.6" x14ac:dyDescent="0.25">
      <c r="A47" s="3" t="s">
        <v>618</v>
      </c>
    </row>
    <row r="48" spans="1:1" x14ac:dyDescent="0.25">
      <c r="A48" s="4"/>
    </row>
    <row r="49" spans="1:1" ht="17.399999999999999" x14ac:dyDescent="0.25">
      <c r="A49" s="5" t="s">
        <v>619</v>
      </c>
    </row>
    <row r="50" spans="1:1" ht="96.6" x14ac:dyDescent="0.25">
      <c r="A50" s="3" t="s">
        <v>620</v>
      </c>
    </row>
    <row r="51" spans="1:1" x14ac:dyDescent="0.25">
      <c r="A51" s="4"/>
    </row>
    <row r="52" spans="1:1" ht="17.399999999999999" x14ac:dyDescent="0.25">
      <c r="A52" s="5" t="s">
        <v>621</v>
      </c>
    </row>
    <row r="53" spans="1:1" ht="82.8" x14ac:dyDescent="0.25">
      <c r="A53" s="3" t="s">
        <v>622</v>
      </c>
    </row>
    <row r="54" spans="1:1" x14ac:dyDescent="0.25">
      <c r="A54" s="4"/>
    </row>
    <row r="55" spans="1:1" ht="17.399999999999999" x14ac:dyDescent="0.25">
      <c r="A55" s="5" t="s">
        <v>623</v>
      </c>
    </row>
    <row r="56" spans="1:1" ht="82.8" x14ac:dyDescent="0.25">
      <c r="A56" s="3" t="s">
        <v>624</v>
      </c>
    </row>
    <row r="57" spans="1:1" x14ac:dyDescent="0.25">
      <c r="A57" s="4"/>
    </row>
    <row r="58" spans="1:1" ht="17.399999999999999" x14ac:dyDescent="0.25">
      <c r="A58" s="5" t="s">
        <v>625</v>
      </c>
    </row>
    <row r="59" spans="1:1" ht="82.8" x14ac:dyDescent="0.25">
      <c r="A59" s="6" t="s">
        <v>626</v>
      </c>
    </row>
  </sheetData>
  <phoneticPr fontId="2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Archaeal domain-Gms-homologs</vt:lpstr>
      <vt:lpstr>Ocean-Gms (RPKM)</vt:lpstr>
      <vt:lpstr>Lake-Gms (RPKM)</vt:lpstr>
      <vt:lpstr>GrsA_outgroup 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雅楠 李</dc:creator>
  <cp:lastModifiedBy>雅楠 李</cp:lastModifiedBy>
  <dcterms:created xsi:type="dcterms:W3CDTF">2023-10-21T12:56:00Z</dcterms:created>
  <dcterms:modified xsi:type="dcterms:W3CDTF">2024-06-02T06:35:45Z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23393996F0D04AFABCD5230FF54D46B0_13</vt:lpwstr>
  </property>
  <property fmtid="{D5CDD505-2E9C-101B-9397-08002B2CF9AE}" pid="3" name="KSOProductBuildVer">
    <vt:lpwstr>2052-12.1.0.16729</vt:lpwstr>
  </property>
</Properties>
</file>