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YM\Documents\Paper_Overshoot_2023\Final_Submission_for_Acceptance_Aug_2024\"/>
    </mc:Choice>
  </mc:AlternateContent>
  <xr:revisionPtr revIDLastSave="0" documentId="13_ncr:1_{1DEA03D4-75CB-4CE7-BC7C-2011B843EFA6}" xr6:coauthVersionLast="47" xr6:coauthVersionMax="47" xr10:uidLastSave="{00000000-0000-0000-0000-000000000000}"/>
  <bookViews>
    <workbookView xWindow="-110" yWindow="-110" windowWidth="19420" windowHeight="10420" xr2:uid="{8EDAE89E-7DCE-4807-942D-2867F5A28EB7}"/>
  </bookViews>
  <sheets>
    <sheet name="AR potential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3" l="1"/>
  <c r="E31" i="3"/>
  <c r="E5" i="3"/>
  <c r="E4" i="3"/>
  <c r="E6" i="3"/>
  <c r="E36" i="3"/>
  <c r="F41" i="3"/>
  <c r="D41" i="3"/>
  <c r="E41" i="3"/>
  <c r="E50" i="3"/>
  <c r="F33" i="3"/>
  <c r="E33" i="3"/>
  <c r="D33" i="3"/>
  <c r="E16" i="3"/>
  <c r="E13" i="3"/>
  <c r="E43" i="3"/>
  <c r="E58" i="3" l="1"/>
  <c r="E57" i="3"/>
  <c r="E48" i="3"/>
  <c r="E46" i="3"/>
  <c r="E40" i="3"/>
  <c r="E38" i="3"/>
  <c r="E26" i="3"/>
  <c r="F21" i="3"/>
  <c r="E17" i="3"/>
  <c r="E14" i="3"/>
  <c r="E12" i="3"/>
  <c r="E11" i="3"/>
  <c r="E10" i="3"/>
  <c r="E9" i="3"/>
  <c r="E8" i="3"/>
  <c r="F64" i="3"/>
  <c r="D64" i="3"/>
  <c r="E63" i="3"/>
  <c r="E62" i="3"/>
  <c r="E61" i="3"/>
  <c r="E60" i="3"/>
  <c r="F59" i="3"/>
  <c r="D59" i="3"/>
  <c r="D56" i="3"/>
  <c r="F56" i="3"/>
  <c r="F55" i="3"/>
  <c r="D55" i="3"/>
  <c r="F54" i="3"/>
  <c r="D54" i="3"/>
  <c r="E53" i="3"/>
  <c r="E52" i="3"/>
  <c r="E51" i="3"/>
  <c r="E42" i="3"/>
  <c r="F39" i="3"/>
  <c r="D39" i="3"/>
  <c r="E25" i="3"/>
  <c r="F24" i="3"/>
  <c r="E24" i="3" s="1"/>
  <c r="E22" i="3"/>
  <c r="D21" i="3"/>
  <c r="F20" i="3"/>
  <c r="D20" i="3"/>
  <c r="F19" i="3"/>
  <c r="E19" i="3" s="1"/>
  <c r="F18" i="3"/>
  <c r="E18" i="3" s="1"/>
  <c r="E59" i="3" l="1"/>
  <c r="E64" i="3"/>
  <c r="E55" i="3"/>
  <c r="E56" i="3"/>
  <c r="E54" i="3"/>
  <c r="E39" i="3"/>
  <c r="E21" i="3"/>
  <c r="E20" i="3"/>
</calcChain>
</file>

<file path=xl/sharedStrings.xml><?xml version="1.0" encoding="utf-8"?>
<sst xmlns="http://schemas.openxmlformats.org/spreadsheetml/2006/main" count="310" uniqueCount="123">
  <si>
    <t>Study</t>
  </si>
  <si>
    <t>DOI</t>
  </si>
  <si>
    <t>Cumulative</t>
  </si>
  <si>
    <t>Year</t>
  </si>
  <si>
    <t>http://dx.doi.org/10.1002/2016GL068824</t>
  </si>
  <si>
    <t>http://dx.doi.org/10.1088/1748-9326/11/8/085001</t>
  </si>
  <si>
    <t>http://dx.doi.org/10.1021/es506201r</t>
  </si>
  <si>
    <t>http://dx.doi.org/10.1088/1748-9326/9/6/064029</t>
  </si>
  <si>
    <t>Lenton 2010</t>
  </si>
  <si>
    <t>http://dx.doi.org/10.4155/CMT.10.12</t>
  </si>
  <si>
    <t>http://dx.doi.org/10.1073/pnas.1008153107</t>
  </si>
  <si>
    <t>http://dx.doi.org/10.1016/j.gloenvcha.2007.10.002</t>
  </si>
  <si>
    <t>http://dx.doi.org/10.1126/science.1155458</t>
  </si>
  <si>
    <t>http://dx.doi.org/10.1007/s10584-007-9334-4</t>
  </si>
  <si>
    <t>Estimated from available numbers (cumulative sequestration) in Fig. 4. Adjusted from 100 years (2000-2100) to 85 years (2015-2100)</t>
  </si>
  <si>
    <t>https://doi.org/10.1186/1750-0680-3-3</t>
  </si>
  <si>
    <t>Comments</t>
  </si>
  <si>
    <t>http://dx.doi.org/10.1023/B:CLIM.0000018503.10080.89</t>
  </si>
  <si>
    <t>https://doi.org/10.1016/S0961-9534(02)00103-4</t>
  </si>
  <si>
    <t>https://doi.org/10.1111/1467-8276.00133</t>
  </si>
  <si>
    <t>Brown 1996</t>
  </si>
  <si>
    <t>https://www.osti.gov/etdeweb/biblio/441905</t>
  </si>
  <si>
    <t>http://dx.doi.org/10.1007/BF01091928</t>
  </si>
  <si>
    <t>http://dx.doi.org/10.1007/BF00477103</t>
  </si>
  <si>
    <t>https://doi.org/10.1073/pnas.1710465114</t>
  </si>
  <si>
    <t>YES</t>
  </si>
  <si>
    <t>https://doi.org/10.1038/d41586-019-01026-8</t>
  </si>
  <si>
    <t>https://doi.org/10.1126/science.aax0848</t>
  </si>
  <si>
    <t>NO</t>
  </si>
  <si>
    <t>https://ideas.repec.org//a/aen/journl/2006se_weyant-a07.html</t>
  </si>
  <si>
    <t>https://doi.org/10.1111/gcb.14887</t>
  </si>
  <si>
    <t>https://doi.org/10.1038/s41558-019-0591-9</t>
  </si>
  <si>
    <t>https://doi.org/10.1111/gcb.15873</t>
  </si>
  <si>
    <t>https://drawdown.org/</t>
  </si>
  <si>
    <t>https://doi.org/10.1016/j.psep.2012.10.005</t>
  </si>
  <si>
    <t>https://doi.org/10.1007/s10784-017-9382-9</t>
  </si>
  <si>
    <t>No specific date but a "period of 60 years until saturation". We use 2015 as starting point</t>
  </si>
  <si>
    <t>https://doi.org/10.1038/s41467-020-19578-z</t>
  </si>
  <si>
    <t>Min. estimate</t>
  </si>
  <si>
    <t>Mean estimate</t>
  </si>
  <si>
    <t>Max. estimate</t>
  </si>
  <si>
    <t>Estimated as a constant rate of  0.1–2.6 GtCO2/year * 30 years (2025-2055)</t>
  </si>
  <si>
    <t>Refers not to a specific date, but rather to a 50-year period. We assume a start on 2015</t>
  </si>
  <si>
    <t>Adjusted from 100 years (1995-2095) to 80 years (2015-2095)</t>
  </si>
  <si>
    <t>Adjusted from 50 years (2000-2050) to 35 years (2015-2050)</t>
  </si>
  <si>
    <t>Adjusted from 100 years (2000-2100) to 85 years (2015-2100)</t>
  </si>
  <si>
    <t>Adjusted from 60 years (2000-2060) to 35 years (2015-2060)</t>
  </si>
  <si>
    <t>Calculated as 3.65 (GtCO2/year) * 50 years</t>
  </si>
  <si>
    <t>Adjusted from 105 years (1995-2100) to 85 years (2015-2100)</t>
  </si>
  <si>
    <t>Project Drawdown (Wilkinson 2020)</t>
  </si>
  <si>
    <t>Not adjusting for 2000-2015, because as stated in the text "the projected physical potential up to 2020 is negligible"</t>
  </si>
  <si>
    <t>Cannell 2003</t>
  </si>
  <si>
    <t>https://doi.org/10.1007/BF01098474</t>
  </si>
  <si>
    <t>-</t>
  </si>
  <si>
    <t>https://doi.org/10.1038/nclimate2869</t>
  </si>
  <si>
    <t>Humpenoder et al., 2014</t>
  </si>
  <si>
    <t>Moore et al., 2010</t>
  </si>
  <si>
    <t>Thompson et al., 2008</t>
  </si>
  <si>
    <t>Strengers et al., 2008</t>
  </si>
  <si>
    <t>van Minnen et al., 2008</t>
  </si>
  <si>
    <t>Sathaye et al., 2006</t>
  </si>
  <si>
    <t>Sohngen et al., 2003</t>
  </si>
  <si>
    <t>Nilsson et al., 1995</t>
  </si>
  <si>
    <t>Winjum et al., 1992</t>
  </si>
  <si>
    <t>Roe et al.,2021</t>
  </si>
  <si>
    <t>Roe et al.,2019</t>
  </si>
  <si>
    <t>Griscom et al.,2017</t>
  </si>
  <si>
    <t>McLaren et al.,2012</t>
  </si>
  <si>
    <t>Thompson et al.,2008</t>
  </si>
  <si>
    <t>Canadell et al.,2008</t>
  </si>
  <si>
    <t>Strengers et al.,2008</t>
  </si>
  <si>
    <t>Richards et al.,2004</t>
  </si>
  <si>
    <t>Nilsson et al.,1995</t>
  </si>
  <si>
    <t>Dixon et al.,1994</t>
  </si>
  <si>
    <t>Austin et al.,2020</t>
  </si>
  <si>
    <t>Bastin et al.,2019</t>
  </si>
  <si>
    <t>Lewis et al.,2019</t>
  </si>
  <si>
    <t>Dooley et al.,2018</t>
  </si>
  <si>
    <t>Sonntag et al.,2016</t>
  </si>
  <si>
    <t>Kreidenweis et al.,2016</t>
  </si>
  <si>
    <t>Humpenoder et al.,2015</t>
  </si>
  <si>
    <t>Houghton et al.,2015</t>
  </si>
  <si>
    <t>More estimates accounted towads the estimation of the mean (if any)</t>
  </si>
  <si>
    <t>Instant Flux</t>
  </si>
  <si>
    <t>Dooley et al., 2022</t>
  </si>
  <si>
    <t>https://doi.org/10.1016/j.oneear.2022.06.002</t>
  </si>
  <si>
    <t xml:space="preserve">Peak uptake rates are already reached by 2050, and are sustained at least until 2085, according to Fig. 1. Year 2065 is chosen here as representative </t>
  </si>
  <si>
    <t>Walker et al., 2022</t>
  </si>
  <si>
    <t>https://doi.org/10.1073/pnas.2111312119</t>
  </si>
  <si>
    <t xml:space="preserve">Only pathways including Reforestation in woody biomes are considered (R/H, R/L, MM/L, M/L). For the max estimate we use the sum of the potential of all these pathways. For min, only R/H, and for mean R/H + R/L.  </t>
  </si>
  <si>
    <t>Nolan et al., 2021</t>
  </si>
  <si>
    <t>https://doi.org/10.1038/
s43017-021-00166-8</t>
  </si>
  <si>
    <t>Different data points are extracted from Fig. 3</t>
  </si>
  <si>
    <t>Based on 20 available estimates</t>
  </si>
  <si>
    <t>Lal et al., 2018</t>
  </si>
  <si>
    <t>https://doi.org/10.2489/jswc.73.6.145A</t>
  </si>
  <si>
    <t>Potentials of reforestation of abandoned crop lands, and extremely degraded lands is considered here. An average equilibrium period of 60 years is considered here, and hence 2080 is chosen as the reference year.</t>
  </si>
  <si>
    <t>Smith et al., 2016</t>
  </si>
  <si>
    <t>https://doi.org/10.1038/nclimate2870</t>
  </si>
  <si>
    <t>Caldecott et al., 2015</t>
  </si>
  <si>
    <t>https://ora.ox.ac.uk/objects/uuid:258c4d8e-3ea7-4b72-a24e-44acd01405d1</t>
  </si>
  <si>
    <t>https://doi.org/10.1038/s41586-023-06723-z</t>
  </si>
  <si>
    <t>Mo et al., 2023</t>
  </si>
  <si>
    <t>The carbon potential in areas in which forests have been removed is considered here. We assume that to reach that potentials, planted forests would need to reach maturity, so the end of the century is considered as the reference year here.</t>
  </si>
  <si>
    <t>Arora and Montenegro 2011</t>
  </si>
  <si>
    <t>https://doi.org/10.1038/ngeo1182</t>
  </si>
  <si>
    <t>The cumulative sequestration for the 50% afforestation experiment is considered</t>
  </si>
  <si>
    <t>Potentials reported  in Fuss et al 2018</t>
  </si>
  <si>
    <t>Littleton et al., 2021</t>
  </si>
  <si>
    <t>https://doi.org/10.1088/1748-9326/ac3c6c</t>
  </si>
  <si>
    <r>
      <t>Flux (GtCO</t>
    </r>
    <r>
      <rPr>
        <b/>
        <vertAlign val="subscript"/>
        <sz val="12"/>
        <color theme="1"/>
        <rFont val="Calibri"/>
        <family val="2"/>
        <scheme val="minor"/>
      </rPr>
      <t>2</t>
    </r>
    <r>
      <rPr>
        <b/>
        <sz val="12"/>
        <color theme="1"/>
        <rFont val="Calibri"/>
        <family val="2"/>
        <scheme val="minor"/>
      </rPr>
      <t>/year)</t>
    </r>
  </si>
  <si>
    <r>
      <t>Cumulative C sequestration (GtCO</t>
    </r>
    <r>
      <rPr>
        <b/>
        <vertAlign val="subscript"/>
        <sz val="12"/>
        <color theme="1"/>
        <rFont val="Calibri"/>
        <family val="2"/>
        <scheme val="minor"/>
      </rPr>
      <t>2</t>
    </r>
    <r>
      <rPr>
        <b/>
        <sz val="12"/>
        <color theme="1"/>
        <rFont val="Calibri"/>
        <family val="2"/>
        <scheme val="minor"/>
      </rPr>
      <t>)</t>
    </r>
  </si>
  <si>
    <r>
      <t>Value (GtCO</t>
    </r>
    <r>
      <rPr>
        <b/>
        <vertAlign val="subscript"/>
        <sz val="12"/>
        <color theme="1"/>
        <rFont val="Calibri"/>
        <family val="2"/>
        <scheme val="minor"/>
      </rPr>
      <t>2</t>
    </r>
    <r>
      <rPr>
        <b/>
        <sz val="12"/>
        <color theme="1"/>
        <rFont val="Calibri"/>
        <family val="2"/>
        <scheme val="minor"/>
      </rPr>
      <t>)</t>
    </r>
  </si>
  <si>
    <r>
      <t>Value (GtCO</t>
    </r>
    <r>
      <rPr>
        <b/>
        <vertAlign val="subscript"/>
        <sz val="12"/>
        <color theme="1"/>
        <rFont val="Calibri"/>
        <family val="2"/>
        <scheme val="minor"/>
      </rPr>
      <t>2</t>
    </r>
    <r>
      <rPr>
        <b/>
        <sz val="12"/>
        <color theme="1"/>
        <rFont val="Calibri"/>
        <family val="2"/>
        <scheme val="minor"/>
      </rPr>
      <t>/year)</t>
    </r>
  </si>
  <si>
    <t>Hasegawa et al.,2024</t>
  </si>
  <si>
    <t>https://doi.org/10.1038/s43247-024-01336-4</t>
  </si>
  <si>
    <t>Weber et al. 2024</t>
  </si>
  <si>
    <t>10.1126/science.adg619</t>
  </si>
  <si>
    <t>The 2C and 4C scenarios are considered</t>
  </si>
  <si>
    <t>Doelman et al.,2020</t>
  </si>
  <si>
    <t>Summary statistics (lower 5%, 50% and upper 95%) are given and are used here</t>
  </si>
  <si>
    <t>Only "tree plantation on degraded grassland" is included in this estimate</t>
  </si>
  <si>
    <t>Potentials of reforestation of abandoned croplands, and extremely degraded lands is considered here. An average equilibrium period of 60 years is considered here, and hence 2080 is chosen as the reference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</si>
</sst>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b/>
      <sz val="16"/>
      <color theme="1"/>
      <name val="Calibri"/>
      <family val="2"/>
      <scheme val="minor"/>
    </font>
    <font>
      <b/>
      <vertAlign val="subscript"/>
      <sz val="12"/>
      <color theme="1"/>
      <name val="Calibri"/>
      <family val="2"/>
      <scheme val="minor"/>
    </font>
    <font>
      <sz val="12"/>
      <color theme="1"/>
      <name val="Calibri"/>
      <family val="2"/>
      <scheme val="minor"/>
    </font>
  </fonts>
  <fills count="7">
    <fill>
      <patternFill patternType="none"/>
    </fill>
    <fill>
      <patternFill patternType="gray125"/>
    </fill>
    <fill>
      <patternFill patternType="solid">
        <fgColor theme="7" tint="0.59999389629810485"/>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0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0" xfId="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1" xfId="0" applyBorder="1" applyAlignment="1">
      <alignment horizontal="center" vertical="center" wrapText="1"/>
    </xf>
    <xf numFmtId="0" fontId="2" fillId="0" borderId="1" xfId="1" applyFill="1" applyBorder="1" applyAlignment="1">
      <alignment horizontal="center" vertical="center" wrapText="1"/>
    </xf>
    <xf numFmtId="0" fontId="0" fillId="0" borderId="1" xfId="0" applyBorder="1" applyAlignment="1">
      <alignment horizontal="center" vertical="center"/>
    </xf>
    <xf numFmtId="2" fontId="0" fillId="0" borderId="1" xfId="0" applyNumberFormat="1" applyBorder="1" applyAlignment="1">
      <alignment horizontal="center" vertical="center"/>
    </xf>
    <xf numFmtId="0" fontId="2" fillId="0" borderId="1" xfId="1" applyBorder="1" applyAlignment="1">
      <alignment horizontal="center" vertical="center" wrapText="1"/>
    </xf>
    <xf numFmtId="0" fontId="0" fillId="4" borderId="1" xfId="0" applyFill="1" applyBorder="1" applyAlignment="1">
      <alignment horizontal="center" vertical="center"/>
    </xf>
    <xf numFmtId="0" fontId="2" fillId="4" borderId="1" xfId="1" applyFill="1" applyBorder="1" applyAlignment="1">
      <alignment horizontal="center" vertical="center" wrapText="1"/>
    </xf>
    <xf numFmtId="2" fontId="0" fillId="4" borderId="1" xfId="0" applyNumberFormat="1" applyFill="1" applyBorder="1" applyAlignment="1">
      <alignment horizontal="center" vertical="center"/>
    </xf>
    <xf numFmtId="0" fontId="0" fillId="4" borderId="1" xfId="0" applyFill="1" applyBorder="1" applyAlignment="1">
      <alignment horizontal="center" vertical="center" wrapText="1"/>
    </xf>
    <xf numFmtId="0" fontId="3" fillId="5" borderId="1" xfId="0" applyFont="1" applyFill="1" applyBorder="1" applyAlignment="1">
      <alignment horizontal="center" vertical="center"/>
    </xf>
    <xf numFmtId="2" fontId="1" fillId="4" borderId="1" xfId="0" applyNumberFormat="1" applyFont="1" applyFill="1" applyBorder="1" applyAlignment="1">
      <alignment horizontal="center" vertical="center"/>
    </xf>
    <xf numFmtId="2" fontId="1" fillId="0" borderId="1" xfId="0" applyNumberFormat="1" applyFont="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6" borderId="1" xfId="0" applyFill="1" applyBorder="1" applyAlignment="1">
      <alignment horizontal="center" vertical="center"/>
    </xf>
    <xf numFmtId="0" fontId="2" fillId="6" borderId="1" xfId="1" applyFill="1" applyBorder="1" applyAlignment="1">
      <alignment horizontal="center" vertical="center" wrapText="1"/>
    </xf>
    <xf numFmtId="2" fontId="0" fillId="6" borderId="1" xfId="0" applyNumberFormat="1" applyFill="1" applyBorder="1" applyAlignment="1">
      <alignment horizontal="center" vertical="center"/>
    </xf>
    <xf numFmtId="2" fontId="1" fillId="6" borderId="1" xfId="0" applyNumberFormat="1" applyFont="1" applyFill="1" applyBorder="1" applyAlignment="1">
      <alignment horizontal="center" vertical="center"/>
    </xf>
    <xf numFmtId="2" fontId="0" fillId="0" borderId="1" xfId="0" applyNumberFormat="1" applyBorder="1" applyAlignment="1">
      <alignment horizontal="center" vertical="center" wrapText="1"/>
    </xf>
    <xf numFmtId="2" fontId="1" fillId="0" borderId="1" xfId="0" applyNumberFormat="1" applyFont="1" applyBorder="1" applyAlignment="1">
      <alignment horizontal="center" vertical="center" wrapText="1"/>
    </xf>
    <xf numFmtId="0" fontId="2" fillId="6" borderId="1" xfId="1" applyFill="1" applyBorder="1" applyAlignment="1">
      <alignment horizontal="center" vertical="center"/>
    </xf>
    <xf numFmtId="2" fontId="0" fillId="4" borderId="1" xfId="0" applyNumberFormat="1" applyFill="1" applyBorder="1" applyAlignment="1">
      <alignment horizontal="center" vertical="center" wrapText="1"/>
    </xf>
    <xf numFmtId="2" fontId="1" fillId="4" borderId="1" xfId="0" applyNumberFormat="1" applyFont="1" applyFill="1" applyBorder="1" applyAlignment="1">
      <alignment horizontal="center" vertical="center" wrapText="1"/>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6" borderId="1" xfId="0" applyFill="1" applyBorder="1" applyAlignment="1">
      <alignment horizontal="center" vertical="center" wrapText="1"/>
    </xf>
    <xf numFmtId="0" fontId="6" fillId="4" borderId="1"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2" fillId="0" borderId="1" xfId="1" applyBorder="1" applyAlignment="1">
      <alignment horizontal="center" vertical="center" wrapText="1"/>
    </xf>
    <xf numFmtId="0" fontId="3" fillId="5" borderId="1" xfId="0" applyFont="1" applyFill="1" applyBorder="1" applyAlignment="1">
      <alignment horizontal="center" vertical="center"/>
    </xf>
    <xf numFmtId="0" fontId="0" fillId="6" borderId="1" xfId="0" applyFill="1" applyBorder="1" applyAlignment="1">
      <alignment horizontal="center" vertical="center"/>
    </xf>
    <xf numFmtId="0" fontId="2" fillId="6" borderId="1" xfId="1" applyFill="1" applyBorder="1" applyAlignment="1">
      <alignment horizontal="center" vertical="center" wrapText="1"/>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wrapText="1"/>
    </xf>
    <xf numFmtId="0" fontId="2" fillId="4" borderId="1" xfId="1" applyFill="1" applyBorder="1" applyAlignment="1">
      <alignment horizontal="center" vertical="center" wrapText="1"/>
    </xf>
    <xf numFmtId="0" fontId="0" fillId="4" borderId="1" xfId="0" applyFill="1" applyBorder="1" applyAlignment="1">
      <alignment horizontal="center" vertical="center" wrapText="1"/>
    </xf>
    <xf numFmtId="0" fontId="4" fillId="2" borderId="1" xfId="0" applyFont="1" applyFill="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4" fillId="3" borderId="1" xfId="0" applyFont="1"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8" xfId="0" applyFill="1" applyBorder="1" applyAlignment="1">
      <alignment horizontal="center" vertical="center"/>
    </xf>
    <xf numFmtId="0" fontId="0" fillId="6" borderId="0" xfId="0" applyFill="1" applyAlignment="1">
      <alignment horizontal="center" vertical="center"/>
    </xf>
    <xf numFmtId="0" fontId="0" fillId="6" borderId="9" xfId="0" applyFill="1" applyBorder="1" applyAlignment="1">
      <alignment horizontal="center"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6" borderId="13" xfId="0" applyFill="1" applyBorder="1" applyAlignment="1">
      <alignment horizontal="center" vertical="center"/>
    </xf>
    <xf numFmtId="0" fontId="0" fillId="6" borderId="14" xfId="0" applyFill="1" applyBorder="1" applyAlignment="1">
      <alignment horizontal="center" vertical="center"/>
    </xf>
    <xf numFmtId="0" fontId="0" fillId="6" borderId="15" xfId="0" applyFill="1" applyBorder="1" applyAlignment="1">
      <alignment horizontal="center" vertical="center"/>
    </xf>
    <xf numFmtId="0" fontId="0" fillId="4" borderId="2" xfId="0" quotePrefix="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quotePrefix="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 xfId="0" applyFont="1" applyFill="1" applyBorder="1" applyAlignment="1">
      <alignment horizontal="center" vertical="center"/>
    </xf>
    <xf numFmtId="0" fontId="1" fillId="4" borderId="1" xfId="0" applyFont="1" applyFill="1" applyBorder="1" applyAlignment="1">
      <alignment horizontal="center" vertical="center"/>
    </xf>
    <xf numFmtId="2" fontId="0" fillId="0" borderId="1" xfId="0" applyNumberFormat="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dx.doi.org/10.1007/s10584-007-9334-4" TargetMode="External"/><Relationship Id="rId18" Type="http://schemas.openxmlformats.org/officeDocument/2006/relationships/hyperlink" Target="https://doi.org/10.1111/1467-8276.00133" TargetMode="External"/><Relationship Id="rId26" Type="http://schemas.openxmlformats.org/officeDocument/2006/relationships/hyperlink" Target="https://doi.org/10.1126/science.aax0848" TargetMode="External"/><Relationship Id="rId39" Type="http://schemas.openxmlformats.org/officeDocument/2006/relationships/hyperlink" Target="https://doi.org/10.1038/s43017-021-00166-8" TargetMode="External"/><Relationship Id="rId21" Type="http://schemas.openxmlformats.org/officeDocument/2006/relationships/hyperlink" Target="http://dx.doi.org/10.1007/BF01091928" TargetMode="External"/><Relationship Id="rId34" Type="http://schemas.openxmlformats.org/officeDocument/2006/relationships/hyperlink" Target="https://doi.org/10.1007/s10784-017-9382-9" TargetMode="External"/><Relationship Id="rId42" Type="http://schemas.openxmlformats.org/officeDocument/2006/relationships/hyperlink" Target="https://doi.org/10.1038/nclimate2870" TargetMode="External"/><Relationship Id="rId47" Type="http://schemas.openxmlformats.org/officeDocument/2006/relationships/hyperlink" Target="https://doi.org/10.1038/s43247-024-01336-4" TargetMode="External"/><Relationship Id="rId7" Type="http://schemas.openxmlformats.org/officeDocument/2006/relationships/hyperlink" Target="http://dx.doi.org/10.4155/CMT.10.12" TargetMode="External"/><Relationship Id="rId2" Type="http://schemas.openxmlformats.org/officeDocument/2006/relationships/hyperlink" Target="http://dx.doi.org/10.1088/1748-9326/11/8/085001" TargetMode="External"/><Relationship Id="rId16" Type="http://schemas.openxmlformats.org/officeDocument/2006/relationships/hyperlink" Target="https://doi.org/10.1016/S0961-9534(02)00103-4" TargetMode="External"/><Relationship Id="rId29" Type="http://schemas.openxmlformats.org/officeDocument/2006/relationships/hyperlink" Target="https://doi.org/10.1111/gcb.14887" TargetMode="External"/><Relationship Id="rId1" Type="http://schemas.openxmlformats.org/officeDocument/2006/relationships/hyperlink" Target="http://dx.doi.org/10.1002/2016GL068824" TargetMode="External"/><Relationship Id="rId6" Type="http://schemas.openxmlformats.org/officeDocument/2006/relationships/hyperlink" Target="http://dx.doi.org/10.4155/CMT.10.12" TargetMode="External"/><Relationship Id="rId11" Type="http://schemas.openxmlformats.org/officeDocument/2006/relationships/hyperlink" Target="http://dx.doi.org/10.1126/science.1155458" TargetMode="External"/><Relationship Id="rId24" Type="http://schemas.openxmlformats.org/officeDocument/2006/relationships/hyperlink" Target="https://doi.org/10.1073/pnas.1710465114" TargetMode="External"/><Relationship Id="rId32" Type="http://schemas.openxmlformats.org/officeDocument/2006/relationships/hyperlink" Target="https://drawdown.org/" TargetMode="External"/><Relationship Id="rId37" Type="http://schemas.openxmlformats.org/officeDocument/2006/relationships/hyperlink" Target="https://doi.org/10.1016/j.oneear.2022.06.002" TargetMode="External"/><Relationship Id="rId40" Type="http://schemas.openxmlformats.org/officeDocument/2006/relationships/hyperlink" Target="https://doi.org/10.2489/jswc.73.6.145A" TargetMode="External"/><Relationship Id="rId45" Type="http://schemas.openxmlformats.org/officeDocument/2006/relationships/hyperlink" Target="https://doi.org/10.1038/ngeo1182" TargetMode="External"/><Relationship Id="rId5" Type="http://schemas.openxmlformats.org/officeDocument/2006/relationships/hyperlink" Target="http://dx.doi.org/10.1088/1748-9326/9/6/064029" TargetMode="External"/><Relationship Id="rId15" Type="http://schemas.openxmlformats.org/officeDocument/2006/relationships/hyperlink" Target="http://dx.doi.org/10.1023/B:CLIM.0000018503.10080.89" TargetMode="External"/><Relationship Id="rId23" Type="http://schemas.openxmlformats.org/officeDocument/2006/relationships/hyperlink" Target="http://dx.doi.org/10.1007/BF00477103" TargetMode="External"/><Relationship Id="rId28" Type="http://schemas.openxmlformats.org/officeDocument/2006/relationships/hyperlink" Target="https://doi.org/10.1111/gcb.14887" TargetMode="External"/><Relationship Id="rId36" Type="http://schemas.openxmlformats.org/officeDocument/2006/relationships/hyperlink" Target="https://doi.org/10.1016/j.oneear.2022.06.002" TargetMode="External"/><Relationship Id="rId10" Type="http://schemas.openxmlformats.org/officeDocument/2006/relationships/hyperlink" Target="http://dx.doi.org/10.1016/j.gloenvcha.2007.10.002" TargetMode="External"/><Relationship Id="rId19" Type="http://schemas.openxmlformats.org/officeDocument/2006/relationships/hyperlink" Target="https://www.osti.gov/etdeweb/biblio/441905" TargetMode="External"/><Relationship Id="rId31" Type="http://schemas.openxmlformats.org/officeDocument/2006/relationships/hyperlink" Target="https://doi.org/10.1111/gcb.15873" TargetMode="External"/><Relationship Id="rId44" Type="http://schemas.openxmlformats.org/officeDocument/2006/relationships/hyperlink" Target="https://doi.org/10.1038/s41586-023-06723-z" TargetMode="External"/><Relationship Id="rId4" Type="http://schemas.openxmlformats.org/officeDocument/2006/relationships/hyperlink" Target="https://doi.org/10.1038/nclimate2869" TargetMode="External"/><Relationship Id="rId9" Type="http://schemas.openxmlformats.org/officeDocument/2006/relationships/hyperlink" Target="http://dx.doi.org/10.1016/j.gloenvcha.2007.10.002" TargetMode="External"/><Relationship Id="rId14" Type="http://schemas.openxmlformats.org/officeDocument/2006/relationships/hyperlink" Target="https://doi.org/10.1186/1750-0680-3-3" TargetMode="External"/><Relationship Id="rId22" Type="http://schemas.openxmlformats.org/officeDocument/2006/relationships/hyperlink" Target="https://doi.org/10.1007/BF01098474" TargetMode="External"/><Relationship Id="rId27" Type="http://schemas.openxmlformats.org/officeDocument/2006/relationships/hyperlink" Target="https://ideas.repec.org/a/aen/journl/2006se_weyant-a07.html" TargetMode="External"/><Relationship Id="rId30" Type="http://schemas.openxmlformats.org/officeDocument/2006/relationships/hyperlink" Target="https://doi.org/10.1038/s41558-019-0591-9" TargetMode="External"/><Relationship Id="rId35" Type="http://schemas.openxmlformats.org/officeDocument/2006/relationships/hyperlink" Target="https://doi.org/10.1038/s41467-020-19578-z" TargetMode="External"/><Relationship Id="rId43" Type="http://schemas.openxmlformats.org/officeDocument/2006/relationships/hyperlink" Target="https://ora.ox.ac.uk/objects/uuid:258c4d8e-3ea7-4b72-a24e-44acd01405d1" TargetMode="External"/><Relationship Id="rId48" Type="http://schemas.openxmlformats.org/officeDocument/2006/relationships/printerSettings" Target="../printerSettings/printerSettings1.bin"/><Relationship Id="rId8" Type="http://schemas.openxmlformats.org/officeDocument/2006/relationships/hyperlink" Target="http://dx.doi.org/10.1073/pnas.1008153107" TargetMode="External"/><Relationship Id="rId3" Type="http://schemas.openxmlformats.org/officeDocument/2006/relationships/hyperlink" Target="http://dx.doi.org/10.1021/es506201r" TargetMode="External"/><Relationship Id="rId12" Type="http://schemas.openxmlformats.org/officeDocument/2006/relationships/hyperlink" Target="http://dx.doi.org/10.1007/s10584-007-9334-4" TargetMode="External"/><Relationship Id="rId17" Type="http://schemas.openxmlformats.org/officeDocument/2006/relationships/hyperlink" Target="https://doi.org/10.1016/S0961-9534(02)00103-4" TargetMode="External"/><Relationship Id="rId25" Type="http://schemas.openxmlformats.org/officeDocument/2006/relationships/hyperlink" Target="https://doi.org/10.1038/d41586-019-01026-8" TargetMode="External"/><Relationship Id="rId33" Type="http://schemas.openxmlformats.org/officeDocument/2006/relationships/hyperlink" Target="https://doi.org/10.1016/j.psep.2012.10.005" TargetMode="External"/><Relationship Id="rId38" Type="http://schemas.openxmlformats.org/officeDocument/2006/relationships/hyperlink" Target="https://doi.org/10.1073/pnas.2111312119" TargetMode="External"/><Relationship Id="rId46" Type="http://schemas.openxmlformats.org/officeDocument/2006/relationships/hyperlink" Target="https://doi.org/10.1088/1748-9326/ac3c6c" TargetMode="External"/><Relationship Id="rId20" Type="http://schemas.openxmlformats.org/officeDocument/2006/relationships/hyperlink" Target="http://dx.doi.org/10.1007/BF01091928" TargetMode="External"/><Relationship Id="rId41" Type="http://schemas.openxmlformats.org/officeDocument/2006/relationships/hyperlink" Target="https://doi.org/10.2489/jswc.73.6.14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CAACB-7317-4542-8587-4D18A67C5945}">
  <dimension ref="A1:N65"/>
  <sheetViews>
    <sheetView tabSelected="1" topLeftCell="A51" zoomScale="70" zoomScaleNormal="70" workbookViewId="0">
      <selection activeCell="F67" sqref="F67"/>
    </sheetView>
  </sheetViews>
  <sheetFormatPr defaultColWidth="8.7265625" defaultRowHeight="14.5" x14ac:dyDescent="0.35"/>
  <cols>
    <col min="1" max="1" width="22.7265625" style="1" bestFit="1" customWidth="1"/>
    <col min="2" max="2" width="26.81640625" style="2" customWidth="1"/>
    <col min="3" max="3" width="9.453125" style="1" bestFit="1" customWidth="1"/>
    <col min="4" max="4" width="25.54296875" style="1" bestFit="1" customWidth="1"/>
    <col min="5" max="6" width="25.54296875" style="1" customWidth="1"/>
    <col min="7" max="7" width="52.1796875" style="1" bestFit="1" customWidth="1"/>
    <col min="8" max="8" width="27.7265625" style="1" bestFit="1" customWidth="1"/>
    <col min="9" max="16384" width="8.7265625" style="1"/>
  </cols>
  <sheetData>
    <row r="1" spans="1:14" ht="21" x14ac:dyDescent="0.35">
      <c r="A1" s="63" t="s">
        <v>83</v>
      </c>
      <c r="B1" s="63"/>
      <c r="C1" s="63"/>
      <c r="D1" s="63"/>
      <c r="E1" s="63"/>
      <c r="F1" s="63"/>
      <c r="G1" s="63"/>
      <c r="H1" s="63"/>
      <c r="I1" s="63"/>
      <c r="J1" s="63"/>
      <c r="K1" s="63"/>
    </row>
    <row r="2" spans="1:14" ht="82.5" customHeight="1" x14ac:dyDescent="0.35">
      <c r="A2" s="54" t="s">
        <v>0</v>
      </c>
      <c r="B2" s="45" t="s">
        <v>1</v>
      </c>
      <c r="C2" s="54" t="s">
        <v>3</v>
      </c>
      <c r="D2" s="54" t="s">
        <v>110</v>
      </c>
      <c r="E2" s="54"/>
      <c r="F2" s="54"/>
      <c r="G2" s="54" t="s">
        <v>16</v>
      </c>
      <c r="H2" s="45" t="s">
        <v>107</v>
      </c>
      <c r="I2" s="45" t="s">
        <v>82</v>
      </c>
      <c r="J2" s="45"/>
      <c r="K2" s="45"/>
      <c r="L2" s="5"/>
      <c r="M2" s="5"/>
      <c r="N2" s="5"/>
    </row>
    <row r="3" spans="1:14" ht="29.15" customHeight="1" x14ac:dyDescent="0.35">
      <c r="A3" s="54"/>
      <c r="B3" s="45"/>
      <c r="C3" s="54"/>
      <c r="D3" s="15" t="s">
        <v>38</v>
      </c>
      <c r="E3" s="15" t="s">
        <v>39</v>
      </c>
      <c r="F3" s="15" t="s">
        <v>40</v>
      </c>
      <c r="G3" s="54"/>
      <c r="H3" s="45"/>
      <c r="I3" s="45" t="s">
        <v>113</v>
      </c>
      <c r="J3" s="45"/>
      <c r="K3" s="45"/>
    </row>
    <row r="4" spans="1:14" ht="29.15" customHeight="1" x14ac:dyDescent="0.35">
      <c r="A4" s="57" t="s">
        <v>116</v>
      </c>
      <c r="B4" s="57" t="s">
        <v>117</v>
      </c>
      <c r="C4" s="34">
        <v>2050</v>
      </c>
      <c r="D4" s="102">
        <v>4.0999999999999996</v>
      </c>
      <c r="E4" s="103">
        <f>(D4+F4)/2</f>
        <v>4.1999999999999993</v>
      </c>
      <c r="F4" s="102">
        <v>4.3</v>
      </c>
      <c r="G4" s="35" t="s">
        <v>118</v>
      </c>
      <c r="H4" s="37" t="s">
        <v>28</v>
      </c>
      <c r="I4" s="39" t="s">
        <v>53</v>
      </c>
      <c r="J4" s="40"/>
      <c r="K4" s="41"/>
    </row>
    <row r="5" spans="1:14" ht="29.15" customHeight="1" x14ac:dyDescent="0.35">
      <c r="A5" s="58"/>
      <c r="B5" s="58"/>
      <c r="C5" s="34">
        <v>2095</v>
      </c>
      <c r="D5" s="102">
        <v>5</v>
      </c>
      <c r="E5" s="103">
        <f>(D5+F5)/2</f>
        <v>5.75</v>
      </c>
      <c r="F5" s="102">
        <v>6.5</v>
      </c>
      <c r="G5" s="36"/>
      <c r="H5" s="38"/>
      <c r="I5" s="42"/>
      <c r="J5" s="43"/>
      <c r="K5" s="44"/>
    </row>
    <row r="6" spans="1:14" ht="29.15" customHeight="1" x14ac:dyDescent="0.35">
      <c r="A6" s="21" t="s">
        <v>114</v>
      </c>
      <c r="B6" s="22" t="s">
        <v>115</v>
      </c>
      <c r="C6" s="21">
        <v>2100</v>
      </c>
      <c r="D6" s="23">
        <v>7.6</v>
      </c>
      <c r="E6" s="24">
        <f>AVERAGE(D6,F6,I6,J6)</f>
        <v>9.0249999999999986</v>
      </c>
      <c r="F6" s="23">
        <v>11.3</v>
      </c>
      <c r="G6" s="21" t="s">
        <v>53</v>
      </c>
      <c r="H6" s="21" t="s">
        <v>28</v>
      </c>
      <c r="I6" s="30">
        <v>7.7</v>
      </c>
      <c r="J6" s="31">
        <v>9.5</v>
      </c>
      <c r="K6" s="32" t="s">
        <v>53</v>
      </c>
    </row>
    <row r="7" spans="1:14" ht="43.5" x14ac:dyDescent="0.35">
      <c r="A7" s="11" t="s">
        <v>84</v>
      </c>
      <c r="B7" s="12" t="s">
        <v>85</v>
      </c>
      <c r="C7" s="11">
        <v>2065</v>
      </c>
      <c r="D7" s="13">
        <v>0.11</v>
      </c>
      <c r="E7" s="16">
        <v>2.06</v>
      </c>
      <c r="F7" s="13">
        <v>4.18</v>
      </c>
      <c r="G7" s="14" t="s">
        <v>86</v>
      </c>
      <c r="H7" s="11" t="s">
        <v>28</v>
      </c>
      <c r="I7" s="66" t="s">
        <v>120</v>
      </c>
      <c r="J7" s="67"/>
      <c r="K7" s="68"/>
    </row>
    <row r="8" spans="1:14" ht="29" x14ac:dyDescent="0.35">
      <c r="A8" s="21" t="s">
        <v>64</v>
      </c>
      <c r="B8" s="22" t="s">
        <v>32</v>
      </c>
      <c r="C8" s="21">
        <v>2050</v>
      </c>
      <c r="D8" s="23">
        <v>0.96</v>
      </c>
      <c r="E8" s="24">
        <f>(D8+F8+1.79)/3</f>
        <v>4.1866666666666665</v>
      </c>
      <c r="F8" s="23">
        <v>9.81</v>
      </c>
      <c r="G8" s="21" t="s">
        <v>53</v>
      </c>
      <c r="H8" s="21" t="s">
        <v>28</v>
      </c>
      <c r="I8" s="70">
        <v>1.79</v>
      </c>
      <c r="J8" s="71"/>
      <c r="K8" s="72"/>
    </row>
    <row r="9" spans="1:14" ht="29" x14ac:dyDescent="0.35">
      <c r="A9" s="11" t="s">
        <v>65</v>
      </c>
      <c r="B9" s="12" t="s">
        <v>31</v>
      </c>
      <c r="C9" s="11">
        <v>2050</v>
      </c>
      <c r="D9" s="13">
        <v>0.5</v>
      </c>
      <c r="E9" s="16">
        <f>AVERAGE(D9,F9)</f>
        <v>5.31</v>
      </c>
      <c r="F9" s="13">
        <v>10.119999999999999</v>
      </c>
      <c r="G9" s="11" t="s">
        <v>53</v>
      </c>
      <c r="H9" s="11" t="s">
        <v>28</v>
      </c>
      <c r="I9" s="46" t="s">
        <v>53</v>
      </c>
      <c r="J9" s="47"/>
      <c r="K9" s="48"/>
    </row>
    <row r="10" spans="1:14" x14ac:dyDescent="0.35">
      <c r="A10" s="55" t="s">
        <v>119</v>
      </c>
      <c r="B10" s="56" t="s">
        <v>30</v>
      </c>
      <c r="C10" s="21">
        <v>2030</v>
      </c>
      <c r="D10" s="23">
        <v>0.75</v>
      </c>
      <c r="E10" s="24">
        <f>AVERAGE(D10,F10)</f>
        <v>1.7250000000000001</v>
      </c>
      <c r="F10" s="23">
        <v>2.7</v>
      </c>
      <c r="G10" s="88" t="s">
        <v>53</v>
      </c>
      <c r="H10" s="55" t="s">
        <v>28</v>
      </c>
      <c r="I10" s="73" t="s">
        <v>53</v>
      </c>
      <c r="J10" s="74"/>
      <c r="K10" s="75"/>
    </row>
    <row r="11" spans="1:14" x14ac:dyDescent="0.35">
      <c r="A11" s="55"/>
      <c r="B11" s="56"/>
      <c r="C11" s="21">
        <v>2050</v>
      </c>
      <c r="D11" s="23">
        <v>1.5</v>
      </c>
      <c r="E11" s="24">
        <f>AVERAGE(D11,F11)</f>
        <v>3.2</v>
      </c>
      <c r="F11" s="23">
        <v>4.9000000000000004</v>
      </c>
      <c r="G11" s="89"/>
      <c r="H11" s="55"/>
      <c r="I11" s="76"/>
      <c r="J11" s="77"/>
      <c r="K11" s="78"/>
    </row>
    <row r="12" spans="1:14" x14ac:dyDescent="0.35">
      <c r="A12" s="55"/>
      <c r="B12" s="56"/>
      <c r="C12" s="21">
        <v>2100</v>
      </c>
      <c r="D12" s="23">
        <v>1.1000000000000001</v>
      </c>
      <c r="E12" s="24">
        <f>AVERAGE(D12,F12,5)</f>
        <v>3.9666666666666668</v>
      </c>
      <c r="F12" s="23">
        <v>5.8</v>
      </c>
      <c r="G12" s="90"/>
      <c r="H12" s="55"/>
      <c r="I12" s="79"/>
      <c r="J12" s="80"/>
      <c r="K12" s="81"/>
    </row>
    <row r="13" spans="1:14" ht="58" x14ac:dyDescent="0.35">
      <c r="A13" s="11" t="s">
        <v>94</v>
      </c>
      <c r="B13" s="12" t="s">
        <v>95</v>
      </c>
      <c r="C13" s="11">
        <v>2080</v>
      </c>
      <c r="D13" s="13">
        <v>1.05</v>
      </c>
      <c r="E13" s="16">
        <f>AVERAGE(D13,F13)</f>
        <v>2.0350000000000001</v>
      </c>
      <c r="F13" s="13">
        <v>3.02</v>
      </c>
      <c r="G13" s="14" t="s">
        <v>122</v>
      </c>
      <c r="H13" s="11" t="s">
        <v>28</v>
      </c>
      <c r="I13" s="66" t="s">
        <v>53</v>
      </c>
      <c r="J13" s="67"/>
      <c r="K13" s="68"/>
    </row>
    <row r="14" spans="1:14" x14ac:dyDescent="0.35">
      <c r="A14" s="21" t="s">
        <v>66</v>
      </c>
      <c r="B14" s="27" t="s">
        <v>24</v>
      </c>
      <c r="C14" s="21">
        <v>2030</v>
      </c>
      <c r="D14" s="23">
        <v>2.7</v>
      </c>
      <c r="E14" s="24">
        <f t="shared" ref="E14:E21" si="0">AVERAGE(D14,F14)</f>
        <v>10.299999999999999</v>
      </c>
      <c r="F14" s="23">
        <v>17.899999999999999</v>
      </c>
      <c r="G14" s="33" t="s">
        <v>53</v>
      </c>
      <c r="H14" s="21" t="s">
        <v>25</v>
      </c>
      <c r="I14" s="70" t="s">
        <v>53</v>
      </c>
      <c r="J14" s="71"/>
      <c r="K14" s="72"/>
    </row>
    <row r="15" spans="1:14" ht="36" customHeight="1" x14ac:dyDescent="0.35">
      <c r="A15" s="14" t="s">
        <v>97</v>
      </c>
      <c r="B15" s="12" t="s">
        <v>98</v>
      </c>
      <c r="C15" s="14">
        <v>2100</v>
      </c>
      <c r="D15" s="28" t="s">
        <v>53</v>
      </c>
      <c r="E15" s="29">
        <v>4.04</v>
      </c>
      <c r="F15" s="28" t="s">
        <v>53</v>
      </c>
      <c r="G15" s="14" t="s">
        <v>53</v>
      </c>
      <c r="H15" s="14" t="s">
        <v>28</v>
      </c>
      <c r="I15" s="66" t="s">
        <v>53</v>
      </c>
      <c r="J15" s="67"/>
      <c r="K15" s="68"/>
    </row>
    <row r="16" spans="1:14" ht="43.5" x14ac:dyDescent="0.35">
      <c r="A16" s="6" t="s">
        <v>99</v>
      </c>
      <c r="B16" s="10" t="s">
        <v>100</v>
      </c>
      <c r="C16" s="6">
        <v>2050</v>
      </c>
      <c r="D16" s="25">
        <v>1</v>
      </c>
      <c r="E16" s="26">
        <f>AVERAGE(D16,F16)</f>
        <v>2</v>
      </c>
      <c r="F16" s="25">
        <v>3</v>
      </c>
      <c r="G16" s="6" t="s">
        <v>53</v>
      </c>
      <c r="H16" s="6" t="s">
        <v>28</v>
      </c>
      <c r="I16" s="92" t="s">
        <v>53</v>
      </c>
      <c r="J16" s="93"/>
      <c r="K16" s="94"/>
    </row>
    <row r="17" spans="1:11" ht="29" x14ac:dyDescent="0.35">
      <c r="A17" s="11" t="s">
        <v>67</v>
      </c>
      <c r="B17" s="12" t="s">
        <v>34</v>
      </c>
      <c r="C17" s="11">
        <v>2050</v>
      </c>
      <c r="D17" s="13">
        <v>1.5</v>
      </c>
      <c r="E17" s="16">
        <f t="shared" si="0"/>
        <v>2.25</v>
      </c>
      <c r="F17" s="13">
        <v>3</v>
      </c>
      <c r="G17" s="14" t="s">
        <v>53</v>
      </c>
      <c r="H17" s="11" t="s">
        <v>28</v>
      </c>
      <c r="I17" s="46" t="s">
        <v>53</v>
      </c>
      <c r="J17" s="47"/>
      <c r="K17" s="48"/>
    </row>
    <row r="18" spans="1:11" x14ac:dyDescent="0.35">
      <c r="A18" s="52" t="s">
        <v>8</v>
      </c>
      <c r="B18" s="53" t="s">
        <v>9</v>
      </c>
      <c r="C18" s="8">
        <v>2050</v>
      </c>
      <c r="D18" s="9">
        <v>0.73</v>
      </c>
      <c r="E18" s="17">
        <f t="shared" si="0"/>
        <v>3.1174999999999997</v>
      </c>
      <c r="F18" s="9">
        <f>1.5*3.67</f>
        <v>5.5049999999999999</v>
      </c>
      <c r="G18" s="64" t="s">
        <v>53</v>
      </c>
      <c r="H18" s="52" t="s">
        <v>25</v>
      </c>
      <c r="I18" s="82" t="s">
        <v>53</v>
      </c>
      <c r="J18" s="83"/>
      <c r="K18" s="84"/>
    </row>
    <row r="19" spans="1:11" x14ac:dyDescent="0.35">
      <c r="A19" s="52"/>
      <c r="B19" s="53"/>
      <c r="C19" s="8">
        <v>2100</v>
      </c>
      <c r="D19" s="9">
        <v>1.1000000000000001</v>
      </c>
      <c r="E19" s="17">
        <f t="shared" si="0"/>
        <v>6.6054999999999993</v>
      </c>
      <c r="F19" s="9">
        <f>3.3*3.67</f>
        <v>12.110999999999999</v>
      </c>
      <c r="G19" s="65"/>
      <c r="H19" s="52"/>
      <c r="I19" s="85"/>
      <c r="J19" s="86"/>
      <c r="K19" s="87"/>
    </row>
    <row r="20" spans="1:11" ht="29" x14ac:dyDescent="0.35">
      <c r="A20" s="11" t="s">
        <v>68</v>
      </c>
      <c r="B20" s="12" t="s">
        <v>11</v>
      </c>
      <c r="C20" s="11">
        <v>2050</v>
      </c>
      <c r="D20" s="13">
        <f>0.26*3.67</f>
        <v>0.95420000000000005</v>
      </c>
      <c r="E20" s="16">
        <f t="shared" si="0"/>
        <v>1.0459499999999999</v>
      </c>
      <c r="F20" s="13">
        <f>0.31*3.67</f>
        <v>1.1376999999999999</v>
      </c>
      <c r="G20" s="14" t="s">
        <v>53</v>
      </c>
      <c r="H20" s="11" t="s">
        <v>25</v>
      </c>
      <c r="I20" s="46" t="s">
        <v>53</v>
      </c>
      <c r="J20" s="47"/>
      <c r="K20" s="48"/>
    </row>
    <row r="21" spans="1:11" ht="29" x14ac:dyDescent="0.35">
      <c r="A21" s="8" t="s">
        <v>69</v>
      </c>
      <c r="B21" s="10" t="s">
        <v>12</v>
      </c>
      <c r="C21" s="8">
        <v>2100</v>
      </c>
      <c r="D21" s="9">
        <f>0.16*3.67</f>
        <v>0.58720000000000006</v>
      </c>
      <c r="E21" s="17">
        <f t="shared" si="0"/>
        <v>2.3121</v>
      </c>
      <c r="F21" s="9">
        <f>1.1*3.67</f>
        <v>4.0369999999999999</v>
      </c>
      <c r="G21" s="8" t="s">
        <v>53</v>
      </c>
      <c r="H21" s="8" t="s">
        <v>25</v>
      </c>
      <c r="I21" s="49" t="s">
        <v>53</v>
      </c>
      <c r="J21" s="50"/>
      <c r="K21" s="51"/>
    </row>
    <row r="22" spans="1:11" ht="29" x14ac:dyDescent="0.35">
      <c r="A22" s="11" t="s">
        <v>70</v>
      </c>
      <c r="B22" s="12" t="s">
        <v>13</v>
      </c>
      <c r="C22" s="11">
        <v>2100</v>
      </c>
      <c r="D22" s="13" t="s">
        <v>53</v>
      </c>
      <c r="E22" s="16">
        <f>2.7*3.67</f>
        <v>9.9090000000000007</v>
      </c>
      <c r="F22" s="13" t="s">
        <v>53</v>
      </c>
      <c r="G22" s="14" t="s">
        <v>53</v>
      </c>
      <c r="H22" s="11" t="s">
        <v>25</v>
      </c>
      <c r="I22" s="46" t="s">
        <v>53</v>
      </c>
      <c r="J22" s="47"/>
      <c r="K22" s="48"/>
    </row>
    <row r="23" spans="1:11" ht="29" x14ac:dyDescent="0.35">
      <c r="A23" s="8" t="s">
        <v>71</v>
      </c>
      <c r="B23" s="10" t="s">
        <v>17</v>
      </c>
      <c r="C23" s="8">
        <v>2050</v>
      </c>
      <c r="D23" s="9" t="s">
        <v>53</v>
      </c>
      <c r="E23" s="17">
        <v>7.33</v>
      </c>
      <c r="F23" s="9" t="s">
        <v>53</v>
      </c>
      <c r="G23" s="6" t="s">
        <v>53</v>
      </c>
      <c r="H23" s="8" t="s">
        <v>25</v>
      </c>
      <c r="I23" s="49" t="s">
        <v>53</v>
      </c>
      <c r="J23" s="50"/>
      <c r="K23" s="51"/>
    </row>
    <row r="24" spans="1:11" ht="29" x14ac:dyDescent="0.35">
      <c r="A24" s="11" t="s">
        <v>51</v>
      </c>
      <c r="B24" s="12" t="s">
        <v>18</v>
      </c>
      <c r="C24" s="11">
        <v>2050</v>
      </c>
      <c r="D24" s="13">
        <v>0.73</v>
      </c>
      <c r="E24" s="16">
        <f>AVERAGE(D24,F24)</f>
        <v>2.2000000000000002</v>
      </c>
      <c r="F24" s="13">
        <f>3.67</f>
        <v>3.67</v>
      </c>
      <c r="G24" s="14" t="s">
        <v>53</v>
      </c>
      <c r="H24" s="11" t="s">
        <v>25</v>
      </c>
      <c r="I24" s="46" t="s">
        <v>53</v>
      </c>
      <c r="J24" s="47"/>
      <c r="K24" s="48"/>
    </row>
    <row r="25" spans="1:11" ht="29" x14ac:dyDescent="0.35">
      <c r="A25" s="8" t="s">
        <v>72</v>
      </c>
      <c r="B25" s="10" t="s">
        <v>22</v>
      </c>
      <c r="C25" s="8">
        <v>2050</v>
      </c>
      <c r="D25" s="9" t="s">
        <v>53</v>
      </c>
      <c r="E25" s="17">
        <f>1.48*3.67</f>
        <v>5.4315999999999995</v>
      </c>
      <c r="F25" s="9" t="s">
        <v>53</v>
      </c>
      <c r="G25" s="6" t="s">
        <v>53</v>
      </c>
      <c r="H25" s="8" t="s">
        <v>25</v>
      </c>
      <c r="I25" s="49" t="s">
        <v>53</v>
      </c>
      <c r="J25" s="50"/>
      <c r="K25" s="51"/>
    </row>
    <row r="26" spans="1:11" ht="29" x14ac:dyDescent="0.35">
      <c r="A26" s="11" t="s">
        <v>73</v>
      </c>
      <c r="B26" s="12" t="s">
        <v>52</v>
      </c>
      <c r="C26" s="11">
        <v>2050</v>
      </c>
      <c r="D26" s="13">
        <v>3.0070000000000001</v>
      </c>
      <c r="E26" s="16">
        <f>AVERAGE(D26,F26)</f>
        <v>4.5834999999999999</v>
      </c>
      <c r="F26" s="13">
        <v>6.16</v>
      </c>
      <c r="G26" s="14" t="s">
        <v>53</v>
      </c>
      <c r="H26" s="11" t="s">
        <v>25</v>
      </c>
      <c r="I26" s="46" t="s">
        <v>53</v>
      </c>
      <c r="J26" s="47"/>
      <c r="K26" s="48"/>
    </row>
    <row r="27" spans="1:11" x14ac:dyDescent="0.35">
      <c r="B27" s="3"/>
      <c r="G27" s="4"/>
      <c r="H27" s="5"/>
    </row>
    <row r="28" spans="1:11" ht="21" x14ac:dyDescent="0.35">
      <c r="A28" s="69" t="s">
        <v>2</v>
      </c>
      <c r="B28" s="69"/>
      <c r="C28" s="69"/>
      <c r="D28" s="69"/>
      <c r="E28" s="69"/>
      <c r="F28" s="69"/>
      <c r="G28" s="69"/>
      <c r="H28" s="69"/>
      <c r="I28" s="69"/>
      <c r="J28" s="69"/>
      <c r="K28" s="69"/>
    </row>
    <row r="29" spans="1:11" ht="70.5" customHeight="1" x14ac:dyDescent="0.35">
      <c r="A29" s="54" t="s">
        <v>0</v>
      </c>
      <c r="B29" s="45" t="s">
        <v>1</v>
      </c>
      <c r="C29" s="54" t="s">
        <v>3</v>
      </c>
      <c r="D29" s="54" t="s">
        <v>111</v>
      </c>
      <c r="E29" s="54"/>
      <c r="F29" s="54"/>
      <c r="G29" s="54" t="s">
        <v>16</v>
      </c>
      <c r="H29" s="45" t="s">
        <v>107</v>
      </c>
      <c r="I29" s="45" t="s">
        <v>82</v>
      </c>
      <c r="J29" s="45"/>
      <c r="K29" s="45"/>
    </row>
    <row r="30" spans="1:11" ht="25.5" customHeight="1" x14ac:dyDescent="0.35">
      <c r="A30" s="54"/>
      <c r="B30" s="45"/>
      <c r="C30" s="54"/>
      <c r="D30" s="15" t="s">
        <v>38</v>
      </c>
      <c r="E30" s="15" t="s">
        <v>39</v>
      </c>
      <c r="F30" s="15" t="s">
        <v>40</v>
      </c>
      <c r="G30" s="54"/>
      <c r="H30" s="45"/>
      <c r="I30" s="45" t="s">
        <v>112</v>
      </c>
      <c r="J30" s="45"/>
      <c r="K30" s="45"/>
    </row>
    <row r="31" spans="1:11" ht="25.5" customHeight="1" x14ac:dyDescent="0.35">
      <c r="A31" s="57" t="s">
        <v>116</v>
      </c>
      <c r="B31" s="57" t="s">
        <v>117</v>
      </c>
      <c r="C31" s="34">
        <v>2050</v>
      </c>
      <c r="D31" s="102">
        <v>117</v>
      </c>
      <c r="E31" s="103">
        <f>(D31+F31)/2</f>
        <v>175.5</v>
      </c>
      <c r="F31" s="102">
        <v>234</v>
      </c>
      <c r="G31" s="35" t="s">
        <v>118</v>
      </c>
      <c r="H31" s="37" t="s">
        <v>28</v>
      </c>
      <c r="I31" s="39" t="s">
        <v>53</v>
      </c>
      <c r="J31" s="40"/>
      <c r="K31" s="41"/>
    </row>
    <row r="32" spans="1:11" ht="25.5" customHeight="1" x14ac:dyDescent="0.35">
      <c r="A32" s="58"/>
      <c r="B32" s="58"/>
      <c r="C32" s="34">
        <v>2095</v>
      </c>
      <c r="D32" s="102">
        <v>227</v>
      </c>
      <c r="E32" s="103">
        <f>(D32+F32)/2</f>
        <v>441.5</v>
      </c>
      <c r="F32" s="102">
        <v>656</v>
      </c>
      <c r="G32" s="36"/>
      <c r="H32" s="38"/>
      <c r="I32" s="42"/>
      <c r="J32" s="43"/>
      <c r="K32" s="44"/>
    </row>
    <row r="33" spans="1:11" ht="72.5" x14ac:dyDescent="0.35">
      <c r="A33" s="6" t="s">
        <v>102</v>
      </c>
      <c r="B33" s="7" t="s">
        <v>101</v>
      </c>
      <c r="C33" s="8">
        <v>2100</v>
      </c>
      <c r="D33" s="104">
        <f>112*3.67</f>
        <v>411.03999999999996</v>
      </c>
      <c r="E33" s="17">
        <f>189*3.67</f>
        <v>693.63</v>
      </c>
      <c r="F33" s="104">
        <f>269*3.67</f>
        <v>987.23</v>
      </c>
      <c r="G33" s="6" t="s">
        <v>103</v>
      </c>
      <c r="H33" s="8" t="s">
        <v>28</v>
      </c>
      <c r="I33" s="95" t="s">
        <v>53</v>
      </c>
      <c r="J33" s="50"/>
      <c r="K33" s="51"/>
    </row>
    <row r="34" spans="1:11" ht="58" x14ac:dyDescent="0.35">
      <c r="A34" s="14" t="s">
        <v>87</v>
      </c>
      <c r="B34" s="12" t="s">
        <v>88</v>
      </c>
      <c r="C34" s="11">
        <v>2050</v>
      </c>
      <c r="D34" s="13">
        <v>83.31</v>
      </c>
      <c r="E34" s="16">
        <v>197.45</v>
      </c>
      <c r="F34" s="13">
        <v>382.78100000000001</v>
      </c>
      <c r="G34" s="14" t="s">
        <v>89</v>
      </c>
      <c r="H34" s="11" t="s">
        <v>28</v>
      </c>
      <c r="I34" s="91" t="s">
        <v>53</v>
      </c>
      <c r="J34" s="47"/>
      <c r="K34" s="48"/>
    </row>
    <row r="35" spans="1:11" ht="29" x14ac:dyDescent="0.35">
      <c r="A35" s="6" t="s">
        <v>84</v>
      </c>
      <c r="B35" s="7" t="s">
        <v>85</v>
      </c>
      <c r="C35" s="8">
        <v>2100</v>
      </c>
      <c r="D35" s="9">
        <v>3.89</v>
      </c>
      <c r="E35" s="17">
        <v>130.54</v>
      </c>
      <c r="F35" s="9">
        <v>193.37</v>
      </c>
      <c r="G35" s="6" t="s">
        <v>53</v>
      </c>
      <c r="H35" s="8" t="s">
        <v>28</v>
      </c>
      <c r="I35" s="92" t="s">
        <v>120</v>
      </c>
      <c r="J35" s="93"/>
      <c r="K35" s="94"/>
    </row>
    <row r="36" spans="1:11" ht="29" x14ac:dyDescent="0.35">
      <c r="A36" s="14" t="s">
        <v>108</v>
      </c>
      <c r="B36" s="12" t="s">
        <v>109</v>
      </c>
      <c r="C36" s="11">
        <v>2100</v>
      </c>
      <c r="D36" s="13" t="s">
        <v>53</v>
      </c>
      <c r="E36" s="16">
        <f>29*3.67</f>
        <v>106.42999999999999</v>
      </c>
      <c r="F36" s="13" t="s">
        <v>53</v>
      </c>
      <c r="G36" s="14" t="s">
        <v>53</v>
      </c>
      <c r="H36" s="11" t="s">
        <v>28</v>
      </c>
      <c r="I36" s="91" t="s">
        <v>53</v>
      </c>
      <c r="J36" s="47"/>
      <c r="K36" s="48"/>
    </row>
    <row r="37" spans="1:11" ht="29" x14ac:dyDescent="0.35">
      <c r="A37" s="6" t="s">
        <v>90</v>
      </c>
      <c r="B37" s="7" t="s">
        <v>91</v>
      </c>
      <c r="C37" s="8">
        <v>2100</v>
      </c>
      <c r="D37" s="9">
        <v>30.85</v>
      </c>
      <c r="E37" s="17">
        <v>374.95</v>
      </c>
      <c r="F37" s="9">
        <v>878.40290000000005</v>
      </c>
      <c r="G37" s="6" t="s">
        <v>92</v>
      </c>
      <c r="H37" s="8" t="s">
        <v>28</v>
      </c>
      <c r="I37" s="92" t="s">
        <v>93</v>
      </c>
      <c r="J37" s="93"/>
      <c r="K37" s="94"/>
    </row>
    <row r="38" spans="1:11" ht="29" x14ac:dyDescent="0.35">
      <c r="A38" s="14" t="s">
        <v>49</v>
      </c>
      <c r="B38" s="12" t="s">
        <v>33</v>
      </c>
      <c r="C38" s="11">
        <v>2050</v>
      </c>
      <c r="D38" s="13">
        <v>22.04</v>
      </c>
      <c r="E38" s="16">
        <f>AVERAGE(D38,F38)</f>
        <v>28.565000000000001</v>
      </c>
      <c r="F38" s="13">
        <v>35.090000000000003</v>
      </c>
      <c r="G38" s="14" t="s">
        <v>121</v>
      </c>
      <c r="H38" s="11" t="s">
        <v>28</v>
      </c>
      <c r="I38" s="46" t="s">
        <v>53</v>
      </c>
      <c r="J38" s="47"/>
      <c r="K38" s="48"/>
    </row>
    <row r="39" spans="1:11" ht="29" x14ac:dyDescent="0.35">
      <c r="A39" s="6" t="s">
        <v>74</v>
      </c>
      <c r="B39" s="7" t="s">
        <v>37</v>
      </c>
      <c r="C39" s="8">
        <v>2055</v>
      </c>
      <c r="D39" s="9">
        <f>0.1*30</f>
        <v>3</v>
      </c>
      <c r="E39" s="17">
        <f>AVERAGE(D39,F39)</f>
        <v>40.5</v>
      </c>
      <c r="F39" s="9">
        <f>2.6*30</f>
        <v>78</v>
      </c>
      <c r="G39" s="6" t="s">
        <v>41</v>
      </c>
      <c r="H39" s="8" t="s">
        <v>28</v>
      </c>
      <c r="I39" s="49" t="s">
        <v>53</v>
      </c>
      <c r="J39" s="50"/>
      <c r="K39" s="51"/>
    </row>
    <row r="40" spans="1:11" ht="29" x14ac:dyDescent="0.35">
      <c r="A40" s="11" t="s">
        <v>119</v>
      </c>
      <c r="B40" s="12" t="s">
        <v>30</v>
      </c>
      <c r="C40" s="11">
        <v>2100</v>
      </c>
      <c r="D40" s="13">
        <v>64</v>
      </c>
      <c r="E40" s="16">
        <f>AVERAGE(D40,F40,430,250)</f>
        <v>298.5</v>
      </c>
      <c r="F40" s="13">
        <v>450</v>
      </c>
      <c r="G40" s="14" t="s">
        <v>53</v>
      </c>
      <c r="H40" s="11" t="s">
        <v>28</v>
      </c>
      <c r="I40" s="11">
        <v>250</v>
      </c>
      <c r="J40" s="11">
        <v>430</v>
      </c>
      <c r="K40" s="11" t="s">
        <v>53</v>
      </c>
    </row>
    <row r="41" spans="1:11" ht="29" x14ac:dyDescent="0.35">
      <c r="A41" s="6" t="s">
        <v>75</v>
      </c>
      <c r="B41" s="7" t="s">
        <v>27</v>
      </c>
      <c r="C41" s="8">
        <v>2100</v>
      </c>
      <c r="D41" s="9">
        <f>133.2*3.67</f>
        <v>488.84399999999994</v>
      </c>
      <c r="E41" s="17">
        <f>205.6*3.67</f>
        <v>754.55200000000002</v>
      </c>
      <c r="F41" s="9">
        <f>276.2*3.67</f>
        <v>1013.6539999999999</v>
      </c>
      <c r="G41" s="6" t="s">
        <v>53</v>
      </c>
      <c r="H41" s="8" t="s">
        <v>28</v>
      </c>
      <c r="I41" s="49" t="s">
        <v>53</v>
      </c>
      <c r="J41" s="50"/>
      <c r="K41" s="51"/>
    </row>
    <row r="42" spans="1:11" ht="29" x14ac:dyDescent="0.35">
      <c r="A42" s="11" t="s">
        <v>76</v>
      </c>
      <c r="B42" s="12" t="s">
        <v>26</v>
      </c>
      <c r="C42" s="11">
        <v>2100</v>
      </c>
      <c r="D42" s="13" t="s">
        <v>53</v>
      </c>
      <c r="E42" s="16">
        <f>42*3.67</f>
        <v>154.13999999999999</v>
      </c>
      <c r="F42" s="13" t="s">
        <v>53</v>
      </c>
      <c r="G42" s="14" t="s">
        <v>53</v>
      </c>
      <c r="H42" s="11" t="s">
        <v>28</v>
      </c>
      <c r="I42" s="46" t="s">
        <v>53</v>
      </c>
      <c r="J42" s="47"/>
      <c r="K42" s="48"/>
    </row>
    <row r="43" spans="1:11" ht="58" x14ac:dyDescent="0.35">
      <c r="A43" s="8" t="s">
        <v>94</v>
      </c>
      <c r="B43" s="7" t="s">
        <v>95</v>
      </c>
      <c r="C43" s="8">
        <v>2080</v>
      </c>
      <c r="D43" s="9">
        <v>46.83</v>
      </c>
      <c r="E43" s="17">
        <f>AVERAGE(D43,F43)</f>
        <v>96.539999999999992</v>
      </c>
      <c r="F43" s="9">
        <v>146.25</v>
      </c>
      <c r="G43" s="6" t="s">
        <v>96</v>
      </c>
      <c r="H43" s="8" t="s">
        <v>28</v>
      </c>
      <c r="I43" s="92" t="s">
        <v>53</v>
      </c>
      <c r="J43" s="93"/>
      <c r="K43" s="94"/>
    </row>
    <row r="44" spans="1:11" ht="29" x14ac:dyDescent="0.35">
      <c r="A44" s="11" t="s">
        <v>77</v>
      </c>
      <c r="B44" s="12" t="s">
        <v>35</v>
      </c>
      <c r="C44" s="11">
        <v>2075</v>
      </c>
      <c r="D44" s="13" t="s">
        <v>53</v>
      </c>
      <c r="E44" s="16">
        <v>150</v>
      </c>
      <c r="F44" s="13" t="s">
        <v>53</v>
      </c>
      <c r="G44" s="14" t="s">
        <v>36</v>
      </c>
      <c r="H44" s="11" t="s">
        <v>28</v>
      </c>
      <c r="I44" s="46" t="s">
        <v>53</v>
      </c>
      <c r="J44" s="47"/>
      <c r="K44" s="48"/>
    </row>
    <row r="45" spans="1:11" ht="29" x14ac:dyDescent="0.35">
      <c r="A45" s="8" t="s">
        <v>78</v>
      </c>
      <c r="B45" s="7" t="s">
        <v>4</v>
      </c>
      <c r="C45" s="8">
        <v>2100</v>
      </c>
      <c r="D45" s="9" t="s">
        <v>53</v>
      </c>
      <c r="E45" s="17">
        <v>663.85</v>
      </c>
      <c r="F45" s="9" t="s">
        <v>53</v>
      </c>
      <c r="G45" s="6" t="s">
        <v>53</v>
      </c>
      <c r="H45" s="8" t="s">
        <v>25</v>
      </c>
      <c r="I45" s="49" t="s">
        <v>53</v>
      </c>
      <c r="J45" s="50"/>
      <c r="K45" s="51"/>
    </row>
    <row r="46" spans="1:11" ht="29" x14ac:dyDescent="0.35">
      <c r="A46" s="11" t="s">
        <v>79</v>
      </c>
      <c r="B46" s="12" t="s">
        <v>5</v>
      </c>
      <c r="C46" s="11">
        <v>2100</v>
      </c>
      <c r="D46" s="13">
        <v>524.97</v>
      </c>
      <c r="E46" s="16">
        <f>AVERAGE(D46,F46,791.1)</f>
        <v>725.37</v>
      </c>
      <c r="F46" s="13">
        <v>860.04</v>
      </c>
      <c r="G46" s="14" t="s">
        <v>53</v>
      </c>
      <c r="H46" s="11" t="s">
        <v>25</v>
      </c>
      <c r="I46" s="11">
        <v>791.1</v>
      </c>
      <c r="J46" s="11" t="s">
        <v>53</v>
      </c>
      <c r="K46" s="11" t="s">
        <v>53</v>
      </c>
    </row>
    <row r="47" spans="1:11" ht="29" x14ac:dyDescent="0.35">
      <c r="A47" s="8" t="s">
        <v>80</v>
      </c>
      <c r="B47" s="7" t="s">
        <v>6</v>
      </c>
      <c r="C47" s="8">
        <v>2100</v>
      </c>
      <c r="D47" s="9" t="s">
        <v>53</v>
      </c>
      <c r="E47" s="17">
        <v>299.8</v>
      </c>
      <c r="F47" s="9" t="s">
        <v>53</v>
      </c>
      <c r="G47" s="6" t="s">
        <v>48</v>
      </c>
      <c r="H47" s="8" t="s">
        <v>25</v>
      </c>
      <c r="I47" s="49" t="s">
        <v>53</v>
      </c>
      <c r="J47" s="50"/>
      <c r="K47" s="51"/>
    </row>
    <row r="48" spans="1:11" ht="29" x14ac:dyDescent="0.35">
      <c r="A48" s="11" t="s">
        <v>81</v>
      </c>
      <c r="B48" s="12" t="s">
        <v>54</v>
      </c>
      <c r="C48" s="11">
        <v>2065</v>
      </c>
      <c r="D48" s="13" t="s">
        <v>53</v>
      </c>
      <c r="E48" s="16">
        <f>3.65*50</f>
        <v>182.5</v>
      </c>
      <c r="F48" s="13" t="s">
        <v>53</v>
      </c>
      <c r="G48" s="14" t="s">
        <v>47</v>
      </c>
      <c r="H48" s="11" t="s">
        <v>25</v>
      </c>
      <c r="I48" s="46" t="s">
        <v>53</v>
      </c>
      <c r="J48" s="47"/>
      <c r="K48" s="48"/>
    </row>
    <row r="49" spans="1:11" ht="29" x14ac:dyDescent="0.35">
      <c r="A49" s="8" t="s">
        <v>55</v>
      </c>
      <c r="B49" s="7" t="s">
        <v>7</v>
      </c>
      <c r="C49" s="8">
        <v>2100</v>
      </c>
      <c r="D49" s="9" t="s">
        <v>53</v>
      </c>
      <c r="E49" s="17">
        <v>703</v>
      </c>
      <c r="F49" s="9" t="s">
        <v>53</v>
      </c>
      <c r="G49" s="6" t="s">
        <v>53</v>
      </c>
      <c r="H49" s="8" t="s">
        <v>25</v>
      </c>
      <c r="I49" s="49" t="s">
        <v>53</v>
      </c>
      <c r="J49" s="50"/>
      <c r="K49" s="51"/>
    </row>
    <row r="50" spans="1:11" ht="29" x14ac:dyDescent="0.35">
      <c r="A50" s="14" t="s">
        <v>104</v>
      </c>
      <c r="B50" s="12" t="s">
        <v>105</v>
      </c>
      <c r="C50" s="11">
        <v>2100</v>
      </c>
      <c r="D50" s="13" t="s">
        <v>53</v>
      </c>
      <c r="E50" s="16">
        <f>120*3.67</f>
        <v>440.4</v>
      </c>
      <c r="F50" s="13" t="s">
        <v>53</v>
      </c>
      <c r="G50" s="14" t="s">
        <v>106</v>
      </c>
      <c r="H50" s="11" t="s">
        <v>28</v>
      </c>
      <c r="I50" s="18"/>
      <c r="J50" s="19"/>
      <c r="K50" s="20"/>
    </row>
    <row r="51" spans="1:11" ht="29" x14ac:dyDescent="0.35">
      <c r="A51" s="8" t="s">
        <v>8</v>
      </c>
      <c r="B51" s="10" t="s">
        <v>9</v>
      </c>
      <c r="C51" s="8">
        <v>2100</v>
      </c>
      <c r="D51" s="9" t="s">
        <v>53</v>
      </c>
      <c r="E51" s="17">
        <f>300*3.67</f>
        <v>1101</v>
      </c>
      <c r="F51" s="9" t="s">
        <v>53</v>
      </c>
      <c r="G51" s="6" t="s">
        <v>53</v>
      </c>
      <c r="H51" s="8" t="s">
        <v>25</v>
      </c>
      <c r="I51" s="49" t="s">
        <v>53</v>
      </c>
      <c r="J51" s="50"/>
      <c r="K51" s="51"/>
    </row>
    <row r="52" spans="1:11" ht="29" x14ac:dyDescent="0.35">
      <c r="A52" s="11" t="s">
        <v>56</v>
      </c>
      <c r="B52" s="12" t="s">
        <v>10</v>
      </c>
      <c r="C52" s="11">
        <v>2060</v>
      </c>
      <c r="D52" s="13" t="s">
        <v>53</v>
      </c>
      <c r="E52" s="16">
        <f>45*7.81*45/60</f>
        <v>263.58749999999998</v>
      </c>
      <c r="F52" s="13" t="s">
        <v>53</v>
      </c>
      <c r="G52" s="14" t="s">
        <v>46</v>
      </c>
      <c r="H52" s="11" t="s">
        <v>25</v>
      </c>
      <c r="I52" s="46" t="s">
        <v>53</v>
      </c>
      <c r="J52" s="47"/>
      <c r="K52" s="48"/>
    </row>
    <row r="53" spans="1:11" ht="29" x14ac:dyDescent="0.35">
      <c r="A53" s="8" t="s">
        <v>57</v>
      </c>
      <c r="B53" s="10" t="s">
        <v>11</v>
      </c>
      <c r="C53" s="8">
        <v>2100</v>
      </c>
      <c r="D53" s="9" t="s">
        <v>53</v>
      </c>
      <c r="E53" s="17">
        <f>26*3.67*(85/100)</f>
        <v>81.106999999999999</v>
      </c>
      <c r="F53" s="9" t="s">
        <v>53</v>
      </c>
      <c r="G53" s="6" t="s">
        <v>45</v>
      </c>
      <c r="H53" s="8" t="s">
        <v>25</v>
      </c>
      <c r="I53" s="49" t="s">
        <v>53</v>
      </c>
      <c r="J53" s="50"/>
      <c r="K53" s="51"/>
    </row>
    <row r="54" spans="1:11" ht="43.5" x14ac:dyDescent="0.35">
      <c r="A54" s="11" t="s">
        <v>58</v>
      </c>
      <c r="B54" s="12" t="s">
        <v>13</v>
      </c>
      <c r="C54" s="11">
        <v>2100</v>
      </c>
      <c r="D54" s="13">
        <f>17*3.67*85/100</f>
        <v>53.031499999999994</v>
      </c>
      <c r="E54" s="16">
        <f>AVERAGE(D54,F54,361.862,368.101)</f>
        <v>309.61037499999998</v>
      </c>
      <c r="F54" s="13">
        <f>146*3.67*85/100</f>
        <v>455.44699999999995</v>
      </c>
      <c r="G54" s="14" t="s">
        <v>14</v>
      </c>
      <c r="H54" s="11" t="s">
        <v>25</v>
      </c>
      <c r="I54" s="11">
        <v>361.86200000000002</v>
      </c>
      <c r="J54" s="11">
        <v>368.101</v>
      </c>
      <c r="K54" s="11" t="s">
        <v>53</v>
      </c>
    </row>
    <row r="55" spans="1:11" ht="22.5" customHeight="1" x14ac:dyDescent="0.35">
      <c r="A55" s="52" t="s">
        <v>59</v>
      </c>
      <c r="B55" s="53" t="s">
        <v>15</v>
      </c>
      <c r="C55" s="8">
        <v>2050</v>
      </c>
      <c r="D55" s="9">
        <f>12*3.67</f>
        <v>44.04</v>
      </c>
      <c r="E55" s="17">
        <f>AVERAGE(D55,F55,62.39)</f>
        <v>56.273333333333333</v>
      </c>
      <c r="F55" s="9">
        <f>17*3.67</f>
        <v>62.39</v>
      </c>
      <c r="G55" s="60" t="s">
        <v>50</v>
      </c>
      <c r="H55" s="52" t="s">
        <v>25</v>
      </c>
      <c r="I55" s="8">
        <v>62.39</v>
      </c>
      <c r="J55" s="8" t="s">
        <v>53</v>
      </c>
      <c r="K55" s="8" t="s">
        <v>53</v>
      </c>
    </row>
    <row r="56" spans="1:11" ht="23.25" customHeight="1" x14ac:dyDescent="0.35">
      <c r="A56" s="52"/>
      <c r="B56" s="53"/>
      <c r="C56" s="8">
        <v>2100</v>
      </c>
      <c r="D56" s="9">
        <f>68*3.67</f>
        <v>249.56</v>
      </c>
      <c r="E56" s="17">
        <f>AVERAGE(D56,F56,341.31)</f>
        <v>359.66</v>
      </c>
      <c r="F56" s="9">
        <f>133*3.67</f>
        <v>488.11</v>
      </c>
      <c r="G56" s="60"/>
      <c r="H56" s="52"/>
      <c r="I56" s="8">
        <v>341.31</v>
      </c>
      <c r="J56" s="8" t="s">
        <v>53</v>
      </c>
      <c r="K56" s="8" t="s">
        <v>53</v>
      </c>
    </row>
    <row r="57" spans="1:11" ht="29.25" customHeight="1" x14ac:dyDescent="0.35">
      <c r="A57" s="59" t="s">
        <v>60</v>
      </c>
      <c r="B57" s="61" t="s">
        <v>29</v>
      </c>
      <c r="C57" s="11">
        <v>2050</v>
      </c>
      <c r="D57" s="13">
        <v>18.100000000000001</v>
      </c>
      <c r="E57" s="16">
        <f>AVERAGE(D57,F57,20.4,32.7)</f>
        <v>27.074999999999999</v>
      </c>
      <c r="F57" s="13">
        <v>37.1</v>
      </c>
      <c r="G57" s="62" t="s">
        <v>53</v>
      </c>
      <c r="H57" s="59" t="s">
        <v>28</v>
      </c>
      <c r="I57" s="11">
        <v>20.399999999999999</v>
      </c>
      <c r="J57" s="11">
        <v>32.700000000000003</v>
      </c>
      <c r="K57" s="11" t="s">
        <v>53</v>
      </c>
    </row>
    <row r="58" spans="1:11" ht="26.25" customHeight="1" x14ac:dyDescent="0.35">
      <c r="A58" s="59"/>
      <c r="B58" s="61"/>
      <c r="C58" s="11">
        <v>2100</v>
      </c>
      <c r="D58" s="13">
        <v>60</v>
      </c>
      <c r="E58" s="16">
        <f>AVERAGE(D58,F58,121.7,105)</f>
        <v>115.575</v>
      </c>
      <c r="F58" s="13">
        <v>175.6</v>
      </c>
      <c r="G58" s="62"/>
      <c r="H58" s="59"/>
      <c r="I58" s="11">
        <v>121.7</v>
      </c>
      <c r="J58" s="11">
        <v>105</v>
      </c>
      <c r="K58" s="11" t="s">
        <v>53</v>
      </c>
    </row>
    <row r="59" spans="1:11" ht="29" x14ac:dyDescent="0.35">
      <c r="A59" s="8" t="s">
        <v>51</v>
      </c>
      <c r="B59" s="10" t="s">
        <v>18</v>
      </c>
      <c r="C59" s="8">
        <v>2100</v>
      </c>
      <c r="D59" s="9">
        <f>36.67*85/100</f>
        <v>31.169500000000003</v>
      </c>
      <c r="E59" s="17">
        <f>AVERAGE(D59,F59)</f>
        <v>93.5</v>
      </c>
      <c r="F59" s="9">
        <f>183.33*85/100</f>
        <v>155.8305</v>
      </c>
      <c r="G59" s="6" t="s">
        <v>45</v>
      </c>
      <c r="H59" s="8" t="s">
        <v>25</v>
      </c>
      <c r="I59" s="49" t="s">
        <v>53</v>
      </c>
      <c r="J59" s="50"/>
      <c r="K59" s="51"/>
    </row>
    <row r="60" spans="1:11" ht="21.75" customHeight="1" x14ac:dyDescent="0.35">
      <c r="A60" s="59" t="s">
        <v>61</v>
      </c>
      <c r="B60" s="61" t="s">
        <v>19</v>
      </c>
      <c r="C60" s="11">
        <v>2050</v>
      </c>
      <c r="D60" s="13" t="s">
        <v>53</v>
      </c>
      <c r="E60" s="16">
        <f>46.567*85/100</f>
        <v>39.581949999999999</v>
      </c>
      <c r="F60" s="13" t="s">
        <v>53</v>
      </c>
      <c r="G60" s="62" t="s">
        <v>45</v>
      </c>
      <c r="H60" s="59" t="s">
        <v>25</v>
      </c>
      <c r="I60" s="96" t="s">
        <v>53</v>
      </c>
      <c r="J60" s="97"/>
      <c r="K60" s="98"/>
    </row>
    <row r="61" spans="1:11" ht="20.25" customHeight="1" x14ac:dyDescent="0.35">
      <c r="A61" s="59"/>
      <c r="B61" s="61"/>
      <c r="C61" s="11">
        <v>2100</v>
      </c>
      <c r="D61" s="13" t="s">
        <v>53</v>
      </c>
      <c r="E61" s="16">
        <f>141.533*85/100</f>
        <v>120.30304999999998</v>
      </c>
      <c r="F61" s="13" t="s">
        <v>53</v>
      </c>
      <c r="G61" s="62"/>
      <c r="H61" s="59"/>
      <c r="I61" s="99"/>
      <c r="J61" s="100"/>
      <c r="K61" s="101"/>
    </row>
    <row r="62" spans="1:11" ht="29" x14ac:dyDescent="0.35">
      <c r="A62" s="8" t="s">
        <v>20</v>
      </c>
      <c r="B62" s="10" t="s">
        <v>21</v>
      </c>
      <c r="C62" s="8">
        <v>2050</v>
      </c>
      <c r="D62" s="9" t="s">
        <v>53</v>
      </c>
      <c r="E62" s="17">
        <f>38*3.67*35/50</f>
        <v>97.622000000000014</v>
      </c>
      <c r="F62" s="9" t="s">
        <v>53</v>
      </c>
      <c r="G62" s="6" t="s">
        <v>44</v>
      </c>
      <c r="H62" s="8" t="s">
        <v>25</v>
      </c>
      <c r="I62" s="49" t="s">
        <v>53</v>
      </c>
      <c r="J62" s="50"/>
      <c r="K62" s="51"/>
    </row>
    <row r="63" spans="1:11" ht="29" x14ac:dyDescent="0.35">
      <c r="A63" s="11" t="s">
        <v>62</v>
      </c>
      <c r="B63" s="12" t="s">
        <v>22</v>
      </c>
      <c r="C63" s="11">
        <v>2095</v>
      </c>
      <c r="D63" s="13" t="s">
        <v>53</v>
      </c>
      <c r="E63" s="16">
        <f>104*3.67*80/100</f>
        <v>305.34399999999999</v>
      </c>
      <c r="F63" s="13" t="s">
        <v>53</v>
      </c>
      <c r="G63" s="14" t="s">
        <v>43</v>
      </c>
      <c r="H63" s="11" t="s">
        <v>25</v>
      </c>
      <c r="I63" s="46" t="s">
        <v>53</v>
      </c>
      <c r="J63" s="47"/>
      <c r="K63" s="48"/>
    </row>
    <row r="64" spans="1:11" ht="29" x14ac:dyDescent="0.35">
      <c r="A64" s="8" t="s">
        <v>63</v>
      </c>
      <c r="B64" s="10" t="s">
        <v>23</v>
      </c>
      <c r="C64" s="8">
        <v>2065</v>
      </c>
      <c r="D64" s="9">
        <f>50*3.67</f>
        <v>183.5</v>
      </c>
      <c r="E64" s="17">
        <f>AVERAGE(D64,F64)</f>
        <v>275.25</v>
      </c>
      <c r="F64" s="9">
        <f>100*3.67</f>
        <v>367</v>
      </c>
      <c r="G64" s="6" t="s">
        <v>42</v>
      </c>
      <c r="H64" s="8" t="s">
        <v>25</v>
      </c>
      <c r="I64" s="49" t="s">
        <v>53</v>
      </c>
      <c r="J64" s="50"/>
      <c r="K64" s="51"/>
    </row>
    <row r="65" spans="7:8" x14ac:dyDescent="0.35">
      <c r="G65" s="4"/>
      <c r="H65" s="5"/>
    </row>
  </sheetData>
  <mergeCells count="88">
    <mergeCell ref="I33:K33"/>
    <mergeCell ref="I36:K36"/>
    <mergeCell ref="I62:K62"/>
    <mergeCell ref="I63:K63"/>
    <mergeCell ref="I64:K64"/>
    <mergeCell ref="I60:K61"/>
    <mergeCell ref="I52:K52"/>
    <mergeCell ref="I53:K53"/>
    <mergeCell ref="I59:K59"/>
    <mergeCell ref="I43:K43"/>
    <mergeCell ref="I51:K51"/>
    <mergeCell ref="I44:K44"/>
    <mergeCell ref="I45:K45"/>
    <mergeCell ref="I47:K47"/>
    <mergeCell ref="I48:K48"/>
    <mergeCell ref="I49:K49"/>
    <mergeCell ref="I38:K38"/>
    <mergeCell ref="I39:K39"/>
    <mergeCell ref="I41:K41"/>
    <mergeCell ref="I42:K42"/>
    <mergeCell ref="I34:K34"/>
    <mergeCell ref="I37:K37"/>
    <mergeCell ref="I35:K35"/>
    <mergeCell ref="A1:K1"/>
    <mergeCell ref="I29:K29"/>
    <mergeCell ref="G18:G19"/>
    <mergeCell ref="G2:G3"/>
    <mergeCell ref="D2:F2"/>
    <mergeCell ref="H2:H3"/>
    <mergeCell ref="H10:H12"/>
    <mergeCell ref="H18:H19"/>
    <mergeCell ref="I7:K7"/>
    <mergeCell ref="A28:K28"/>
    <mergeCell ref="I8:K8"/>
    <mergeCell ref="I9:K9"/>
    <mergeCell ref="I10:K12"/>
    <mergeCell ref="I14:K14"/>
    <mergeCell ref="I17:K17"/>
    <mergeCell ref="I18:K19"/>
    <mergeCell ref="H60:H61"/>
    <mergeCell ref="H55:H56"/>
    <mergeCell ref="G55:G56"/>
    <mergeCell ref="H57:H58"/>
    <mergeCell ref="A29:A30"/>
    <mergeCell ref="B29:B30"/>
    <mergeCell ref="C29:C30"/>
    <mergeCell ref="A57:A58"/>
    <mergeCell ref="B57:B58"/>
    <mergeCell ref="G57:G58"/>
    <mergeCell ref="A60:A61"/>
    <mergeCell ref="B60:B61"/>
    <mergeCell ref="G60:G61"/>
    <mergeCell ref="D29:F29"/>
    <mergeCell ref="G29:G30"/>
    <mergeCell ref="H29:H30"/>
    <mergeCell ref="A55:A56"/>
    <mergeCell ref="B55:B56"/>
    <mergeCell ref="A2:A3"/>
    <mergeCell ref="B2:B3"/>
    <mergeCell ref="C2:C3"/>
    <mergeCell ref="A10:A12"/>
    <mergeCell ref="B10:B12"/>
    <mergeCell ref="A18:A19"/>
    <mergeCell ref="B18:B19"/>
    <mergeCell ref="A4:A5"/>
    <mergeCell ref="B4:B5"/>
    <mergeCell ref="A31:A32"/>
    <mergeCell ref="B31:B32"/>
    <mergeCell ref="I2:K2"/>
    <mergeCell ref="I3:K3"/>
    <mergeCell ref="I30:K30"/>
    <mergeCell ref="I20:K20"/>
    <mergeCell ref="I21:K21"/>
    <mergeCell ref="I22:K22"/>
    <mergeCell ref="I23:K23"/>
    <mergeCell ref="I24:K24"/>
    <mergeCell ref="I25:K25"/>
    <mergeCell ref="I26:K26"/>
    <mergeCell ref="I13:K13"/>
    <mergeCell ref="I15:K15"/>
    <mergeCell ref="I16:K16"/>
    <mergeCell ref="G4:G5"/>
    <mergeCell ref="H4:H5"/>
    <mergeCell ref="G31:G32"/>
    <mergeCell ref="H31:H32"/>
    <mergeCell ref="I4:K5"/>
    <mergeCell ref="I31:K32"/>
    <mergeCell ref="G10:G12"/>
  </mergeCells>
  <hyperlinks>
    <hyperlink ref="B45" r:id="rId1" xr:uid="{B0E3D17E-7655-42FA-A6A0-6BA427A8D67E}"/>
    <hyperlink ref="B46" r:id="rId2" xr:uid="{9656CD58-3A60-439A-BDA7-91EE3C892717}"/>
    <hyperlink ref="B47" r:id="rId3" xr:uid="{43178D9D-F869-4EE0-9BA4-6A29AC735D59}"/>
    <hyperlink ref="B48" r:id="rId4" xr:uid="{B223141C-4700-47D3-8821-4E97DBA35DCC}"/>
    <hyperlink ref="B49" r:id="rId5" xr:uid="{A703924E-3B96-4171-9889-28A4CFE97175}"/>
    <hyperlink ref="B18" r:id="rId6" xr:uid="{37681F01-FA76-4179-9BD8-B66AF0EA5A6B}"/>
    <hyperlink ref="B51" r:id="rId7" xr:uid="{6E037195-5101-4298-A84F-576FF80687C9}"/>
    <hyperlink ref="B52" r:id="rId8" xr:uid="{A7922F0E-A0AE-4C32-8D04-A51AF3D34B09}"/>
    <hyperlink ref="B20" r:id="rId9" xr:uid="{55D86860-6401-4DB5-8859-30D75953853A}"/>
    <hyperlink ref="B53" r:id="rId10" xr:uid="{6B729273-EB9D-4E4C-B949-872E7178BC45}"/>
    <hyperlink ref="B21" r:id="rId11" xr:uid="{F29EB633-81A1-4D67-BD44-BAB5DB550F19}"/>
    <hyperlink ref="B22" r:id="rId12" xr:uid="{478756AE-5EAB-46DD-8125-4A3F08711272}"/>
    <hyperlink ref="B54" r:id="rId13" xr:uid="{F2B3971C-7F40-4FA9-BFF1-A121F7A36F1E}"/>
    <hyperlink ref="B55" r:id="rId14" xr:uid="{68816AC8-D22A-495A-BB23-E254A132CC78}"/>
    <hyperlink ref="B23" r:id="rId15" xr:uid="{C71F6457-D125-4DB2-A5EA-483C9B358126}"/>
    <hyperlink ref="B24" r:id="rId16" xr:uid="{32408E72-7E69-4716-874C-9787E4912F4A}"/>
    <hyperlink ref="B59" r:id="rId17" xr:uid="{DD026329-15C0-419F-9B66-200A4DBCAFDF}"/>
    <hyperlink ref="B60" r:id="rId18" xr:uid="{486F127C-6486-41C0-BA05-29954CD9E9FF}"/>
    <hyperlink ref="B62" r:id="rId19" xr:uid="{7949DE52-F623-4CA1-82FF-2CB0EDFAED52}"/>
    <hyperlink ref="B63" r:id="rId20" xr:uid="{CCD512EE-706C-4220-BE37-2AB420CE0F8D}"/>
    <hyperlink ref="B25" r:id="rId21" xr:uid="{1030480E-8BA3-41B3-9E52-99BEB6CD83B1}"/>
    <hyperlink ref="B26" r:id="rId22" xr:uid="{4A2FFB7C-F16F-492B-90A9-8C5628BDE74D}"/>
    <hyperlink ref="B64" r:id="rId23" xr:uid="{75FF5C3E-3745-411F-8049-658FEF4BE01D}"/>
    <hyperlink ref="B14" r:id="rId24" xr:uid="{442ADFF0-324B-4CAA-B265-0F5EC6CCFBF3}"/>
    <hyperlink ref="B42" r:id="rId25" xr:uid="{6A489B03-C53B-4932-92EF-96896001C150}"/>
    <hyperlink ref="B41" r:id="rId26" xr:uid="{1E10F61A-3FA7-431E-A4A6-0F68E867A944}"/>
    <hyperlink ref="B57" r:id="rId27" xr:uid="{0FD2DA21-399B-4494-8099-B6E423C5BAB7}"/>
    <hyperlink ref="B10" r:id="rId28" xr:uid="{8601EAC9-C517-42A2-A069-E5F6F236E0CC}"/>
    <hyperlink ref="B40" r:id="rId29" xr:uid="{DC124D30-E0A8-4902-A118-99375E322BF0}"/>
    <hyperlink ref="B9" r:id="rId30" xr:uid="{0ED5FB9D-6633-48AD-9ADB-80A5709F719A}"/>
    <hyperlink ref="B8" r:id="rId31" xr:uid="{0A4C93E6-8A98-4427-81B0-10FBC7C4938C}"/>
    <hyperlink ref="B38" r:id="rId32" xr:uid="{F0BD309E-DC02-4DB3-914D-C157E08759CF}"/>
    <hyperlink ref="B17" r:id="rId33" xr:uid="{57568174-6479-4AE5-A026-4D105F2CD97D}"/>
    <hyperlink ref="B44" r:id="rId34" xr:uid="{B1B2E8F6-E68A-4EF7-8444-B2AE8F71444E}"/>
    <hyperlink ref="B39" r:id="rId35" xr:uid="{5A1B2F85-9DAE-4236-B3BA-EB16F1B35C25}"/>
    <hyperlink ref="B7" r:id="rId36" xr:uid="{01ACE7C1-A9BB-4B7F-97C0-D3A55BE26F23}"/>
    <hyperlink ref="B35" r:id="rId37" xr:uid="{181681CB-D7EF-43D0-A243-DD3327926E53}"/>
    <hyperlink ref="B34" r:id="rId38" xr:uid="{2D5D0C21-BE55-44F8-8094-26D08BD7562D}"/>
    <hyperlink ref="B37" r:id="rId39" xr:uid="{9E2F8C11-02F0-4013-B8B1-5148751D6C87}"/>
    <hyperlink ref="B43" r:id="rId40" xr:uid="{D5B62A68-F4C6-4367-94F7-2D1C13650859}"/>
    <hyperlink ref="B13" r:id="rId41" xr:uid="{CCE3449A-A937-44B2-A9DC-9A9D26747BF5}"/>
    <hyperlink ref="B15" r:id="rId42" xr:uid="{9BA78B85-E525-426D-88A7-614198D78857}"/>
    <hyperlink ref="B16" r:id="rId43" xr:uid="{7AD7BA94-7F04-4D7A-97B3-BA6B888D44C5}"/>
    <hyperlink ref="B33" r:id="rId44" xr:uid="{FBF44AB9-EF73-4526-A0D7-07D5CA0FB771}"/>
    <hyperlink ref="B50" r:id="rId45" xr:uid="{92DCB894-EDAE-4129-96A4-E76D16B8D0A6}"/>
    <hyperlink ref="B36" r:id="rId46" xr:uid="{9D344860-EED0-4BC6-8314-ED94C60DEA8B}"/>
    <hyperlink ref="B6" r:id="rId47" xr:uid="{934DE6B5-5E78-499B-A197-F6080B0E9F9F}"/>
  </hyperlinks>
  <pageMargins left="0.7" right="0.7" top="0.75" bottom="0.75" header="0.3" footer="0.3"/>
  <pageSetup paperSize="9" orientation="portrait" r:id="rId48"/>
  <ignoredErrors>
    <ignoredError sqref="E12"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potentials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YM</dc:creator>
  <cp:lastModifiedBy>Moustakis, Ioannis</cp:lastModifiedBy>
  <dcterms:created xsi:type="dcterms:W3CDTF">2023-09-12T17:05:46Z</dcterms:created>
  <dcterms:modified xsi:type="dcterms:W3CDTF">2024-08-28T10:21:59Z</dcterms:modified>
</cp:coreProperties>
</file>