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id\Dropbox\Kyungho Choi\Achievement\manuscripts\CD40-Cotinine-CAR T cells 2022\Submission to Nature Communications\2nd revision (final revision)\Submitted files for 2nd revision\"/>
    </mc:Choice>
  </mc:AlternateContent>
  <xr:revisionPtr revIDLastSave="0" documentId="8_{8744657A-C6F8-4FB4-A695-6BB466B36340}" xr6:coauthVersionLast="36" xr6:coauthVersionMax="36" xr10:uidLastSave="{00000000-0000-0000-0000-000000000000}"/>
  <bookViews>
    <workbookView xWindow="-120" yWindow="-120" windowWidth="29040" windowHeight="15840" tabRatio="760" xr2:uid="{A110384C-83E1-4F4D-B7A9-6913F4B63E0C}"/>
  </bookViews>
  <sheets>
    <sheet name="Fig. 1c" sheetId="1" r:id="rId1"/>
    <sheet name="Fig. 1d" sheetId="4" r:id="rId2"/>
    <sheet name="Fig. 1e" sheetId="5" r:id="rId3"/>
    <sheet name="Fig. 1f" sheetId="6" r:id="rId4"/>
    <sheet name="Fig. 1g" sheetId="7" r:id="rId5"/>
    <sheet name="Fig. 1h" sheetId="8" r:id="rId6"/>
    <sheet name="Fig. 1i" sheetId="9" r:id="rId7"/>
    <sheet name="Fig. 1j" sheetId="10" r:id="rId8"/>
    <sheet name="Fig. 1k" sheetId="11" r:id="rId9"/>
    <sheet name="Fig. 1l" sheetId="12" r:id="rId10"/>
    <sheet name="Fig. 1m" sheetId="13" r:id="rId11"/>
    <sheet name="Fig. 2a" sheetId="27" r:id="rId12"/>
    <sheet name="Fig. 2b" sheetId="28" r:id="rId13"/>
    <sheet name="Fig. 2c" sheetId="29" r:id="rId14"/>
    <sheet name="Fig. 2d" sheetId="31" r:id="rId15"/>
    <sheet name="Fig. 2e" sheetId="30" r:id="rId16"/>
    <sheet name="Fig. 2f" sheetId="32" r:id="rId17"/>
    <sheet name="Fig. 2g" sheetId="33" r:id="rId18"/>
    <sheet name="Fig. 2h" sheetId="34" r:id="rId19"/>
    <sheet name="Fig. 3d" sheetId="35" r:id="rId20"/>
    <sheet name="Fig. 3e" sheetId="38" r:id="rId21"/>
    <sheet name="Fig. 3i" sheetId="37" r:id="rId22"/>
    <sheet name="Fig.4b" sheetId="39" r:id="rId23"/>
    <sheet name="Fig. 4c" sheetId="40" r:id="rId24"/>
    <sheet name="Fig. 4e" sheetId="41" r:id="rId25"/>
    <sheet name="Fig. 5c" sheetId="43" r:id="rId26"/>
    <sheet name="Fig. 5d" sheetId="44" r:id="rId27"/>
    <sheet name="Fig. 5g" sheetId="45" r:id="rId28"/>
    <sheet name="Fig. 6c" sheetId="47" r:id="rId29"/>
    <sheet name="Fig. 6f" sheetId="48" r:id="rId30"/>
    <sheet name="Fig. 7b" sheetId="49" r:id="rId31"/>
    <sheet name="Fig. 7c" sheetId="50" r:id="rId32"/>
    <sheet name="Fig. 7e" sheetId="51" r:id="rId33"/>
    <sheet name="Fig. 7f" sheetId="52" r:id="rId34"/>
    <sheet name="suppl Fig.1a" sheetId="53" r:id="rId35"/>
    <sheet name="suppl Fig.2a.2b" sheetId="73" r:id="rId36"/>
    <sheet name="suppl Fig.3a" sheetId="54" r:id="rId37"/>
    <sheet name="suppl Fig.3b" sheetId="75" r:id="rId38"/>
    <sheet name="suppl Fig.4a" sheetId="55" r:id="rId39"/>
    <sheet name="suppl Fig.4b" sheetId="56" r:id="rId40"/>
    <sheet name="suppl Fig.4c" sheetId="46" r:id="rId41"/>
    <sheet name="suppl Fig.4d" sheetId="42" r:id="rId42"/>
    <sheet name="suppl Fig.5a" sheetId="71" r:id="rId43"/>
    <sheet name="suppl Fig.5b" sheetId="74" r:id="rId44"/>
    <sheet name="suppl Fig.8a" sheetId="57" r:id="rId45"/>
    <sheet name="suppl Fig.10c" sheetId="63" r:id="rId46"/>
    <sheet name="suppl Fig.10d" sheetId="59" r:id="rId47"/>
    <sheet name="suppl Fig.10e" sheetId="60" r:id="rId48"/>
    <sheet name="suppl Fig.10f" sheetId="61" r:id="rId49"/>
    <sheet name="suppl Fig.12a" sheetId="76" r:id="rId50"/>
    <sheet name="suppl Fig.12b" sheetId="77" r:id="rId51"/>
    <sheet name="suppl Fig.13b" sheetId="78" r:id="rId52"/>
    <sheet name="suppl Fig.14a" sheetId="81" r:id="rId53"/>
    <sheet name="suppl Fig.14c" sheetId="82" r:id="rId54"/>
    <sheet name="suppl Fig.16a" sheetId="62" r:id="rId55"/>
    <sheet name="suppl Fig.18" sheetId="65" r:id="rId56"/>
    <sheet name="suppl Fig.19b" sheetId="79" r:id="rId57"/>
    <sheet name="suppl Fig.19c" sheetId="80" r:id="rId58"/>
    <sheet name="suppl Fig.20a" sheetId="66" r:id="rId59"/>
    <sheet name="suppl Fig.20b" sheetId="70" r:id="rId6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81" l="1"/>
  <c r="L19" i="81"/>
  <c r="J19" i="81"/>
  <c r="H19" i="81"/>
  <c r="F19" i="81"/>
  <c r="N18" i="81"/>
  <c r="L18" i="81"/>
  <c r="J18" i="81"/>
  <c r="H18" i="81"/>
  <c r="F18" i="81"/>
  <c r="N17" i="81"/>
  <c r="L17" i="81"/>
  <c r="J17" i="81"/>
  <c r="H17" i="81"/>
  <c r="F17" i="81"/>
  <c r="N16" i="81"/>
  <c r="L16" i="81"/>
  <c r="J16" i="81"/>
  <c r="H16" i="81"/>
  <c r="F16" i="81"/>
  <c r="N15" i="81"/>
  <c r="L15" i="81"/>
  <c r="J15" i="81"/>
  <c r="H15" i="81"/>
  <c r="F15" i="81"/>
  <c r="N14" i="81"/>
  <c r="L14" i="81"/>
  <c r="J14" i="81"/>
  <c r="H14" i="81"/>
  <c r="F14" i="81"/>
  <c r="N13" i="81"/>
  <c r="L13" i="81"/>
  <c r="J13" i="81"/>
  <c r="H13" i="81"/>
  <c r="F13" i="81"/>
  <c r="N12" i="81"/>
  <c r="L12" i="81"/>
  <c r="J12" i="81"/>
  <c r="H12" i="81"/>
  <c r="F12" i="81"/>
  <c r="N11" i="81"/>
  <c r="L11" i="81"/>
  <c r="J11" i="81"/>
  <c r="H11" i="81"/>
  <c r="F11" i="81"/>
  <c r="N10" i="81"/>
  <c r="L10" i="81"/>
  <c r="J10" i="81"/>
  <c r="H10" i="81"/>
  <c r="F10" i="81"/>
  <c r="N9" i="81"/>
  <c r="L9" i="81"/>
  <c r="J9" i="81"/>
  <c r="H9" i="81"/>
  <c r="F9" i="81"/>
  <c r="N8" i="81"/>
  <c r="L8" i="81"/>
  <c r="J8" i="81"/>
  <c r="H8" i="81"/>
  <c r="F8" i="81"/>
  <c r="N7" i="81"/>
  <c r="L7" i="81"/>
  <c r="J7" i="81"/>
  <c r="H7" i="81"/>
  <c r="F7" i="81"/>
  <c r="N6" i="81"/>
  <c r="L6" i="81"/>
  <c r="J6" i="81"/>
  <c r="H6" i="81"/>
  <c r="F6" i="81"/>
  <c r="H71" i="51"/>
  <c r="H57" i="51"/>
  <c r="H43" i="51"/>
  <c r="H29" i="51"/>
  <c r="G43" i="77"/>
  <c r="I43" i="77" s="1"/>
  <c r="G42" i="77"/>
  <c r="I42" i="77" s="1"/>
  <c r="G41" i="77"/>
  <c r="I41" i="77" s="1"/>
  <c r="G40" i="77"/>
  <c r="I40" i="77" s="1"/>
  <c r="G39" i="77"/>
  <c r="I39" i="77" s="1"/>
  <c r="G38" i="77"/>
  <c r="I38" i="77" s="1"/>
  <c r="G37" i="77"/>
  <c r="I37" i="77" s="1"/>
  <c r="G36" i="77"/>
  <c r="I36" i="77" s="1"/>
  <c r="G35" i="77"/>
  <c r="I35" i="77" s="1"/>
  <c r="G34" i="77"/>
  <c r="I34" i="77" s="1"/>
  <c r="I33" i="77"/>
  <c r="G33" i="77"/>
  <c r="H33" i="77" s="1"/>
  <c r="G32" i="77"/>
  <c r="I32" i="77" s="1"/>
  <c r="G31" i="77"/>
  <c r="H31" i="77" s="1"/>
  <c r="G30" i="77"/>
  <c r="I30" i="77" s="1"/>
  <c r="G29" i="77"/>
  <c r="I29" i="77" s="1"/>
  <c r="P43" i="77"/>
  <c r="R43" i="77" s="1"/>
  <c r="P42" i="77"/>
  <c r="R42" i="77" s="1"/>
  <c r="P41" i="77"/>
  <c r="R41" i="77" s="1"/>
  <c r="R40" i="77"/>
  <c r="P40" i="77"/>
  <c r="Q40" i="77" s="1"/>
  <c r="P39" i="77"/>
  <c r="R39" i="77" s="1"/>
  <c r="P38" i="77"/>
  <c r="R38" i="77" s="1"/>
  <c r="P37" i="77"/>
  <c r="Q37" i="77" s="1"/>
  <c r="P36" i="77"/>
  <c r="R36" i="77" s="1"/>
  <c r="P35" i="77"/>
  <c r="Q35" i="77" s="1"/>
  <c r="P34" i="77"/>
  <c r="R34" i="77" s="1"/>
  <c r="P33" i="77"/>
  <c r="R33" i="77" s="1"/>
  <c r="P32" i="77"/>
  <c r="R32" i="77" s="1"/>
  <c r="P31" i="77"/>
  <c r="R31" i="77" s="1"/>
  <c r="P30" i="77"/>
  <c r="R30" i="77" s="1"/>
  <c r="P29" i="77"/>
  <c r="R29" i="77" s="1"/>
  <c r="G21" i="77"/>
  <c r="H21" i="77" s="1"/>
  <c r="G20" i="77"/>
  <c r="I20" i="77" s="1"/>
  <c r="G19" i="77"/>
  <c r="I19" i="77" s="1"/>
  <c r="G18" i="77"/>
  <c r="I18" i="77" s="1"/>
  <c r="G17" i="77"/>
  <c r="H17" i="77" s="1"/>
  <c r="G16" i="77"/>
  <c r="I16" i="77" s="1"/>
  <c r="G15" i="77"/>
  <c r="H15" i="77" s="1"/>
  <c r="G14" i="77"/>
  <c r="H14" i="77" s="1"/>
  <c r="G13" i="77"/>
  <c r="I13" i="77" s="1"/>
  <c r="G12" i="77"/>
  <c r="H12" i="77" s="1"/>
  <c r="G11" i="77"/>
  <c r="H11" i="77" s="1"/>
  <c r="G10" i="77"/>
  <c r="H10" i="77" s="1"/>
  <c r="G9" i="77"/>
  <c r="H9" i="77" s="1"/>
  <c r="G8" i="77"/>
  <c r="I8" i="77" s="1"/>
  <c r="G7" i="77"/>
  <c r="I7" i="77" s="1"/>
  <c r="P21" i="77"/>
  <c r="R21" i="77" s="1"/>
  <c r="P20" i="77"/>
  <c r="R20" i="77" s="1"/>
  <c r="P19" i="77"/>
  <c r="R19" i="77" s="1"/>
  <c r="P18" i="77"/>
  <c r="R18" i="77" s="1"/>
  <c r="P17" i="77"/>
  <c r="R17" i="77" s="1"/>
  <c r="P16" i="77"/>
  <c r="R16" i="77" s="1"/>
  <c r="P15" i="77"/>
  <c r="R15" i="77" s="1"/>
  <c r="P14" i="77"/>
  <c r="R14" i="77" s="1"/>
  <c r="P13" i="77"/>
  <c r="Q13" i="77" s="1"/>
  <c r="P12" i="77"/>
  <c r="R12" i="77" s="1"/>
  <c r="P11" i="77"/>
  <c r="Q11" i="77" s="1"/>
  <c r="P10" i="77"/>
  <c r="R10" i="77" s="1"/>
  <c r="P9" i="77"/>
  <c r="R9" i="77" s="1"/>
  <c r="P8" i="77"/>
  <c r="R8" i="77" s="1"/>
  <c r="P7" i="77"/>
  <c r="R7" i="77" s="1"/>
  <c r="G21" i="76"/>
  <c r="I21" i="76" s="1"/>
  <c r="G20" i="76"/>
  <c r="H20" i="76" s="1"/>
  <c r="I19" i="76"/>
  <c r="G19" i="76"/>
  <c r="H19" i="76" s="1"/>
  <c r="G18" i="76"/>
  <c r="H18" i="76" s="1"/>
  <c r="G17" i="76"/>
  <c r="I17" i="76" s="1"/>
  <c r="G16" i="76"/>
  <c r="I16" i="76" s="1"/>
  <c r="I15" i="76"/>
  <c r="G15" i="76"/>
  <c r="H15" i="76" s="1"/>
  <c r="G14" i="76"/>
  <c r="I14" i="76" s="1"/>
  <c r="G13" i="76"/>
  <c r="I13" i="76" s="1"/>
  <c r="G12" i="76"/>
  <c r="I12" i="76" s="1"/>
  <c r="G11" i="76"/>
  <c r="I11" i="76" s="1"/>
  <c r="G10" i="76"/>
  <c r="I10" i="76" s="1"/>
  <c r="G9" i="76"/>
  <c r="I9" i="76" s="1"/>
  <c r="G8" i="76"/>
  <c r="I8" i="76" s="1"/>
  <c r="G7" i="76"/>
  <c r="H7" i="76" s="1"/>
  <c r="P21" i="76"/>
  <c r="R21" i="76" s="1"/>
  <c r="P20" i="76"/>
  <c r="R20" i="76" s="1"/>
  <c r="P19" i="76"/>
  <c r="R19" i="76" s="1"/>
  <c r="P18" i="76"/>
  <c r="R18" i="76" s="1"/>
  <c r="P17" i="76"/>
  <c r="R17" i="76" s="1"/>
  <c r="R16" i="76"/>
  <c r="P16" i="76"/>
  <c r="Q16" i="76" s="1"/>
  <c r="P15" i="76"/>
  <c r="R15" i="76" s="1"/>
  <c r="P14" i="76"/>
  <c r="R14" i="76" s="1"/>
  <c r="P13" i="76"/>
  <c r="R13" i="76" s="1"/>
  <c r="P12" i="76"/>
  <c r="Q12" i="76" s="1"/>
  <c r="P11" i="76"/>
  <c r="R11" i="76" s="1"/>
  <c r="P10" i="76"/>
  <c r="R10" i="76" s="1"/>
  <c r="P9" i="76"/>
  <c r="Q9" i="76" s="1"/>
  <c r="P8" i="76"/>
  <c r="Q8" i="76" s="1"/>
  <c r="P7" i="76"/>
  <c r="R7" i="76" s="1"/>
  <c r="E29" i="75"/>
  <c r="D29" i="75"/>
  <c r="C29" i="75"/>
  <c r="B29" i="75"/>
  <c r="E28" i="75"/>
  <c r="D28" i="75"/>
  <c r="C28" i="75"/>
  <c r="B28" i="75"/>
  <c r="E27" i="75"/>
  <c r="D27" i="75"/>
  <c r="C27" i="75"/>
  <c r="B27" i="75"/>
  <c r="T14" i="73"/>
  <c r="R14" i="73"/>
  <c r="P14" i="73"/>
  <c r="N14" i="73"/>
  <c r="L14" i="73"/>
  <c r="J14" i="73"/>
  <c r="H14" i="73"/>
  <c r="F14" i="73"/>
  <c r="T13" i="73"/>
  <c r="R13" i="73"/>
  <c r="P13" i="73"/>
  <c r="N13" i="73"/>
  <c r="L13" i="73"/>
  <c r="J13" i="73"/>
  <c r="H13" i="73"/>
  <c r="F13" i="73"/>
  <c r="T12" i="73"/>
  <c r="R12" i="73"/>
  <c r="P12" i="73"/>
  <c r="N12" i="73"/>
  <c r="L12" i="73"/>
  <c r="J12" i="73"/>
  <c r="H12" i="73"/>
  <c r="F12" i="73"/>
  <c r="T11" i="73"/>
  <c r="R11" i="73"/>
  <c r="P11" i="73"/>
  <c r="N11" i="73"/>
  <c r="L11" i="73"/>
  <c r="J11" i="73"/>
  <c r="H11" i="73"/>
  <c r="F11" i="73"/>
  <c r="T10" i="73"/>
  <c r="R10" i="73"/>
  <c r="P10" i="73"/>
  <c r="N10" i="73"/>
  <c r="L10" i="73"/>
  <c r="J10" i="73"/>
  <c r="H10" i="73"/>
  <c r="F10" i="73"/>
  <c r="R9" i="73"/>
  <c r="P9" i="73"/>
  <c r="N9" i="73"/>
  <c r="L9" i="73"/>
  <c r="J9" i="73"/>
  <c r="H9" i="73"/>
  <c r="F9" i="73"/>
  <c r="T8" i="73"/>
  <c r="R8" i="73"/>
  <c r="P8" i="73"/>
  <c r="N8" i="73"/>
  <c r="L8" i="73"/>
  <c r="J8" i="73"/>
  <c r="H8" i="73"/>
  <c r="F8" i="73"/>
  <c r="T7" i="73"/>
  <c r="R7" i="73"/>
  <c r="P7" i="73"/>
  <c r="N7" i="73"/>
  <c r="L7" i="73"/>
  <c r="J7" i="73"/>
  <c r="H7" i="73"/>
  <c r="F7" i="73"/>
  <c r="H30" i="77" l="1"/>
  <c r="I31" i="77"/>
  <c r="H41" i="77"/>
  <c r="H43" i="77"/>
  <c r="H42" i="77"/>
  <c r="H38" i="77"/>
  <c r="H39" i="77"/>
  <c r="H40" i="77"/>
  <c r="H35" i="77"/>
  <c r="H36" i="77"/>
  <c r="H37" i="77"/>
  <c r="H32" i="77"/>
  <c r="H34" i="77"/>
  <c r="H29" i="77"/>
  <c r="Q41" i="77"/>
  <c r="Q42" i="77"/>
  <c r="Q43" i="77"/>
  <c r="Q38" i="77"/>
  <c r="Q39" i="77"/>
  <c r="R35" i="77"/>
  <c r="R37" i="77"/>
  <c r="Q36" i="77"/>
  <c r="Q32" i="77"/>
  <c r="Q33" i="77"/>
  <c r="Q34" i="77"/>
  <c r="Q31" i="77"/>
  <c r="Q29" i="77"/>
  <c r="Q30" i="77"/>
  <c r="I12" i="77"/>
  <c r="I11" i="77"/>
  <c r="H16" i="77"/>
  <c r="H13" i="77"/>
  <c r="I9" i="77"/>
  <c r="H18" i="77"/>
  <c r="I14" i="77"/>
  <c r="I10" i="77"/>
  <c r="Q14" i="77"/>
  <c r="I17" i="77"/>
  <c r="R13" i="77"/>
  <c r="I21" i="77"/>
  <c r="H19" i="77"/>
  <c r="H20" i="77"/>
  <c r="I15" i="77"/>
  <c r="H7" i="77"/>
  <c r="H8" i="77"/>
  <c r="Q19" i="77"/>
  <c r="Q20" i="77"/>
  <c r="Q21" i="77"/>
  <c r="Q16" i="77"/>
  <c r="Q17" i="77"/>
  <c r="Q18" i="77"/>
  <c r="Q15" i="77"/>
  <c r="Q10" i="77"/>
  <c r="R11" i="77"/>
  <c r="Q12" i="77"/>
  <c r="Q7" i="77"/>
  <c r="Q8" i="77"/>
  <c r="Q9" i="77"/>
  <c r="R8" i="76"/>
  <c r="I7" i="76"/>
  <c r="Q14" i="76"/>
  <c r="I18" i="76"/>
  <c r="R12" i="76"/>
  <c r="I20" i="76"/>
  <c r="Q10" i="76"/>
  <c r="Q18" i="76"/>
  <c r="H21" i="76"/>
  <c r="H16" i="76"/>
  <c r="H17" i="76"/>
  <c r="H13" i="76"/>
  <c r="H14" i="76"/>
  <c r="H10" i="76"/>
  <c r="H11" i="76"/>
  <c r="H12" i="76"/>
  <c r="H8" i="76"/>
  <c r="H9" i="76"/>
  <c r="R9" i="76"/>
  <c r="Q7" i="76"/>
  <c r="Q11" i="76"/>
  <c r="Q15" i="76"/>
  <c r="Q19" i="76"/>
  <c r="Q20" i="76"/>
  <c r="Q13" i="76"/>
  <c r="Q17" i="76"/>
  <c r="Q21" i="76"/>
  <c r="V30" i="74"/>
  <c r="T30" i="74"/>
  <c r="R30" i="74"/>
  <c r="P30" i="74"/>
  <c r="N30" i="74"/>
  <c r="L30" i="74"/>
  <c r="J30" i="74"/>
  <c r="H30" i="74"/>
  <c r="F30" i="74"/>
  <c r="V29" i="74"/>
  <c r="T29" i="74"/>
  <c r="R29" i="74"/>
  <c r="P29" i="74"/>
  <c r="N29" i="74"/>
  <c r="L29" i="74"/>
  <c r="J29" i="74"/>
  <c r="H29" i="74"/>
  <c r="F29" i="74"/>
  <c r="V28" i="74"/>
  <c r="T28" i="74"/>
  <c r="R28" i="74"/>
  <c r="P28" i="74"/>
  <c r="N28" i="74"/>
  <c r="L28" i="74"/>
  <c r="J28" i="74"/>
  <c r="H28" i="74"/>
  <c r="F28" i="74"/>
  <c r="V27" i="74"/>
  <c r="T27" i="74"/>
  <c r="R27" i="74"/>
  <c r="P27" i="74"/>
  <c r="N27" i="74"/>
  <c r="L27" i="74"/>
  <c r="J27" i="74"/>
  <c r="H27" i="74"/>
  <c r="F27" i="74"/>
  <c r="V26" i="74"/>
  <c r="T26" i="74"/>
  <c r="R26" i="74"/>
  <c r="P26" i="74"/>
  <c r="N26" i="74"/>
  <c r="L26" i="74"/>
  <c r="J26" i="74"/>
  <c r="H26" i="74"/>
  <c r="F26" i="74"/>
  <c r="V25" i="74"/>
  <c r="T25" i="74"/>
  <c r="R25" i="74"/>
  <c r="P25" i="74"/>
  <c r="N25" i="74"/>
  <c r="L25" i="74"/>
  <c r="J25" i="74"/>
  <c r="H25" i="74"/>
  <c r="F25" i="74"/>
  <c r="V24" i="74"/>
  <c r="T24" i="74"/>
  <c r="R24" i="74"/>
  <c r="P24" i="74"/>
  <c r="N24" i="74"/>
  <c r="L24" i="74"/>
  <c r="J24" i="74"/>
  <c r="H24" i="74"/>
  <c r="F24" i="74"/>
  <c r="V23" i="74"/>
  <c r="T23" i="74"/>
  <c r="R23" i="74"/>
  <c r="P23" i="74"/>
  <c r="N23" i="74"/>
  <c r="L23" i="74"/>
  <c r="J23" i="74"/>
  <c r="H23" i="74"/>
  <c r="F23" i="74"/>
  <c r="V22" i="74"/>
  <c r="T22" i="74"/>
  <c r="R22" i="74"/>
  <c r="P22" i="74"/>
  <c r="N22" i="74"/>
  <c r="L22" i="74"/>
  <c r="J22" i="74"/>
  <c r="H22" i="74"/>
  <c r="F22" i="74"/>
  <c r="V21" i="74"/>
  <c r="T21" i="74"/>
  <c r="R21" i="74"/>
  <c r="P21" i="74"/>
  <c r="N21" i="74"/>
  <c r="L21" i="74"/>
  <c r="J21" i="74"/>
  <c r="H21" i="74"/>
  <c r="F21" i="74"/>
  <c r="V20" i="74"/>
  <c r="T20" i="74"/>
  <c r="R20" i="74"/>
  <c r="P20" i="74"/>
  <c r="N20" i="74"/>
  <c r="L20" i="74"/>
  <c r="J20" i="74"/>
  <c r="H20" i="74"/>
  <c r="F20" i="74"/>
  <c r="V19" i="74"/>
  <c r="T19" i="74"/>
  <c r="R19" i="74"/>
  <c r="P19" i="74"/>
  <c r="N19" i="74"/>
  <c r="L19" i="74"/>
  <c r="J19" i="74"/>
  <c r="H19" i="74"/>
  <c r="F19" i="74"/>
  <c r="V18" i="74"/>
  <c r="T18" i="74"/>
  <c r="R18" i="74"/>
  <c r="P18" i="74"/>
  <c r="N18" i="74"/>
  <c r="L18" i="74"/>
  <c r="J18" i="74"/>
  <c r="H18" i="74"/>
  <c r="F18" i="74"/>
  <c r="V17" i="74"/>
  <c r="T17" i="74"/>
  <c r="R17" i="74"/>
  <c r="P17" i="74"/>
  <c r="N17" i="74"/>
  <c r="L17" i="74"/>
  <c r="J17" i="74"/>
  <c r="H17" i="74"/>
  <c r="F17" i="74"/>
  <c r="V16" i="74"/>
  <c r="T16" i="74"/>
  <c r="R16" i="74"/>
  <c r="P16" i="74"/>
  <c r="N16" i="74"/>
  <c r="L16" i="74"/>
  <c r="J16" i="74"/>
  <c r="H16" i="74"/>
  <c r="F16" i="74"/>
  <c r="V15" i="74"/>
  <c r="T15" i="74"/>
  <c r="R15" i="74"/>
  <c r="P15" i="74"/>
  <c r="N15" i="74"/>
  <c r="L15" i="74"/>
  <c r="J15" i="74"/>
  <c r="H15" i="74"/>
  <c r="F15" i="74"/>
  <c r="V14" i="74"/>
  <c r="T14" i="74"/>
  <c r="R14" i="74"/>
  <c r="P14" i="74"/>
  <c r="N14" i="74"/>
  <c r="L14" i="74"/>
  <c r="J14" i="74"/>
  <c r="H14" i="74"/>
  <c r="F14" i="74"/>
  <c r="V13" i="74"/>
  <c r="T13" i="74"/>
  <c r="R13" i="74"/>
  <c r="P13" i="74"/>
  <c r="N13" i="74"/>
  <c r="L13" i="74"/>
  <c r="J13" i="74"/>
  <c r="H13" i="74"/>
  <c r="F13" i="74"/>
  <c r="V12" i="74"/>
  <c r="T12" i="74"/>
  <c r="R12" i="74"/>
  <c r="P12" i="74"/>
  <c r="N12" i="74"/>
  <c r="L12" i="74"/>
  <c r="J12" i="74"/>
  <c r="H12" i="74"/>
  <c r="F12" i="74"/>
  <c r="V11" i="74"/>
  <c r="T11" i="74"/>
  <c r="R11" i="74"/>
  <c r="P11" i="74"/>
  <c r="N11" i="74"/>
  <c r="L11" i="74"/>
  <c r="J11" i="74"/>
  <c r="H11" i="74"/>
  <c r="F11" i="74"/>
  <c r="V10" i="74"/>
  <c r="T10" i="74"/>
  <c r="R10" i="74"/>
  <c r="P10" i="74"/>
  <c r="N10" i="74"/>
  <c r="L10" i="74"/>
  <c r="J10" i="74"/>
  <c r="H10" i="74"/>
  <c r="F10" i="74"/>
  <c r="V9" i="74"/>
  <c r="T9" i="74"/>
  <c r="R9" i="74"/>
  <c r="P9" i="74"/>
  <c r="N9" i="74"/>
  <c r="L9" i="74"/>
  <c r="J9" i="74"/>
  <c r="H9" i="74"/>
  <c r="F9" i="74"/>
  <c r="V8" i="74"/>
  <c r="T8" i="74"/>
  <c r="R8" i="74"/>
  <c r="P8" i="74"/>
  <c r="N8" i="74"/>
  <c r="L8" i="74"/>
  <c r="J8" i="74"/>
  <c r="H8" i="74"/>
  <c r="F8" i="74"/>
  <c r="V7" i="74"/>
  <c r="T7" i="74"/>
  <c r="R7" i="74"/>
  <c r="P7" i="74"/>
  <c r="N7" i="74"/>
  <c r="L7" i="74"/>
  <c r="J7" i="74"/>
  <c r="H7" i="74"/>
  <c r="F7" i="74"/>
  <c r="V6" i="74"/>
  <c r="T6" i="74"/>
  <c r="R6" i="74"/>
  <c r="P6" i="74"/>
  <c r="N6" i="74"/>
  <c r="L6" i="74"/>
  <c r="J6" i="74"/>
  <c r="H6" i="74"/>
  <c r="F6" i="74"/>
  <c r="L30" i="71" l="1"/>
  <c r="J30" i="71"/>
  <c r="H30" i="71"/>
  <c r="F30" i="71"/>
  <c r="N29" i="71"/>
  <c r="L29" i="71"/>
  <c r="J29" i="71"/>
  <c r="H29" i="71"/>
  <c r="F29" i="71"/>
  <c r="N28" i="71"/>
  <c r="L28" i="71"/>
  <c r="J28" i="71"/>
  <c r="H28" i="71"/>
  <c r="F28" i="71"/>
  <c r="L27" i="71"/>
  <c r="J27" i="71"/>
  <c r="H27" i="71"/>
  <c r="F27" i="71"/>
  <c r="N26" i="71"/>
  <c r="L26" i="71"/>
  <c r="J26" i="71"/>
  <c r="H26" i="71"/>
  <c r="F26" i="71"/>
  <c r="R25" i="71"/>
  <c r="P25" i="71"/>
  <c r="N25" i="71"/>
  <c r="L25" i="71"/>
  <c r="J25" i="71"/>
  <c r="H25" i="71"/>
  <c r="F25" i="71"/>
  <c r="R24" i="71"/>
  <c r="P24" i="71"/>
  <c r="N24" i="71"/>
  <c r="L24" i="71"/>
  <c r="J24" i="71"/>
  <c r="H24" i="71"/>
  <c r="F24" i="71"/>
  <c r="R23" i="71"/>
  <c r="P23" i="71"/>
  <c r="N23" i="71"/>
  <c r="L23" i="71"/>
  <c r="J23" i="71"/>
  <c r="H23" i="71"/>
  <c r="F23" i="71"/>
  <c r="R22" i="71"/>
  <c r="P22" i="71"/>
  <c r="N22" i="71"/>
  <c r="L22" i="71"/>
  <c r="J22" i="71"/>
  <c r="H22" i="71"/>
  <c r="F22" i="71"/>
  <c r="R21" i="71"/>
  <c r="P21" i="71"/>
  <c r="N21" i="71"/>
  <c r="L21" i="71"/>
  <c r="J21" i="71"/>
  <c r="H21" i="71"/>
  <c r="F21" i="71"/>
  <c r="R20" i="71"/>
  <c r="P20" i="71"/>
  <c r="N20" i="71"/>
  <c r="L20" i="71"/>
  <c r="J20" i="71"/>
  <c r="H20" i="71"/>
  <c r="F20" i="71"/>
  <c r="R19" i="71"/>
  <c r="P19" i="71"/>
  <c r="N19" i="71"/>
  <c r="L19" i="71"/>
  <c r="J19" i="71"/>
  <c r="H19" i="71"/>
  <c r="F19" i="71"/>
  <c r="R18" i="71"/>
  <c r="P18" i="71"/>
  <c r="N18" i="71"/>
  <c r="L18" i="71"/>
  <c r="J18" i="71"/>
  <c r="H18" i="71"/>
  <c r="F18" i="71"/>
  <c r="R17" i="71"/>
  <c r="P17" i="71"/>
  <c r="N17" i="71"/>
  <c r="L17" i="71"/>
  <c r="J17" i="71"/>
  <c r="H17" i="71"/>
  <c r="F17" i="71"/>
  <c r="R16" i="71"/>
  <c r="P16" i="71"/>
  <c r="N16" i="71"/>
  <c r="L16" i="71"/>
  <c r="J16" i="71"/>
  <c r="H16" i="71"/>
  <c r="F16" i="71"/>
  <c r="R15" i="71"/>
  <c r="P15" i="71"/>
  <c r="N15" i="71"/>
  <c r="L15" i="71"/>
  <c r="J15" i="71"/>
  <c r="H15" i="71"/>
  <c r="F15" i="71"/>
  <c r="R14" i="71"/>
  <c r="P14" i="71"/>
  <c r="N14" i="71"/>
  <c r="L14" i="71"/>
  <c r="J14" i="71"/>
  <c r="H14" i="71"/>
  <c r="F14" i="71"/>
  <c r="R13" i="71"/>
  <c r="P13" i="71"/>
  <c r="N13" i="71"/>
  <c r="L13" i="71"/>
  <c r="J13" i="71"/>
  <c r="H13" i="71"/>
  <c r="F13" i="71"/>
  <c r="R12" i="71"/>
  <c r="P12" i="71"/>
  <c r="N12" i="71"/>
  <c r="L12" i="71"/>
  <c r="J12" i="71"/>
  <c r="H12" i="71"/>
  <c r="F12" i="71"/>
  <c r="L11" i="71"/>
  <c r="J11" i="71"/>
  <c r="H11" i="71"/>
  <c r="F11" i="71"/>
  <c r="R10" i="71"/>
  <c r="P10" i="71"/>
  <c r="N10" i="71"/>
  <c r="L10" i="71"/>
  <c r="J10" i="71"/>
  <c r="H10" i="71"/>
  <c r="F10" i="71"/>
  <c r="R9" i="71"/>
  <c r="P9" i="71"/>
  <c r="N9" i="71"/>
  <c r="L9" i="71"/>
  <c r="J9" i="71"/>
  <c r="H9" i="71"/>
  <c r="F9" i="71"/>
  <c r="R8" i="71"/>
  <c r="P8" i="71"/>
  <c r="N8" i="71"/>
  <c r="L8" i="71"/>
  <c r="J8" i="71"/>
  <c r="H8" i="71"/>
  <c r="F8" i="71"/>
  <c r="R7" i="71"/>
  <c r="P7" i="71"/>
  <c r="N7" i="71"/>
  <c r="L7" i="71"/>
  <c r="J7" i="71"/>
  <c r="H7" i="71"/>
  <c r="F7" i="71"/>
  <c r="R6" i="71"/>
  <c r="P6" i="71"/>
  <c r="N6" i="71"/>
  <c r="L6" i="71"/>
  <c r="J6" i="71"/>
  <c r="H6" i="71"/>
  <c r="F6" i="71"/>
  <c r="BF20" i="70" l="1"/>
  <c r="BD20" i="70"/>
  <c r="BB20" i="70"/>
  <c r="AZ20" i="70"/>
  <c r="AX20" i="70"/>
  <c r="AV20" i="70"/>
  <c r="AT20" i="70"/>
  <c r="AR20" i="70"/>
  <c r="AP20" i="70"/>
  <c r="AN20" i="70"/>
  <c r="AL20" i="70"/>
  <c r="AJ20" i="70"/>
  <c r="AH20" i="70"/>
  <c r="AF20" i="70"/>
  <c r="AD20" i="70"/>
  <c r="AB20" i="70"/>
  <c r="Z20" i="70"/>
  <c r="X20" i="70"/>
  <c r="V20" i="70"/>
  <c r="T20" i="70"/>
  <c r="R20" i="70"/>
  <c r="P20" i="70"/>
  <c r="N20" i="70"/>
  <c r="BF19" i="70"/>
  <c r="BD19" i="70"/>
  <c r="BB19" i="70"/>
  <c r="AZ19" i="70"/>
  <c r="AX19" i="70"/>
  <c r="AV19" i="70"/>
  <c r="AT19" i="70"/>
  <c r="AR19" i="70"/>
  <c r="AP19" i="70"/>
  <c r="AN19" i="70"/>
  <c r="AL19" i="70"/>
  <c r="AJ19" i="70"/>
  <c r="AH19" i="70"/>
  <c r="AF19" i="70"/>
  <c r="AD19" i="70"/>
  <c r="AB19" i="70"/>
  <c r="Z19" i="70"/>
  <c r="X19" i="70"/>
  <c r="V19" i="70"/>
  <c r="T19" i="70"/>
  <c r="R19" i="70"/>
  <c r="P19" i="70"/>
  <c r="N19" i="70"/>
  <c r="BF18" i="70"/>
  <c r="BD18" i="70"/>
  <c r="BB18" i="70"/>
  <c r="AZ18" i="70"/>
  <c r="AX18" i="70"/>
  <c r="AV18" i="70"/>
  <c r="AT18" i="70"/>
  <c r="AR18" i="70"/>
  <c r="AP18" i="70"/>
  <c r="AN18" i="70"/>
  <c r="AL18" i="70"/>
  <c r="AJ18" i="70"/>
  <c r="AH18" i="70"/>
  <c r="AF18" i="70"/>
  <c r="AD18" i="70"/>
  <c r="AB18" i="70"/>
  <c r="Z18" i="70"/>
  <c r="X18" i="70"/>
  <c r="V18" i="70"/>
  <c r="T18" i="70"/>
  <c r="R18" i="70"/>
  <c r="P18" i="70"/>
  <c r="N18" i="70"/>
  <c r="BF17" i="70"/>
  <c r="BD17" i="70"/>
  <c r="BB17" i="70"/>
  <c r="AZ17" i="70"/>
  <c r="AX17" i="70"/>
  <c r="AV17" i="70"/>
  <c r="AT17" i="70"/>
  <c r="AR17" i="70"/>
  <c r="AP17" i="70"/>
  <c r="AN17" i="70"/>
  <c r="AL17" i="70"/>
  <c r="AJ17" i="70"/>
  <c r="AH17" i="70"/>
  <c r="AF17" i="70"/>
  <c r="AD17" i="70"/>
  <c r="AB17" i="70"/>
  <c r="Z17" i="70"/>
  <c r="X17" i="70"/>
  <c r="V17" i="70"/>
  <c r="T17" i="70"/>
  <c r="R17" i="70"/>
  <c r="P17" i="70"/>
  <c r="N17" i="70"/>
  <c r="BF16" i="70"/>
  <c r="BD16" i="70"/>
  <c r="BB16" i="70"/>
  <c r="AZ16" i="70"/>
  <c r="AX16" i="70"/>
  <c r="AV16" i="70"/>
  <c r="AT16" i="70"/>
  <c r="AR16" i="70"/>
  <c r="AP16" i="70"/>
  <c r="AN16" i="70"/>
  <c r="AL16" i="70"/>
  <c r="AJ16" i="70"/>
  <c r="AH16" i="70"/>
  <c r="AF16" i="70"/>
  <c r="AD16" i="70"/>
  <c r="AB16" i="70"/>
  <c r="Z16" i="70"/>
  <c r="X16" i="70"/>
  <c r="V16" i="70"/>
  <c r="T16" i="70"/>
  <c r="R16" i="70"/>
  <c r="P16" i="70"/>
  <c r="N16" i="70"/>
  <c r="BF15" i="70"/>
  <c r="BD15" i="70"/>
  <c r="BB15" i="70"/>
  <c r="AZ15" i="70"/>
  <c r="AX15" i="70"/>
  <c r="AV15" i="70"/>
  <c r="AT15" i="70"/>
  <c r="AR15" i="70"/>
  <c r="AP15" i="70"/>
  <c r="AN15" i="70"/>
  <c r="AL15" i="70"/>
  <c r="AJ15" i="70"/>
  <c r="AH15" i="70"/>
  <c r="AF15" i="70"/>
  <c r="AD15" i="70"/>
  <c r="AB15" i="70"/>
  <c r="Z15" i="70"/>
  <c r="X15" i="70"/>
  <c r="V15" i="70"/>
  <c r="T15" i="70"/>
  <c r="R15" i="70"/>
  <c r="P15" i="70"/>
  <c r="N15" i="70"/>
  <c r="BF14" i="70"/>
  <c r="BD14" i="70"/>
  <c r="BB14" i="70"/>
  <c r="AZ14" i="70"/>
  <c r="AX14" i="70"/>
  <c r="AV14" i="70"/>
  <c r="AT14" i="70"/>
  <c r="AR14" i="70"/>
  <c r="AP14" i="70"/>
  <c r="AN14" i="70"/>
  <c r="AL14" i="70"/>
  <c r="AJ14" i="70"/>
  <c r="AH14" i="70"/>
  <c r="AF14" i="70"/>
  <c r="AD14" i="70"/>
  <c r="AB14" i="70"/>
  <c r="Z14" i="70"/>
  <c r="X14" i="70"/>
  <c r="V14" i="70"/>
  <c r="T14" i="70"/>
  <c r="R14" i="70"/>
  <c r="P14" i="70"/>
  <c r="N14" i="70"/>
  <c r="BF13" i="70"/>
  <c r="BD13" i="70"/>
  <c r="BB13" i="70"/>
  <c r="AZ13" i="70"/>
  <c r="AX13" i="70"/>
  <c r="AV13" i="70"/>
  <c r="AT13" i="70"/>
  <c r="AR13" i="70"/>
  <c r="AP13" i="70"/>
  <c r="AN13" i="70"/>
  <c r="AL13" i="70"/>
  <c r="AJ13" i="70"/>
  <c r="AH13" i="70"/>
  <c r="AF13" i="70"/>
  <c r="AD13" i="70"/>
  <c r="AB13" i="70"/>
  <c r="Z13" i="70"/>
  <c r="X13" i="70"/>
  <c r="V13" i="70"/>
  <c r="T13" i="70"/>
  <c r="R13" i="70"/>
  <c r="P13" i="70"/>
  <c r="N13" i="70"/>
  <c r="BF12" i="70"/>
  <c r="BD12" i="70"/>
  <c r="BB12" i="70"/>
  <c r="AZ12" i="70"/>
  <c r="AX12" i="70"/>
  <c r="AV12" i="70"/>
  <c r="AT12" i="70"/>
  <c r="AR12" i="70"/>
  <c r="AP12" i="70"/>
  <c r="AN12" i="70"/>
  <c r="AL12" i="70"/>
  <c r="AJ12" i="70"/>
  <c r="AH12" i="70"/>
  <c r="AF12" i="70"/>
  <c r="AD12" i="70"/>
  <c r="AB12" i="70"/>
  <c r="Z12" i="70"/>
  <c r="X12" i="70"/>
  <c r="V12" i="70"/>
  <c r="T12" i="70"/>
  <c r="R12" i="70"/>
  <c r="P12" i="70"/>
  <c r="N12" i="70"/>
  <c r="AX11" i="70"/>
  <c r="AV11" i="70"/>
  <c r="AT11" i="70"/>
  <c r="AR11" i="70"/>
  <c r="AP11" i="70"/>
  <c r="AN11" i="70"/>
  <c r="AL11" i="70"/>
  <c r="AJ11" i="70"/>
  <c r="AH11" i="70"/>
  <c r="AF11" i="70"/>
  <c r="AD11" i="70"/>
  <c r="AB11" i="70"/>
  <c r="Z11" i="70"/>
  <c r="X11" i="70"/>
  <c r="V11" i="70"/>
  <c r="T11" i="70"/>
  <c r="R11" i="70"/>
  <c r="P11" i="70"/>
  <c r="N11" i="70"/>
  <c r="AH10" i="70"/>
  <c r="AF10" i="70"/>
  <c r="AD10" i="70"/>
  <c r="AB10" i="70"/>
  <c r="Z10" i="70"/>
  <c r="X10" i="70"/>
  <c r="V10" i="70"/>
  <c r="T10" i="70"/>
  <c r="R10" i="70"/>
  <c r="P10" i="70"/>
  <c r="N10" i="70"/>
  <c r="AN9" i="70"/>
  <c r="AL9" i="70"/>
  <c r="AJ9" i="70"/>
  <c r="AH9" i="70"/>
  <c r="AF9" i="70"/>
  <c r="AD9" i="70"/>
  <c r="AB9" i="70"/>
  <c r="Z9" i="70"/>
  <c r="X9" i="70"/>
  <c r="V9" i="70"/>
  <c r="T9" i="70"/>
  <c r="R9" i="70"/>
  <c r="P9" i="70"/>
  <c r="N9" i="70"/>
  <c r="AF8" i="70"/>
  <c r="AD8" i="70"/>
  <c r="AB8" i="70"/>
  <c r="Z8" i="70"/>
  <c r="X8" i="70"/>
  <c r="V8" i="70"/>
  <c r="T8" i="70"/>
  <c r="R8" i="70"/>
  <c r="P8" i="70"/>
  <c r="N8" i="70"/>
  <c r="AD7" i="70"/>
  <c r="AB7" i="70"/>
  <c r="Z7" i="70"/>
  <c r="X7" i="70"/>
  <c r="V7" i="70"/>
  <c r="T7" i="70"/>
  <c r="R7" i="70"/>
  <c r="P7" i="70"/>
  <c r="N7" i="70"/>
  <c r="AD6" i="70"/>
  <c r="AB6" i="70"/>
  <c r="Z6" i="70"/>
  <c r="X6" i="70"/>
  <c r="V6" i="70"/>
  <c r="T6" i="70"/>
  <c r="R6" i="70"/>
  <c r="P6" i="70"/>
  <c r="N6" i="70"/>
  <c r="AX20" i="66" l="1"/>
  <c r="AV20" i="66"/>
  <c r="AT20" i="66"/>
  <c r="AR20" i="66"/>
  <c r="AP20" i="66"/>
  <c r="AN20" i="66"/>
  <c r="AL20" i="66"/>
  <c r="AJ20" i="66"/>
  <c r="AH20" i="66"/>
  <c r="AF20" i="66"/>
  <c r="AD20" i="66"/>
  <c r="AB20" i="66"/>
  <c r="Z20" i="66"/>
  <c r="X20" i="66"/>
  <c r="V20" i="66"/>
  <c r="T20" i="66"/>
  <c r="R20" i="66"/>
  <c r="P20" i="66"/>
  <c r="N20" i="66"/>
  <c r="L20" i="66"/>
  <c r="J20" i="66"/>
  <c r="H20" i="66"/>
  <c r="F20" i="66"/>
  <c r="AX19" i="66"/>
  <c r="AV19" i="66"/>
  <c r="AT19" i="66"/>
  <c r="AR19" i="66"/>
  <c r="AP19" i="66"/>
  <c r="AN19" i="66"/>
  <c r="AL19" i="66"/>
  <c r="AJ19" i="66"/>
  <c r="AH19" i="66"/>
  <c r="AF19" i="66"/>
  <c r="AD19" i="66"/>
  <c r="AB19" i="66"/>
  <c r="Z19" i="66"/>
  <c r="X19" i="66"/>
  <c r="V19" i="66"/>
  <c r="T19" i="66"/>
  <c r="R19" i="66"/>
  <c r="P19" i="66"/>
  <c r="N19" i="66"/>
  <c r="L19" i="66"/>
  <c r="J19" i="66"/>
  <c r="H19" i="66"/>
  <c r="F19" i="66"/>
  <c r="AX18" i="66"/>
  <c r="AV18" i="66"/>
  <c r="AT18" i="66"/>
  <c r="AR18" i="66"/>
  <c r="AP18" i="66"/>
  <c r="AN18" i="66"/>
  <c r="AL18" i="66"/>
  <c r="AJ18" i="66"/>
  <c r="AH18" i="66"/>
  <c r="AF18" i="66"/>
  <c r="AD18" i="66"/>
  <c r="AB18" i="66"/>
  <c r="Z18" i="66"/>
  <c r="X18" i="66"/>
  <c r="V18" i="66"/>
  <c r="T18" i="66"/>
  <c r="R18" i="66"/>
  <c r="P18" i="66"/>
  <c r="N18" i="66"/>
  <c r="L18" i="66"/>
  <c r="J18" i="66"/>
  <c r="H18" i="66"/>
  <c r="F18" i="66"/>
  <c r="AX17" i="66"/>
  <c r="AV17" i="66"/>
  <c r="AT17" i="66"/>
  <c r="AR17" i="66"/>
  <c r="AP17" i="66"/>
  <c r="AN17" i="66"/>
  <c r="AL17" i="66"/>
  <c r="AJ17" i="66"/>
  <c r="AH17" i="66"/>
  <c r="AF17" i="66"/>
  <c r="AD17" i="66"/>
  <c r="AB17" i="66"/>
  <c r="Z17" i="66"/>
  <c r="X17" i="66"/>
  <c r="V17" i="66"/>
  <c r="T17" i="66"/>
  <c r="R17" i="66"/>
  <c r="P17" i="66"/>
  <c r="N17" i="66"/>
  <c r="L17" i="66"/>
  <c r="J17" i="66"/>
  <c r="H17" i="66"/>
  <c r="F17" i="66"/>
  <c r="AX16" i="66"/>
  <c r="AV16" i="66"/>
  <c r="AT16" i="66"/>
  <c r="AR16" i="66"/>
  <c r="AP16" i="66"/>
  <c r="AN16" i="66"/>
  <c r="AL16" i="66"/>
  <c r="AJ16" i="66"/>
  <c r="AH16" i="66"/>
  <c r="AF16" i="66"/>
  <c r="AD16" i="66"/>
  <c r="AB16" i="66"/>
  <c r="Z16" i="66"/>
  <c r="X16" i="66"/>
  <c r="V16" i="66"/>
  <c r="T16" i="66"/>
  <c r="R16" i="66"/>
  <c r="P16" i="66"/>
  <c r="N16" i="66"/>
  <c r="L16" i="66"/>
  <c r="J16" i="66"/>
  <c r="H16" i="66"/>
  <c r="F16" i="66"/>
  <c r="AX15" i="66"/>
  <c r="AV15" i="66"/>
  <c r="AT15" i="66"/>
  <c r="AR15" i="66"/>
  <c r="AP15" i="66"/>
  <c r="AN15" i="66"/>
  <c r="AL15" i="66"/>
  <c r="AJ15" i="66"/>
  <c r="AH15" i="66"/>
  <c r="AF15" i="66"/>
  <c r="AD15" i="66"/>
  <c r="AB15" i="66"/>
  <c r="Z15" i="66"/>
  <c r="X15" i="66"/>
  <c r="V15" i="66"/>
  <c r="T15" i="66"/>
  <c r="R15" i="66"/>
  <c r="P15" i="66"/>
  <c r="N15" i="66"/>
  <c r="L15" i="66"/>
  <c r="J15" i="66"/>
  <c r="H15" i="66"/>
  <c r="F15" i="66"/>
  <c r="AX14" i="66"/>
  <c r="AV14" i="66"/>
  <c r="AT14" i="66"/>
  <c r="AR14" i="66"/>
  <c r="AP14" i="66"/>
  <c r="AN14" i="66"/>
  <c r="AL14" i="66"/>
  <c r="AJ14" i="66"/>
  <c r="AH14" i="66"/>
  <c r="AF14" i="66"/>
  <c r="AD14" i="66"/>
  <c r="AB14" i="66"/>
  <c r="Z14" i="66"/>
  <c r="X14" i="66"/>
  <c r="V14" i="66"/>
  <c r="T14" i="66"/>
  <c r="R14" i="66"/>
  <c r="P14" i="66"/>
  <c r="N14" i="66"/>
  <c r="L14" i="66"/>
  <c r="J14" i="66"/>
  <c r="H14" i="66"/>
  <c r="F14" i="66"/>
  <c r="AX13" i="66"/>
  <c r="AV13" i="66"/>
  <c r="AT13" i="66"/>
  <c r="AR13" i="66"/>
  <c r="AP13" i="66"/>
  <c r="AN13" i="66"/>
  <c r="AL13" i="66"/>
  <c r="AJ13" i="66"/>
  <c r="AH13" i="66"/>
  <c r="AF13" i="66"/>
  <c r="AD13" i="66"/>
  <c r="AB13" i="66"/>
  <c r="Z13" i="66"/>
  <c r="X13" i="66"/>
  <c r="V13" i="66"/>
  <c r="T13" i="66"/>
  <c r="R13" i="66"/>
  <c r="P13" i="66"/>
  <c r="N13" i="66"/>
  <c r="L13" i="66"/>
  <c r="J13" i="66"/>
  <c r="H13" i="66"/>
  <c r="F13" i="66"/>
  <c r="AX12" i="66"/>
  <c r="AV12" i="66"/>
  <c r="AT12" i="66"/>
  <c r="AR12" i="66"/>
  <c r="AP12" i="66"/>
  <c r="AN12" i="66"/>
  <c r="AL12" i="66"/>
  <c r="AJ12" i="66"/>
  <c r="AH12" i="66"/>
  <c r="AF12" i="66"/>
  <c r="AD12" i="66"/>
  <c r="AB12" i="66"/>
  <c r="Z12" i="66"/>
  <c r="X12" i="66"/>
  <c r="V12" i="66"/>
  <c r="T12" i="66"/>
  <c r="R12" i="66"/>
  <c r="P12" i="66"/>
  <c r="N12" i="66"/>
  <c r="L12" i="66"/>
  <c r="J12" i="66"/>
  <c r="H12" i="66"/>
  <c r="F12" i="66"/>
  <c r="AP11" i="66"/>
  <c r="AN11" i="66"/>
  <c r="AL11" i="66"/>
  <c r="AJ11" i="66"/>
  <c r="AH11" i="66"/>
  <c r="AF11" i="66"/>
  <c r="AD11" i="66"/>
  <c r="AB11" i="66"/>
  <c r="Z11" i="66"/>
  <c r="X11" i="66"/>
  <c r="V11" i="66"/>
  <c r="T11" i="66"/>
  <c r="R11" i="66"/>
  <c r="P11" i="66"/>
  <c r="N11" i="66"/>
  <c r="L11" i="66"/>
  <c r="J11" i="66"/>
  <c r="H11" i="66"/>
  <c r="F11" i="66"/>
  <c r="Z10" i="66"/>
  <c r="X10" i="66"/>
  <c r="V10" i="66"/>
  <c r="T10" i="66"/>
  <c r="R10" i="66"/>
  <c r="P10" i="66"/>
  <c r="N10" i="66"/>
  <c r="L10" i="66"/>
  <c r="J10" i="66"/>
  <c r="H10" i="66"/>
  <c r="F10" i="66"/>
  <c r="AF9" i="66"/>
  <c r="AD9" i="66"/>
  <c r="AB9" i="66"/>
  <c r="Z9" i="66"/>
  <c r="X9" i="66"/>
  <c r="V9" i="66"/>
  <c r="T9" i="66"/>
  <c r="R9" i="66"/>
  <c r="P9" i="66"/>
  <c r="N9" i="66"/>
  <c r="L9" i="66"/>
  <c r="J9" i="66"/>
  <c r="H9" i="66"/>
  <c r="F9" i="66"/>
  <c r="X8" i="66"/>
  <c r="V8" i="66"/>
  <c r="T8" i="66"/>
  <c r="R8" i="66"/>
  <c r="P8" i="66"/>
  <c r="N8" i="66"/>
  <c r="L8" i="66"/>
  <c r="J8" i="66"/>
  <c r="H8" i="66"/>
  <c r="F8" i="66"/>
  <c r="V7" i="66"/>
  <c r="T7" i="66"/>
  <c r="R7" i="66"/>
  <c r="P7" i="66"/>
  <c r="N7" i="66"/>
  <c r="L7" i="66"/>
  <c r="J7" i="66"/>
  <c r="H7" i="66"/>
  <c r="F7" i="66"/>
  <c r="V6" i="66"/>
  <c r="T6" i="66"/>
  <c r="R6" i="66"/>
  <c r="P6" i="66"/>
  <c r="N6" i="66"/>
  <c r="L6" i="66"/>
  <c r="J6" i="66"/>
  <c r="H6" i="66"/>
  <c r="F6" i="66"/>
  <c r="O24" i="65" l="1"/>
  <c r="N24" i="65"/>
  <c r="K24" i="65"/>
  <c r="L24" i="65" s="1"/>
  <c r="H24" i="65"/>
  <c r="I24" i="65" s="1"/>
  <c r="N23" i="65"/>
  <c r="O23" i="65" s="1"/>
  <c r="K23" i="65"/>
  <c r="L23" i="65" s="1"/>
  <c r="H23" i="65"/>
  <c r="I23" i="65" s="1"/>
  <c r="O22" i="65"/>
  <c r="N22" i="65"/>
  <c r="K22" i="65"/>
  <c r="L22" i="65" s="1"/>
  <c r="H22" i="65"/>
  <c r="I22" i="65" s="1"/>
  <c r="N21" i="65"/>
  <c r="O21" i="65" s="1"/>
  <c r="K21" i="65"/>
  <c r="L21" i="65" s="1"/>
  <c r="H21" i="65"/>
  <c r="I21" i="65" s="1"/>
  <c r="O20" i="65"/>
  <c r="N20" i="65"/>
  <c r="K20" i="65"/>
  <c r="L20" i="65" s="1"/>
  <c r="H20" i="65"/>
  <c r="I20" i="65" s="1"/>
  <c r="N19" i="65"/>
  <c r="O19" i="65" s="1"/>
  <c r="K19" i="65"/>
  <c r="L19" i="65" s="1"/>
  <c r="H19" i="65"/>
  <c r="I19" i="65" s="1"/>
  <c r="O18" i="65"/>
  <c r="N18" i="65"/>
  <c r="K18" i="65"/>
  <c r="L18" i="65" s="1"/>
  <c r="H18" i="65"/>
  <c r="I18" i="65" s="1"/>
  <c r="N17" i="65"/>
  <c r="O17" i="65" s="1"/>
  <c r="K17" i="65"/>
  <c r="L17" i="65" s="1"/>
  <c r="H17" i="65"/>
  <c r="I17" i="65" s="1"/>
  <c r="O16" i="65"/>
  <c r="N16" i="65"/>
  <c r="K16" i="65"/>
  <c r="L16" i="65" s="1"/>
  <c r="H16" i="65"/>
  <c r="I16" i="65" s="1"/>
  <c r="N15" i="65"/>
  <c r="O15" i="65" s="1"/>
  <c r="K15" i="65"/>
  <c r="L15" i="65" s="1"/>
  <c r="H15" i="65"/>
  <c r="I15" i="65" s="1"/>
  <c r="O14" i="65"/>
  <c r="N14" i="65"/>
  <c r="K14" i="65"/>
  <c r="L14" i="65" s="1"/>
  <c r="H14" i="65"/>
  <c r="I14" i="65" s="1"/>
  <c r="N13" i="65"/>
  <c r="O13" i="65" s="1"/>
  <c r="K13" i="65"/>
  <c r="L13" i="65" s="1"/>
  <c r="H13" i="65"/>
  <c r="I13" i="65" s="1"/>
  <c r="O12" i="65"/>
  <c r="N12" i="65"/>
  <c r="K12" i="65"/>
  <c r="L12" i="65" s="1"/>
  <c r="H12" i="65"/>
  <c r="I12" i="65" s="1"/>
  <c r="N11" i="65"/>
  <c r="O11" i="65" s="1"/>
  <c r="K11" i="65"/>
  <c r="L11" i="65" s="1"/>
  <c r="H11" i="65"/>
  <c r="I11" i="65" s="1"/>
  <c r="O10" i="65"/>
  <c r="N10" i="65"/>
  <c r="K10" i="65"/>
  <c r="L10" i="65" s="1"/>
  <c r="H10" i="65"/>
  <c r="I10" i="65" s="1"/>
  <c r="N9" i="65"/>
  <c r="O9" i="65" s="1"/>
  <c r="K9" i="65"/>
  <c r="L9" i="65" s="1"/>
  <c r="H9" i="65"/>
  <c r="I9" i="65" s="1"/>
  <c r="O8" i="65"/>
  <c r="N8" i="65"/>
  <c r="K8" i="65"/>
  <c r="L8" i="65" s="1"/>
  <c r="H8" i="65"/>
  <c r="I8" i="65" s="1"/>
  <c r="N7" i="65"/>
  <c r="O7" i="65" s="1"/>
  <c r="K7" i="65"/>
  <c r="L7" i="65" s="1"/>
  <c r="H7" i="65"/>
  <c r="I7" i="65" s="1"/>
  <c r="D29" i="61" l="1"/>
  <c r="D28" i="61"/>
  <c r="D27" i="61"/>
  <c r="C29" i="61"/>
  <c r="B29" i="61"/>
  <c r="C28" i="61"/>
  <c r="B28" i="61"/>
  <c r="C27" i="61"/>
  <c r="B27" i="61"/>
  <c r="D29" i="60"/>
  <c r="C29" i="60"/>
  <c r="B29" i="60"/>
  <c r="D28" i="60"/>
  <c r="C28" i="60"/>
  <c r="B28" i="60"/>
  <c r="D27" i="60"/>
  <c r="C27" i="60"/>
  <c r="B27" i="60"/>
  <c r="G13" i="59"/>
  <c r="G12" i="59"/>
  <c r="G11" i="59"/>
  <c r="G10" i="59"/>
  <c r="G9" i="59"/>
  <c r="G8" i="59"/>
  <c r="G7" i="59"/>
  <c r="G6" i="59"/>
  <c r="G13" i="63" l="1"/>
  <c r="H13" i="63" s="1"/>
  <c r="G12" i="63"/>
  <c r="H12" i="63" s="1"/>
  <c r="G11" i="63"/>
  <c r="H11" i="63" s="1"/>
  <c r="G10" i="63"/>
  <c r="H10" i="63" s="1"/>
  <c r="G9" i="63"/>
  <c r="H9" i="63" s="1"/>
  <c r="G8" i="63"/>
  <c r="H8" i="63" s="1"/>
  <c r="G7" i="63"/>
  <c r="H7" i="63" s="1"/>
  <c r="G6" i="63"/>
  <c r="H6" i="63" s="1"/>
  <c r="S94" i="57" l="1"/>
  <c r="S93" i="57"/>
  <c r="S92" i="57"/>
  <c r="S91" i="57"/>
  <c r="S90" i="57"/>
  <c r="S89" i="57"/>
  <c r="S88" i="57"/>
  <c r="S87" i="57"/>
  <c r="S86" i="57"/>
  <c r="S85" i="57"/>
  <c r="S84" i="57"/>
  <c r="S83" i="57"/>
  <c r="S82" i="57"/>
  <c r="S81" i="57"/>
  <c r="S80" i="57"/>
  <c r="S79" i="57"/>
  <c r="S78" i="57"/>
  <c r="S77" i="57"/>
  <c r="S76" i="57"/>
  <c r="S75" i="57"/>
  <c r="S74" i="57"/>
  <c r="S73" i="57"/>
  <c r="S72" i="57"/>
  <c r="S71" i="57"/>
  <c r="S70" i="57"/>
  <c r="S69" i="57"/>
  <c r="S68" i="57"/>
  <c r="S67" i="57"/>
  <c r="S66" i="57"/>
  <c r="S65" i="57"/>
  <c r="S64" i="57"/>
  <c r="S63" i="57"/>
  <c r="S62" i="57"/>
  <c r="S61" i="57"/>
  <c r="S60" i="57"/>
  <c r="S59" i="57"/>
  <c r="S58" i="57"/>
  <c r="S57" i="57"/>
  <c r="S56" i="57"/>
  <c r="S55" i="57"/>
  <c r="S54" i="57"/>
  <c r="S53" i="57"/>
  <c r="S52" i="57"/>
  <c r="S51" i="57"/>
  <c r="S50" i="57"/>
  <c r="S49" i="57"/>
  <c r="S48" i="57"/>
  <c r="S47" i="57"/>
  <c r="S46" i="57"/>
  <c r="S45" i="57"/>
  <c r="S44" i="57"/>
  <c r="S43" i="57"/>
  <c r="S42" i="57"/>
  <c r="S41" i="57"/>
  <c r="R39" i="57"/>
  <c r="R37" i="57"/>
  <c r="R35" i="57"/>
  <c r="R33" i="57"/>
  <c r="R31" i="57"/>
  <c r="R29" i="57"/>
  <c r="R27" i="57"/>
  <c r="R25" i="57"/>
  <c r="R23" i="57"/>
  <c r="R21" i="57"/>
  <c r="R19" i="57"/>
  <c r="R17" i="57"/>
  <c r="R15" i="57"/>
  <c r="R13" i="57"/>
  <c r="R11" i="57"/>
  <c r="R9" i="57"/>
  <c r="R7" i="57"/>
  <c r="R5" i="57"/>
  <c r="AD42" i="42"/>
  <c r="AB42" i="42"/>
  <c r="Z42" i="42"/>
  <c r="X42" i="42"/>
  <c r="V42" i="42"/>
  <c r="T42" i="42"/>
  <c r="R42" i="42"/>
  <c r="P42" i="42"/>
  <c r="N42" i="42"/>
  <c r="AD41" i="42"/>
  <c r="AB41" i="42"/>
  <c r="Z41" i="42"/>
  <c r="X41" i="42"/>
  <c r="V41" i="42"/>
  <c r="T41" i="42"/>
  <c r="R41" i="42"/>
  <c r="P41" i="42"/>
  <c r="N41" i="42"/>
  <c r="AD40" i="42"/>
  <c r="AB40" i="42"/>
  <c r="Z40" i="42"/>
  <c r="X40" i="42"/>
  <c r="V40" i="42"/>
  <c r="T40" i="42"/>
  <c r="R40" i="42"/>
  <c r="P40" i="42"/>
  <c r="N40" i="42"/>
  <c r="X39" i="42"/>
  <c r="V39" i="42"/>
  <c r="T39" i="42"/>
  <c r="R39" i="42"/>
  <c r="P39" i="42"/>
  <c r="N39" i="42"/>
  <c r="AD38" i="42"/>
  <c r="AB38" i="42"/>
  <c r="Z38" i="42"/>
  <c r="X38" i="42"/>
  <c r="V38" i="42"/>
  <c r="T38" i="42"/>
  <c r="R38" i="42"/>
  <c r="P38" i="42"/>
  <c r="N38" i="42"/>
  <c r="AD37" i="42"/>
  <c r="AB37" i="42"/>
  <c r="Z37" i="42"/>
  <c r="X37" i="42"/>
  <c r="V37" i="42"/>
  <c r="T37" i="42"/>
  <c r="R37" i="42"/>
  <c r="P37" i="42"/>
  <c r="N37" i="42"/>
  <c r="AD36" i="42"/>
  <c r="AB36" i="42"/>
  <c r="Z36" i="42"/>
  <c r="X36" i="42"/>
  <c r="V36" i="42"/>
  <c r="T36" i="42"/>
  <c r="R36" i="42"/>
  <c r="P36" i="42"/>
  <c r="N36" i="42"/>
  <c r="AD35" i="42"/>
  <c r="AB35" i="42"/>
  <c r="Z35" i="42"/>
  <c r="X35" i="42"/>
  <c r="V35" i="42"/>
  <c r="T35" i="42"/>
  <c r="R35" i="42"/>
  <c r="P35" i="42"/>
  <c r="N35" i="42"/>
  <c r="AD34" i="42"/>
  <c r="AB34" i="42"/>
  <c r="Z34" i="42"/>
  <c r="X34" i="42"/>
  <c r="V34" i="42"/>
  <c r="T34" i="42"/>
  <c r="R34" i="42"/>
  <c r="P34" i="42"/>
  <c r="N34" i="42"/>
  <c r="AD33" i="42"/>
  <c r="AB33" i="42"/>
  <c r="Z33" i="42"/>
  <c r="X33" i="42"/>
  <c r="V33" i="42"/>
  <c r="T33" i="42"/>
  <c r="R33" i="42"/>
  <c r="P33" i="42"/>
  <c r="N33" i="42"/>
  <c r="AD32" i="42"/>
  <c r="AB32" i="42"/>
  <c r="Z32" i="42"/>
  <c r="X32" i="42"/>
  <c r="V32" i="42"/>
  <c r="T32" i="42"/>
  <c r="R32" i="42"/>
  <c r="P32" i="42"/>
  <c r="N32" i="42"/>
  <c r="AD31" i="42"/>
  <c r="AB31" i="42"/>
  <c r="Z31" i="42"/>
  <c r="X31" i="42"/>
  <c r="V31" i="42"/>
  <c r="T31" i="42"/>
  <c r="R31" i="42"/>
  <c r="P31" i="42"/>
  <c r="N31" i="42"/>
  <c r="AD30" i="42"/>
  <c r="AB30" i="42"/>
  <c r="Z30" i="42"/>
  <c r="X30" i="42"/>
  <c r="V30" i="42"/>
  <c r="T30" i="42"/>
  <c r="R30" i="42"/>
  <c r="P30" i="42"/>
  <c r="N30" i="42"/>
  <c r="AD29" i="42"/>
  <c r="AB29" i="42"/>
  <c r="Z29" i="42"/>
  <c r="X29" i="42"/>
  <c r="V29" i="42"/>
  <c r="T29" i="42"/>
  <c r="R29" i="42"/>
  <c r="P29" i="42"/>
  <c r="N29" i="42"/>
  <c r="AD28" i="42"/>
  <c r="AB28" i="42"/>
  <c r="Z28" i="42"/>
  <c r="X28" i="42"/>
  <c r="V28" i="42"/>
  <c r="T28" i="42"/>
  <c r="R28" i="42"/>
  <c r="P28" i="42"/>
  <c r="N28" i="42"/>
  <c r="AF21" i="42"/>
  <c r="AD21" i="42"/>
  <c r="AB21" i="42"/>
  <c r="Z21" i="42"/>
  <c r="X21" i="42"/>
  <c r="V21" i="42"/>
  <c r="T21" i="42"/>
  <c r="R21" i="42"/>
  <c r="P21" i="42"/>
  <c r="N21" i="42"/>
  <c r="AF20" i="42"/>
  <c r="AD20" i="42"/>
  <c r="AB20" i="42"/>
  <c r="Z20" i="42"/>
  <c r="X20" i="42"/>
  <c r="V20" i="42"/>
  <c r="T20" i="42"/>
  <c r="R20" i="42"/>
  <c r="P20" i="42"/>
  <c r="N20" i="42"/>
  <c r="AF19" i="42"/>
  <c r="AD19" i="42"/>
  <c r="AB19" i="42"/>
  <c r="Z19" i="42"/>
  <c r="X19" i="42"/>
  <c r="V19" i="42"/>
  <c r="T19" i="42"/>
  <c r="R19" i="42"/>
  <c r="P19" i="42"/>
  <c r="N19" i="42"/>
  <c r="X18" i="42"/>
  <c r="V18" i="42"/>
  <c r="T18" i="42"/>
  <c r="R18" i="42"/>
  <c r="P18" i="42"/>
  <c r="N18" i="42"/>
  <c r="AF17" i="42"/>
  <c r="AD17" i="42"/>
  <c r="AB17" i="42"/>
  <c r="Z17" i="42"/>
  <c r="X17" i="42"/>
  <c r="V17" i="42"/>
  <c r="T17" i="42"/>
  <c r="R17" i="42"/>
  <c r="P17" i="42"/>
  <c r="N17" i="42"/>
  <c r="AF16" i="42"/>
  <c r="AD16" i="42"/>
  <c r="AB16" i="42"/>
  <c r="Z16" i="42"/>
  <c r="X16" i="42"/>
  <c r="V16" i="42"/>
  <c r="T16" i="42"/>
  <c r="R16" i="42"/>
  <c r="P16" i="42"/>
  <c r="N16" i="42"/>
  <c r="AF15" i="42"/>
  <c r="AD15" i="42"/>
  <c r="AB15" i="42"/>
  <c r="Z15" i="42"/>
  <c r="X15" i="42"/>
  <c r="V15" i="42"/>
  <c r="T15" i="42"/>
  <c r="R15" i="42"/>
  <c r="P15" i="42"/>
  <c r="N15" i="42"/>
  <c r="AF14" i="42"/>
  <c r="AD14" i="42"/>
  <c r="AB14" i="42"/>
  <c r="Z14" i="42"/>
  <c r="X14" i="42"/>
  <c r="V14" i="42"/>
  <c r="T14" i="42"/>
  <c r="R14" i="42"/>
  <c r="P14" i="42"/>
  <c r="N14" i="42"/>
  <c r="AF13" i="42"/>
  <c r="AD13" i="42"/>
  <c r="AB13" i="42"/>
  <c r="Z13" i="42"/>
  <c r="X13" i="42"/>
  <c r="V13" i="42"/>
  <c r="T13" i="42"/>
  <c r="R13" i="42"/>
  <c r="P13" i="42"/>
  <c r="N13" i="42"/>
  <c r="AF12" i="42"/>
  <c r="AD12" i="42"/>
  <c r="AB12" i="42"/>
  <c r="Z12" i="42"/>
  <c r="X12" i="42"/>
  <c r="V12" i="42"/>
  <c r="T12" i="42"/>
  <c r="R12" i="42"/>
  <c r="P12" i="42"/>
  <c r="N12" i="42"/>
  <c r="AF11" i="42"/>
  <c r="AD11" i="42"/>
  <c r="AB11" i="42"/>
  <c r="Z11" i="42"/>
  <c r="X11" i="42"/>
  <c r="V11" i="42"/>
  <c r="T11" i="42"/>
  <c r="R11" i="42"/>
  <c r="P11" i="42"/>
  <c r="N11" i="42"/>
  <c r="AF10" i="42"/>
  <c r="AD10" i="42"/>
  <c r="AB10" i="42"/>
  <c r="Z10" i="42"/>
  <c r="X10" i="42"/>
  <c r="V10" i="42"/>
  <c r="T10" i="42"/>
  <c r="R10" i="42"/>
  <c r="P10" i="42"/>
  <c r="N10" i="42"/>
  <c r="AF9" i="42"/>
  <c r="AD9" i="42"/>
  <c r="AB9" i="42"/>
  <c r="Z9" i="42"/>
  <c r="X9" i="42"/>
  <c r="V9" i="42"/>
  <c r="T9" i="42"/>
  <c r="R9" i="42"/>
  <c r="P9" i="42"/>
  <c r="N9" i="42"/>
  <c r="AF8" i="42"/>
  <c r="AD8" i="42"/>
  <c r="AB8" i="42"/>
  <c r="Z8" i="42"/>
  <c r="X8" i="42"/>
  <c r="V8" i="42"/>
  <c r="T8" i="42"/>
  <c r="R8" i="42"/>
  <c r="P8" i="42"/>
  <c r="N8" i="42"/>
  <c r="AF7" i="42"/>
  <c r="AD7" i="42"/>
  <c r="AB7" i="42"/>
  <c r="Z7" i="42"/>
  <c r="X7" i="42"/>
  <c r="V7" i="42"/>
  <c r="T7" i="42"/>
  <c r="R7" i="42"/>
  <c r="P7" i="42"/>
  <c r="N7" i="42"/>
  <c r="V21" i="46"/>
  <c r="T21" i="46"/>
  <c r="R21" i="46"/>
  <c r="P21" i="46"/>
  <c r="N21" i="46"/>
  <c r="V20" i="46"/>
  <c r="T20" i="46"/>
  <c r="R20" i="46"/>
  <c r="P20" i="46"/>
  <c r="N20" i="46"/>
  <c r="V19" i="46"/>
  <c r="T19" i="46"/>
  <c r="R19" i="46"/>
  <c r="P19" i="46"/>
  <c r="N19" i="46"/>
  <c r="R18" i="46"/>
  <c r="P18" i="46"/>
  <c r="N18" i="46"/>
  <c r="P17" i="46"/>
  <c r="N17" i="46"/>
  <c r="V16" i="46"/>
  <c r="T16" i="46"/>
  <c r="R16" i="46"/>
  <c r="P16" i="46"/>
  <c r="N16" i="46"/>
  <c r="R15" i="46"/>
  <c r="P15" i="46"/>
  <c r="N15" i="46"/>
  <c r="V14" i="46"/>
  <c r="T14" i="46"/>
  <c r="R14" i="46"/>
  <c r="P14" i="46"/>
  <c r="N14" i="46"/>
  <c r="R13" i="46"/>
  <c r="P13" i="46"/>
  <c r="N13" i="46"/>
  <c r="V12" i="46"/>
  <c r="T12" i="46"/>
  <c r="R12" i="46"/>
  <c r="P12" i="46"/>
  <c r="N12" i="46"/>
  <c r="AH11" i="46"/>
  <c r="AF11" i="46"/>
  <c r="AD11" i="46"/>
  <c r="AB11" i="46"/>
  <c r="Z11" i="46"/>
  <c r="X11" i="46"/>
  <c r="V11" i="46"/>
  <c r="T11" i="46"/>
  <c r="R11" i="46"/>
  <c r="P11" i="46"/>
  <c r="N11" i="46"/>
  <c r="AH10" i="46"/>
  <c r="AF10" i="46"/>
  <c r="AD10" i="46"/>
  <c r="AB10" i="46"/>
  <c r="Z10" i="46"/>
  <c r="X10" i="46"/>
  <c r="V10" i="46"/>
  <c r="T10" i="46"/>
  <c r="R10" i="46"/>
  <c r="P10" i="46"/>
  <c r="N10" i="46"/>
  <c r="AH9" i="46"/>
  <c r="AF9" i="46"/>
  <c r="AD9" i="46"/>
  <c r="AB9" i="46"/>
  <c r="Z9" i="46"/>
  <c r="X9" i="46"/>
  <c r="V9" i="46"/>
  <c r="T9" i="46"/>
  <c r="R9" i="46"/>
  <c r="P9" i="46"/>
  <c r="N9" i="46"/>
  <c r="AH8" i="46"/>
  <c r="AF8" i="46"/>
  <c r="AD8" i="46"/>
  <c r="AB8" i="46"/>
  <c r="Z8" i="46"/>
  <c r="X8" i="46"/>
  <c r="V8" i="46"/>
  <c r="T8" i="46"/>
  <c r="R8" i="46"/>
  <c r="P8" i="46"/>
  <c r="N8" i="46"/>
  <c r="AH7" i="46"/>
  <c r="AF7" i="46"/>
  <c r="AD7" i="46"/>
  <c r="AB7" i="46"/>
  <c r="Z7" i="46"/>
  <c r="X7" i="46"/>
  <c r="V7" i="46"/>
  <c r="T7" i="46"/>
  <c r="R7" i="46"/>
  <c r="P7" i="46"/>
  <c r="N7" i="46"/>
  <c r="AF62" i="56"/>
  <c r="AD62" i="56"/>
  <c r="AB62" i="56"/>
  <c r="Z62" i="56"/>
  <c r="X62" i="56"/>
  <c r="V62" i="56"/>
  <c r="T62" i="56"/>
  <c r="R62" i="56"/>
  <c r="P62" i="56"/>
  <c r="AD61" i="56"/>
  <c r="AB61" i="56"/>
  <c r="Z61" i="56"/>
  <c r="X61" i="56"/>
  <c r="V61" i="56"/>
  <c r="T61" i="56"/>
  <c r="R61" i="56"/>
  <c r="P61" i="56"/>
  <c r="AF60" i="56"/>
  <c r="AD60" i="56"/>
  <c r="AB60" i="56"/>
  <c r="Z60" i="56"/>
  <c r="X60" i="56"/>
  <c r="V60" i="56"/>
  <c r="T60" i="56"/>
  <c r="R60" i="56"/>
  <c r="P60" i="56"/>
  <c r="AF59" i="56"/>
  <c r="AD59" i="56"/>
  <c r="AB59" i="56"/>
  <c r="Z59" i="56"/>
  <c r="X59" i="56"/>
  <c r="V59" i="56"/>
  <c r="T59" i="56"/>
  <c r="R59" i="56"/>
  <c r="P59" i="56"/>
  <c r="AF58" i="56"/>
  <c r="AD58" i="56"/>
  <c r="AB58" i="56"/>
  <c r="Z58" i="56"/>
  <c r="X58" i="56"/>
  <c r="V58" i="56"/>
  <c r="T58" i="56"/>
  <c r="R58" i="56"/>
  <c r="P58" i="56"/>
  <c r="AF57" i="56"/>
  <c r="AD57" i="56"/>
  <c r="AB57" i="56"/>
  <c r="Z57" i="56"/>
  <c r="X57" i="56"/>
  <c r="V57" i="56"/>
  <c r="T57" i="56"/>
  <c r="R57" i="56"/>
  <c r="P57" i="56"/>
  <c r="AF56" i="56"/>
  <c r="AD56" i="56"/>
  <c r="AB56" i="56"/>
  <c r="Z56" i="56"/>
  <c r="X56" i="56"/>
  <c r="V56" i="56"/>
  <c r="T56" i="56"/>
  <c r="R56" i="56"/>
  <c r="P56" i="56"/>
  <c r="AF55" i="56"/>
  <c r="AD55" i="56"/>
  <c r="AB55" i="56"/>
  <c r="Z55" i="56"/>
  <c r="X55" i="56"/>
  <c r="V55" i="56"/>
  <c r="T55" i="56"/>
  <c r="R55" i="56"/>
  <c r="P55" i="56"/>
  <c r="AF54" i="56"/>
  <c r="AD54" i="56"/>
  <c r="AB54" i="56"/>
  <c r="Z54" i="56"/>
  <c r="X54" i="56"/>
  <c r="V54" i="56"/>
  <c r="T54" i="56"/>
  <c r="R54" i="56"/>
  <c r="P54" i="56"/>
  <c r="AF53" i="56"/>
  <c r="AD53" i="56"/>
  <c r="AB53" i="56"/>
  <c r="Z53" i="56"/>
  <c r="X53" i="56"/>
  <c r="V53" i="56"/>
  <c r="T53" i="56"/>
  <c r="R53" i="56"/>
  <c r="P53" i="56"/>
  <c r="AF52" i="56"/>
  <c r="AD52" i="56"/>
  <c r="AB52" i="56"/>
  <c r="Z52" i="56"/>
  <c r="X52" i="56"/>
  <c r="V52" i="56"/>
  <c r="T52" i="56"/>
  <c r="R52" i="56"/>
  <c r="P52" i="56"/>
  <c r="AF51" i="56"/>
  <c r="AD51" i="56"/>
  <c r="AB51" i="56"/>
  <c r="Z51" i="56"/>
  <c r="X51" i="56"/>
  <c r="V51" i="56"/>
  <c r="T51" i="56"/>
  <c r="R51" i="56"/>
  <c r="P51" i="56"/>
  <c r="AF50" i="56"/>
  <c r="AD50" i="56"/>
  <c r="AB50" i="56"/>
  <c r="Z50" i="56"/>
  <c r="X50" i="56"/>
  <c r="V50" i="56"/>
  <c r="T50" i="56"/>
  <c r="R50" i="56"/>
  <c r="P50" i="56"/>
  <c r="AF49" i="56"/>
  <c r="AD49" i="56"/>
  <c r="AB49" i="56"/>
  <c r="Z49" i="56"/>
  <c r="X49" i="56"/>
  <c r="V49" i="56"/>
  <c r="T49" i="56"/>
  <c r="R49" i="56"/>
  <c r="P49" i="56"/>
  <c r="AF48" i="56"/>
  <c r="AD48" i="56"/>
  <c r="AB48" i="56"/>
  <c r="Z48" i="56"/>
  <c r="X48" i="56"/>
  <c r="V48" i="56"/>
  <c r="T48" i="56"/>
  <c r="R48" i="56"/>
  <c r="P48" i="56"/>
  <c r="AF47" i="56"/>
  <c r="AD47" i="56"/>
  <c r="AB47" i="56"/>
  <c r="Z47" i="56"/>
  <c r="X47" i="56"/>
  <c r="V47" i="56"/>
  <c r="T47" i="56"/>
  <c r="R47" i="56"/>
  <c r="P47" i="56"/>
  <c r="AF46" i="56"/>
  <c r="AD46" i="56"/>
  <c r="AB46" i="56"/>
  <c r="Z46" i="56"/>
  <c r="X46" i="56"/>
  <c r="V46" i="56"/>
  <c r="T46" i="56"/>
  <c r="R46" i="56"/>
  <c r="P46" i="56"/>
  <c r="AF45" i="56"/>
  <c r="AD45" i="56"/>
  <c r="AB45" i="56"/>
  <c r="Z45" i="56"/>
  <c r="X45" i="56"/>
  <c r="V45" i="56"/>
  <c r="T45" i="56"/>
  <c r="R45" i="56"/>
  <c r="P45" i="56"/>
  <c r="AF44" i="56"/>
  <c r="AD44" i="56"/>
  <c r="AB44" i="56"/>
  <c r="Z44" i="56"/>
  <c r="X44" i="56"/>
  <c r="V44" i="56"/>
  <c r="T44" i="56"/>
  <c r="R44" i="56"/>
  <c r="P44" i="56"/>
  <c r="AF43" i="56"/>
  <c r="AD43" i="56"/>
  <c r="AB43" i="56"/>
  <c r="Z43" i="56"/>
  <c r="X43" i="56"/>
  <c r="V43" i="56"/>
  <c r="T43" i="56"/>
  <c r="R43" i="56"/>
  <c r="P43" i="56"/>
  <c r="AF42" i="56"/>
  <c r="AD42" i="56"/>
  <c r="AB42" i="56"/>
  <c r="Z42" i="56"/>
  <c r="X42" i="56"/>
  <c r="V42" i="56"/>
  <c r="T42" i="56"/>
  <c r="R42" i="56"/>
  <c r="P42" i="56"/>
  <c r="AF41" i="56"/>
  <c r="AD41" i="56"/>
  <c r="AB41" i="56"/>
  <c r="Z41" i="56"/>
  <c r="X41" i="56"/>
  <c r="V41" i="56"/>
  <c r="T41" i="56"/>
  <c r="R41" i="56"/>
  <c r="P41" i="56"/>
  <c r="AF40" i="56"/>
  <c r="AD40" i="56"/>
  <c r="AB40" i="56"/>
  <c r="Z40" i="56"/>
  <c r="X40" i="56"/>
  <c r="V40" i="56"/>
  <c r="T40" i="56"/>
  <c r="R40" i="56"/>
  <c r="P40" i="56"/>
  <c r="AF39" i="56"/>
  <c r="AD39" i="56"/>
  <c r="AB39" i="56"/>
  <c r="Z39" i="56"/>
  <c r="X39" i="56"/>
  <c r="V39" i="56"/>
  <c r="T39" i="56"/>
  <c r="R39" i="56"/>
  <c r="P39" i="56"/>
  <c r="AF38" i="56"/>
  <c r="AD38" i="56"/>
  <c r="AB38" i="56"/>
  <c r="Z38" i="56"/>
  <c r="X38" i="56"/>
  <c r="V38" i="56"/>
  <c r="T38" i="56"/>
  <c r="R38" i="56"/>
  <c r="P38" i="56"/>
  <c r="AH30" i="56"/>
  <c r="AF30" i="56"/>
  <c r="AD30" i="56"/>
  <c r="AB30" i="56"/>
  <c r="Z30" i="56"/>
  <c r="X30" i="56"/>
  <c r="V30" i="56"/>
  <c r="T30" i="56"/>
  <c r="R30" i="56"/>
  <c r="P30" i="56"/>
  <c r="AH29" i="56"/>
  <c r="AF29" i="56"/>
  <c r="AD29" i="56"/>
  <c r="AB29" i="56"/>
  <c r="Z29" i="56"/>
  <c r="X29" i="56"/>
  <c r="V29" i="56"/>
  <c r="T29" i="56"/>
  <c r="R29" i="56"/>
  <c r="P29" i="56"/>
  <c r="AF28" i="56"/>
  <c r="AD28" i="56"/>
  <c r="AB28" i="56"/>
  <c r="Z28" i="56"/>
  <c r="X28" i="56"/>
  <c r="V28" i="56"/>
  <c r="T28" i="56"/>
  <c r="R28" i="56"/>
  <c r="P28" i="56"/>
  <c r="AH27" i="56"/>
  <c r="AF27" i="56"/>
  <c r="AD27" i="56"/>
  <c r="AB27" i="56"/>
  <c r="Z27" i="56"/>
  <c r="X27" i="56"/>
  <c r="V27" i="56"/>
  <c r="T27" i="56"/>
  <c r="R27" i="56"/>
  <c r="P27" i="56"/>
  <c r="AH26" i="56"/>
  <c r="AF26" i="56"/>
  <c r="AD26" i="56"/>
  <c r="AB26" i="56"/>
  <c r="Z26" i="56"/>
  <c r="X26" i="56"/>
  <c r="V26" i="56"/>
  <c r="T26" i="56"/>
  <c r="R26" i="56"/>
  <c r="P26" i="56"/>
  <c r="AH25" i="56"/>
  <c r="AF25" i="56"/>
  <c r="AD25" i="56"/>
  <c r="AB25" i="56"/>
  <c r="Z25" i="56"/>
  <c r="X25" i="56"/>
  <c r="V25" i="56"/>
  <c r="T25" i="56"/>
  <c r="R25" i="56"/>
  <c r="P25" i="56"/>
  <c r="AH24" i="56"/>
  <c r="AF24" i="56"/>
  <c r="AD24" i="56"/>
  <c r="AB24" i="56"/>
  <c r="Z24" i="56"/>
  <c r="X24" i="56"/>
  <c r="V24" i="56"/>
  <c r="T24" i="56"/>
  <c r="R24" i="56"/>
  <c r="P24" i="56"/>
  <c r="AD23" i="56"/>
  <c r="AB23" i="56"/>
  <c r="Z23" i="56"/>
  <c r="X23" i="56"/>
  <c r="V23" i="56"/>
  <c r="T23" i="56"/>
  <c r="R23" i="56"/>
  <c r="P23" i="56"/>
  <c r="AH22" i="56"/>
  <c r="AF22" i="56"/>
  <c r="AD22" i="56"/>
  <c r="AB22" i="56"/>
  <c r="Z22" i="56"/>
  <c r="X22" i="56"/>
  <c r="V22" i="56"/>
  <c r="T22" i="56"/>
  <c r="R22" i="56"/>
  <c r="P22" i="56"/>
  <c r="AH21" i="56"/>
  <c r="AF21" i="56"/>
  <c r="AD21" i="56"/>
  <c r="AB21" i="56"/>
  <c r="Z21" i="56"/>
  <c r="X21" i="56"/>
  <c r="V21" i="56"/>
  <c r="T21" i="56"/>
  <c r="R21" i="56"/>
  <c r="P21" i="56"/>
  <c r="AH20" i="56"/>
  <c r="AF20" i="56"/>
  <c r="AD20" i="56"/>
  <c r="AB20" i="56"/>
  <c r="Z20" i="56"/>
  <c r="X20" i="56"/>
  <c r="V20" i="56"/>
  <c r="T20" i="56"/>
  <c r="R20" i="56"/>
  <c r="P20" i="56"/>
  <c r="AH19" i="56"/>
  <c r="AF19" i="56"/>
  <c r="AD19" i="56"/>
  <c r="AB19" i="56"/>
  <c r="Z19" i="56"/>
  <c r="X19" i="56"/>
  <c r="V19" i="56"/>
  <c r="T19" i="56"/>
  <c r="R19" i="56"/>
  <c r="P19" i="56"/>
  <c r="AH18" i="56"/>
  <c r="AF18" i="56"/>
  <c r="AD18" i="56"/>
  <c r="AB18" i="56"/>
  <c r="Z18" i="56"/>
  <c r="X18" i="56"/>
  <c r="V18" i="56"/>
  <c r="T18" i="56"/>
  <c r="R18" i="56"/>
  <c r="P18" i="56"/>
  <c r="AH17" i="56"/>
  <c r="AF17" i="56"/>
  <c r="AD17" i="56"/>
  <c r="AB17" i="56"/>
  <c r="Z17" i="56"/>
  <c r="X17" i="56"/>
  <c r="V17" i="56"/>
  <c r="T17" i="56"/>
  <c r="R17" i="56"/>
  <c r="P17" i="56"/>
  <c r="AH16" i="56"/>
  <c r="AF16" i="56"/>
  <c r="AD16" i="56"/>
  <c r="AB16" i="56"/>
  <c r="Z16" i="56"/>
  <c r="X16" i="56"/>
  <c r="V16" i="56"/>
  <c r="T16" i="56"/>
  <c r="R16" i="56"/>
  <c r="P16" i="56"/>
  <c r="AH15" i="56"/>
  <c r="AF15" i="56"/>
  <c r="AD15" i="56"/>
  <c r="AB15" i="56"/>
  <c r="Z15" i="56"/>
  <c r="X15" i="56"/>
  <c r="V15" i="56"/>
  <c r="T15" i="56"/>
  <c r="R15" i="56"/>
  <c r="P15" i="56"/>
  <c r="AH14" i="56"/>
  <c r="AF14" i="56"/>
  <c r="AD14" i="56"/>
  <c r="AB14" i="56"/>
  <c r="Z14" i="56"/>
  <c r="X14" i="56"/>
  <c r="V14" i="56"/>
  <c r="T14" i="56"/>
  <c r="R14" i="56"/>
  <c r="P14" i="56"/>
  <c r="AH13" i="56"/>
  <c r="AF13" i="56"/>
  <c r="AD13" i="56"/>
  <c r="AB13" i="56"/>
  <c r="Z13" i="56"/>
  <c r="X13" i="56"/>
  <c r="V13" i="56"/>
  <c r="T13" i="56"/>
  <c r="R13" i="56"/>
  <c r="P13" i="56"/>
  <c r="AH12" i="56"/>
  <c r="AF12" i="56"/>
  <c r="AD12" i="56"/>
  <c r="AB12" i="56"/>
  <c r="Z12" i="56"/>
  <c r="X12" i="56"/>
  <c r="V12" i="56"/>
  <c r="T12" i="56"/>
  <c r="R12" i="56"/>
  <c r="P12" i="56"/>
  <c r="AH11" i="56"/>
  <c r="AF11" i="56"/>
  <c r="AD11" i="56"/>
  <c r="AB11" i="56"/>
  <c r="Z11" i="56"/>
  <c r="X11" i="56"/>
  <c r="V11" i="56"/>
  <c r="T11" i="56"/>
  <c r="R11" i="56"/>
  <c r="P11" i="56"/>
  <c r="AH10" i="56"/>
  <c r="AF10" i="56"/>
  <c r="AD10" i="56"/>
  <c r="AB10" i="56"/>
  <c r="Z10" i="56"/>
  <c r="X10" i="56"/>
  <c r="V10" i="56"/>
  <c r="T10" i="56"/>
  <c r="R10" i="56"/>
  <c r="P10" i="56"/>
  <c r="AH9" i="56"/>
  <c r="AF9" i="56"/>
  <c r="AD9" i="56"/>
  <c r="AB9" i="56"/>
  <c r="Z9" i="56"/>
  <c r="X9" i="56"/>
  <c r="V9" i="56"/>
  <c r="T9" i="56"/>
  <c r="R9" i="56"/>
  <c r="P9" i="56"/>
  <c r="AH8" i="56"/>
  <c r="AF8" i="56"/>
  <c r="AD8" i="56"/>
  <c r="AB8" i="56"/>
  <c r="Z8" i="56"/>
  <c r="X8" i="56"/>
  <c r="V8" i="56"/>
  <c r="T8" i="56"/>
  <c r="R8" i="56"/>
  <c r="P8" i="56"/>
  <c r="AH7" i="56"/>
  <c r="AF7" i="56"/>
  <c r="AD7" i="56"/>
  <c r="AB7" i="56"/>
  <c r="Z7" i="56"/>
  <c r="X7" i="56"/>
  <c r="V7" i="56"/>
  <c r="T7" i="56"/>
  <c r="R7" i="56"/>
  <c r="P7" i="56"/>
  <c r="AH6" i="56"/>
  <c r="AF6" i="56"/>
  <c r="AD6" i="56"/>
  <c r="AB6" i="56"/>
  <c r="Z6" i="56"/>
  <c r="X6" i="56"/>
  <c r="V6" i="56"/>
  <c r="T6" i="56"/>
  <c r="R6" i="56"/>
  <c r="P6" i="56"/>
  <c r="T30" i="55"/>
  <c r="R30" i="55"/>
  <c r="P30" i="55"/>
  <c r="T29" i="55"/>
  <c r="R29" i="55"/>
  <c r="P29" i="55"/>
  <c r="R28" i="55"/>
  <c r="P28" i="55"/>
  <c r="X27" i="55"/>
  <c r="V27" i="55"/>
  <c r="T27" i="55"/>
  <c r="R27" i="55"/>
  <c r="P27" i="55"/>
  <c r="X26" i="55"/>
  <c r="V26" i="55"/>
  <c r="T26" i="55"/>
  <c r="R26" i="55"/>
  <c r="P26" i="55"/>
  <c r="X25" i="55"/>
  <c r="V25" i="55"/>
  <c r="T25" i="55"/>
  <c r="R25" i="55"/>
  <c r="P25" i="55"/>
  <c r="T24" i="55"/>
  <c r="R24" i="55"/>
  <c r="P24" i="55"/>
  <c r="X23" i="55"/>
  <c r="V23" i="55"/>
  <c r="T23" i="55"/>
  <c r="R23" i="55"/>
  <c r="P23" i="55"/>
  <c r="X22" i="55"/>
  <c r="V22" i="55"/>
  <c r="T22" i="55"/>
  <c r="R22" i="55"/>
  <c r="P22" i="55"/>
  <c r="T21" i="55"/>
  <c r="R21" i="55"/>
  <c r="P21" i="55"/>
  <c r="T20" i="55"/>
  <c r="R20" i="55"/>
  <c r="P20" i="55"/>
  <c r="AB19" i="55"/>
  <c r="Z19" i="55"/>
  <c r="X19" i="55"/>
  <c r="V19" i="55"/>
  <c r="T19" i="55"/>
  <c r="R19" i="55"/>
  <c r="P19" i="55"/>
  <c r="R18" i="55"/>
  <c r="P18" i="55"/>
  <c r="Z17" i="55"/>
  <c r="X17" i="55"/>
  <c r="V17" i="55"/>
  <c r="T17" i="55"/>
  <c r="R17" i="55"/>
  <c r="P17" i="55"/>
  <c r="Z16" i="55"/>
  <c r="X16" i="55"/>
  <c r="V16" i="55"/>
  <c r="T16" i="55"/>
  <c r="R16" i="55"/>
  <c r="P16" i="55"/>
  <c r="X15" i="55"/>
  <c r="V15" i="55"/>
  <c r="T15" i="55"/>
  <c r="R15" i="55"/>
  <c r="P15" i="55"/>
  <c r="T14" i="55"/>
  <c r="R14" i="55"/>
  <c r="P14" i="55"/>
  <c r="X13" i="55"/>
  <c r="V13" i="55"/>
  <c r="T13" i="55"/>
  <c r="R13" i="55"/>
  <c r="P13" i="55"/>
  <c r="T12" i="55"/>
  <c r="R12" i="55"/>
  <c r="P12" i="55"/>
  <c r="X11" i="55"/>
  <c r="V11" i="55"/>
  <c r="T11" i="55"/>
  <c r="R11" i="55"/>
  <c r="P11" i="55"/>
  <c r="AJ10" i="55"/>
  <c r="AH10" i="55"/>
  <c r="AF10" i="55"/>
  <c r="AD10" i="55"/>
  <c r="AB10" i="55"/>
  <c r="Z10" i="55"/>
  <c r="X10" i="55"/>
  <c r="V10" i="55"/>
  <c r="T10" i="55"/>
  <c r="R10" i="55"/>
  <c r="P10" i="55"/>
  <c r="AJ9" i="55"/>
  <c r="AH9" i="55"/>
  <c r="AF9" i="55"/>
  <c r="AD9" i="55"/>
  <c r="AB9" i="55"/>
  <c r="Z9" i="55"/>
  <c r="X9" i="55"/>
  <c r="V9" i="55"/>
  <c r="T9" i="55"/>
  <c r="R9" i="55"/>
  <c r="P9" i="55"/>
  <c r="AJ8" i="55"/>
  <c r="AH8" i="55"/>
  <c r="AF8" i="55"/>
  <c r="AD8" i="55"/>
  <c r="AB8" i="55"/>
  <c r="Z8" i="55"/>
  <c r="X8" i="55"/>
  <c r="V8" i="55"/>
  <c r="T8" i="55"/>
  <c r="R8" i="55"/>
  <c r="P8" i="55"/>
  <c r="AJ7" i="55"/>
  <c r="AH7" i="55"/>
  <c r="AF7" i="55"/>
  <c r="AD7" i="55"/>
  <c r="AB7" i="55"/>
  <c r="Z7" i="55"/>
  <c r="X7" i="55"/>
  <c r="V7" i="55"/>
  <c r="T7" i="55"/>
  <c r="R7" i="55"/>
  <c r="P7" i="55"/>
  <c r="AJ6" i="55"/>
  <c r="AH6" i="55"/>
  <c r="AF6" i="55"/>
  <c r="AD6" i="55"/>
  <c r="AB6" i="55"/>
  <c r="Z6" i="55"/>
  <c r="X6" i="55"/>
  <c r="V6" i="55"/>
  <c r="T6" i="55"/>
  <c r="R6" i="55"/>
  <c r="P6" i="55"/>
  <c r="E29" i="54"/>
  <c r="D29" i="54"/>
  <c r="C29" i="54"/>
  <c r="B29" i="54"/>
  <c r="E28" i="54"/>
  <c r="D28" i="54"/>
  <c r="C28" i="54"/>
  <c r="B28" i="54"/>
  <c r="E27" i="54"/>
  <c r="D27" i="54"/>
  <c r="C27" i="54"/>
  <c r="B27" i="54"/>
  <c r="T77" i="57" l="1"/>
  <c r="U83" i="57" s="1"/>
  <c r="V83" i="57" s="1"/>
  <c r="G73" i="51"/>
  <c r="G72" i="51"/>
  <c r="G70" i="51"/>
  <c r="G69" i="51"/>
  <c r="G68" i="51"/>
  <c r="G67" i="51"/>
  <c r="G66" i="51"/>
  <c r="G65" i="51"/>
  <c r="G64" i="51"/>
  <c r="G51" i="51"/>
  <c r="H55" i="51"/>
  <c r="G59" i="51"/>
  <c r="G58" i="51"/>
  <c r="G56" i="51"/>
  <c r="G55" i="51"/>
  <c r="G54" i="51"/>
  <c r="G53" i="51"/>
  <c r="G52" i="51"/>
  <c r="G50" i="51"/>
  <c r="G45" i="51"/>
  <c r="G44" i="51"/>
  <c r="H44" i="51" s="1"/>
  <c r="G42" i="51"/>
  <c r="G41" i="51"/>
  <c r="G40" i="51"/>
  <c r="G39" i="51"/>
  <c r="G38" i="51"/>
  <c r="G37" i="51"/>
  <c r="G36" i="51"/>
  <c r="G31" i="51"/>
  <c r="G30" i="51"/>
  <c r="G28" i="51"/>
  <c r="G27" i="51"/>
  <c r="G26" i="51"/>
  <c r="G25" i="51"/>
  <c r="G24" i="51"/>
  <c r="G23" i="51"/>
  <c r="G22" i="51"/>
  <c r="G17" i="51"/>
  <c r="G16" i="51"/>
  <c r="G14" i="51"/>
  <c r="G13" i="51"/>
  <c r="G12" i="51"/>
  <c r="G11" i="51"/>
  <c r="G10" i="51"/>
  <c r="G9" i="51"/>
  <c r="H37" i="51" s="1"/>
  <c r="G8" i="51"/>
  <c r="H36" i="51" s="1"/>
  <c r="H54" i="51" l="1"/>
  <c r="H64" i="51"/>
  <c r="H53" i="51"/>
  <c r="H56" i="51"/>
  <c r="H59" i="51"/>
  <c r="H45" i="51"/>
  <c r="H39" i="51"/>
  <c r="H65" i="51"/>
  <c r="H66" i="51"/>
  <c r="H67" i="51"/>
  <c r="H68" i="51"/>
  <c r="H69" i="51"/>
  <c r="H70" i="51"/>
  <c r="H72" i="51"/>
  <c r="H73" i="51"/>
  <c r="H50" i="51"/>
  <c r="H52" i="51"/>
  <c r="H51" i="51"/>
  <c r="H38" i="51"/>
  <c r="H40" i="51"/>
  <c r="H41" i="51"/>
  <c r="H58" i="51"/>
  <c r="H42" i="51"/>
  <c r="U92" i="57"/>
  <c r="V92" i="57" s="1"/>
  <c r="U67" i="57"/>
  <c r="V67" i="57" s="1"/>
  <c r="U41" i="57"/>
  <c r="V41" i="57" s="1"/>
  <c r="U42" i="57"/>
  <c r="V42" i="57" s="1"/>
  <c r="U66" i="57"/>
  <c r="V66" i="57" s="1"/>
  <c r="U85" i="57"/>
  <c r="V85" i="57" s="1"/>
  <c r="U88" i="57"/>
  <c r="V88" i="57" s="1"/>
  <c r="U80" i="57"/>
  <c r="V80" i="57" s="1"/>
  <c r="U71" i="57"/>
  <c r="V71" i="57" s="1"/>
  <c r="U58" i="57"/>
  <c r="V58" i="57" s="1"/>
  <c r="U89" i="57"/>
  <c r="V89" i="57" s="1"/>
  <c r="U68" i="57"/>
  <c r="V68" i="57" s="1"/>
  <c r="U75" i="57"/>
  <c r="V75" i="57" s="1"/>
  <c r="U62" i="57"/>
  <c r="V62" i="57" s="1"/>
  <c r="U77" i="57"/>
  <c r="V77" i="57" s="1"/>
  <c r="U91" i="57"/>
  <c r="V91" i="57" s="1"/>
  <c r="U79" i="57"/>
  <c r="V79" i="57" s="1"/>
  <c r="U43" i="57"/>
  <c r="V43" i="57" s="1"/>
  <c r="U53" i="57"/>
  <c r="V53" i="57" s="1"/>
  <c r="U90" i="57"/>
  <c r="V90" i="57" s="1"/>
  <c r="U64" i="57"/>
  <c r="V64" i="57" s="1"/>
  <c r="U44" i="57"/>
  <c r="V44" i="57" s="1"/>
  <c r="U94" i="57"/>
  <c r="V94" i="57" s="1"/>
  <c r="U47" i="57"/>
  <c r="V47" i="57" s="1"/>
  <c r="U57" i="57"/>
  <c r="V57" i="57" s="1"/>
  <c r="U78" i="57"/>
  <c r="V78" i="57" s="1"/>
  <c r="U52" i="57"/>
  <c r="V52" i="57" s="1"/>
  <c r="U56" i="57"/>
  <c r="V56" i="57" s="1"/>
  <c r="U74" i="57"/>
  <c r="V74" i="57" s="1"/>
  <c r="U82" i="57"/>
  <c r="V82" i="57" s="1"/>
  <c r="U51" i="57"/>
  <c r="V51" i="57" s="1"/>
  <c r="U61" i="57"/>
  <c r="V61" i="57" s="1"/>
  <c r="U54" i="57"/>
  <c r="V54" i="57" s="1"/>
  <c r="U84" i="57"/>
  <c r="V84" i="57" s="1"/>
  <c r="U70" i="57"/>
  <c r="V70" i="57" s="1"/>
  <c r="U46" i="57"/>
  <c r="V46" i="57" s="1"/>
  <c r="U55" i="57"/>
  <c r="V55" i="57" s="1"/>
  <c r="U65" i="57"/>
  <c r="V65" i="57" s="1"/>
  <c r="U87" i="57"/>
  <c r="V87" i="57" s="1"/>
  <c r="U72" i="57"/>
  <c r="V72" i="57" s="1"/>
  <c r="U76" i="57"/>
  <c r="V76" i="57" s="1"/>
  <c r="U93" i="57"/>
  <c r="V93" i="57" s="1"/>
  <c r="U59" i="57"/>
  <c r="V59" i="57" s="1"/>
  <c r="U69" i="57"/>
  <c r="V69" i="57" s="1"/>
  <c r="U86" i="57"/>
  <c r="V86" i="57" s="1"/>
  <c r="U60" i="57"/>
  <c r="V60" i="57" s="1"/>
  <c r="U45" i="57"/>
  <c r="V45" i="57" s="1"/>
  <c r="U49" i="57"/>
  <c r="V49" i="57" s="1"/>
  <c r="U81" i="57"/>
  <c r="V81" i="57" s="1"/>
  <c r="U63" i="57"/>
  <c r="V63" i="57" s="1"/>
  <c r="U73" i="57"/>
  <c r="V73" i="57" s="1"/>
  <c r="U50" i="57"/>
  <c r="V50" i="57" s="1"/>
  <c r="U48" i="57"/>
  <c r="V48" i="57" s="1"/>
  <c r="H22" i="51"/>
  <c r="H25" i="51"/>
  <c r="H31" i="51"/>
  <c r="H27" i="51"/>
  <c r="H26" i="51"/>
  <c r="H24" i="51"/>
  <c r="H23" i="51"/>
  <c r="H30" i="51"/>
  <c r="H28" i="51"/>
  <c r="U11" i="49" l="1"/>
  <c r="S11" i="49"/>
  <c r="Q11" i="49"/>
  <c r="O11" i="49"/>
  <c r="M11" i="49"/>
  <c r="AK32" i="49"/>
  <c r="AI32" i="49"/>
  <c r="AG32" i="49"/>
  <c r="AE32" i="49"/>
  <c r="AC32" i="49"/>
  <c r="AA32" i="49"/>
  <c r="Y32" i="49"/>
  <c r="W32" i="49"/>
  <c r="U32" i="49"/>
  <c r="S32" i="49"/>
  <c r="Q32" i="49"/>
  <c r="O32" i="49"/>
  <c r="M32" i="49"/>
  <c r="AK31" i="49"/>
  <c r="AI31" i="49"/>
  <c r="AG31" i="49"/>
  <c r="AE31" i="49"/>
  <c r="AC31" i="49"/>
  <c r="AA31" i="49"/>
  <c r="Y31" i="49"/>
  <c r="W31" i="49"/>
  <c r="U31" i="49"/>
  <c r="S31" i="49"/>
  <c r="Q31" i="49"/>
  <c r="O31" i="49"/>
  <c r="M31" i="49"/>
  <c r="AK30" i="49"/>
  <c r="AI30" i="49"/>
  <c r="AG30" i="49"/>
  <c r="AE30" i="49"/>
  <c r="AC30" i="49"/>
  <c r="AA30" i="49"/>
  <c r="Y30" i="49"/>
  <c r="W30" i="49"/>
  <c r="U30" i="49"/>
  <c r="S30" i="49"/>
  <c r="Q30" i="49"/>
  <c r="O30" i="49"/>
  <c r="M30" i="49"/>
  <c r="AK29" i="49"/>
  <c r="AI29" i="49"/>
  <c r="AG29" i="49"/>
  <c r="AE29" i="49"/>
  <c r="AC29" i="49"/>
  <c r="AA29" i="49"/>
  <c r="Y29" i="49"/>
  <c r="W29" i="49"/>
  <c r="U29" i="49"/>
  <c r="S29" i="49"/>
  <c r="Q29" i="49"/>
  <c r="O29" i="49"/>
  <c r="M29" i="49"/>
  <c r="AK28" i="49"/>
  <c r="AI28" i="49"/>
  <c r="AG28" i="49"/>
  <c r="AE28" i="49"/>
  <c r="AC28" i="49"/>
  <c r="AA28" i="49"/>
  <c r="Y28" i="49"/>
  <c r="W28" i="49"/>
  <c r="U28" i="49"/>
  <c r="S28" i="49"/>
  <c r="Q28" i="49"/>
  <c r="O28" i="49"/>
  <c r="M28" i="49"/>
  <c r="AG27" i="49"/>
  <c r="AE27" i="49"/>
  <c r="AC27" i="49"/>
  <c r="AA27" i="49"/>
  <c r="Y27" i="49"/>
  <c r="W27" i="49"/>
  <c r="U27" i="49"/>
  <c r="S27" i="49"/>
  <c r="Q27" i="49"/>
  <c r="O27" i="49"/>
  <c r="M27" i="49"/>
  <c r="AA26" i="49"/>
  <c r="Y26" i="49"/>
  <c r="W26" i="49"/>
  <c r="U26" i="49"/>
  <c r="S26" i="49"/>
  <c r="Q26" i="49"/>
  <c r="O26" i="49"/>
  <c r="M26" i="49"/>
  <c r="AI25" i="49"/>
  <c r="AG25" i="49"/>
  <c r="AE25" i="49"/>
  <c r="AC25" i="49"/>
  <c r="AA25" i="49"/>
  <c r="Y25" i="49"/>
  <c r="W25" i="49"/>
  <c r="U25" i="49"/>
  <c r="S25" i="49"/>
  <c r="Q25" i="49"/>
  <c r="O25" i="49"/>
  <c r="M25" i="49"/>
  <c r="AE24" i="49"/>
  <c r="AC24" i="49"/>
  <c r="AA24" i="49"/>
  <c r="Y24" i="49"/>
  <c r="W24" i="49"/>
  <c r="U24" i="49"/>
  <c r="S24" i="49"/>
  <c r="Q24" i="49"/>
  <c r="O24" i="49"/>
  <c r="M24" i="49"/>
  <c r="AA23" i="49"/>
  <c r="Y23" i="49"/>
  <c r="W23" i="49"/>
  <c r="U23" i="49"/>
  <c r="S23" i="49"/>
  <c r="Q23" i="49"/>
  <c r="O23" i="49"/>
  <c r="M23" i="49"/>
  <c r="AQ16" i="49" l="1"/>
  <c r="AO16" i="49"/>
  <c r="AM16" i="49"/>
  <c r="AK16" i="49"/>
  <c r="AI16" i="49"/>
  <c r="AG16" i="49"/>
  <c r="AE16" i="49"/>
  <c r="AC16" i="49"/>
  <c r="AA16" i="49"/>
  <c r="Y16" i="49"/>
  <c r="W16" i="49"/>
  <c r="U16" i="49"/>
  <c r="S16" i="49"/>
  <c r="Q16" i="49"/>
  <c r="O16" i="49"/>
  <c r="M16" i="49"/>
  <c r="AO15" i="49"/>
  <c r="AM15" i="49"/>
  <c r="AK15" i="49"/>
  <c r="AI15" i="49"/>
  <c r="AG15" i="49"/>
  <c r="AE15" i="49"/>
  <c r="AC15" i="49"/>
  <c r="AA15" i="49"/>
  <c r="Y15" i="49"/>
  <c r="W15" i="49"/>
  <c r="U15" i="49"/>
  <c r="S15" i="49"/>
  <c r="Q15" i="49"/>
  <c r="O15" i="49"/>
  <c r="M15" i="49"/>
  <c r="AQ14" i="49"/>
  <c r="AO14" i="49"/>
  <c r="AM14" i="49"/>
  <c r="AK14" i="49"/>
  <c r="AI14" i="49"/>
  <c r="AG14" i="49"/>
  <c r="AE14" i="49"/>
  <c r="AC14" i="49"/>
  <c r="AA14" i="49"/>
  <c r="Y14" i="49"/>
  <c r="W14" i="49"/>
  <c r="U14" i="49"/>
  <c r="S14" i="49"/>
  <c r="Q14" i="49"/>
  <c r="O14" i="49"/>
  <c r="M14" i="49"/>
  <c r="AQ13" i="49"/>
  <c r="AO13" i="49"/>
  <c r="AM13" i="49"/>
  <c r="AK13" i="49"/>
  <c r="AI13" i="49"/>
  <c r="AG13" i="49"/>
  <c r="AE13" i="49"/>
  <c r="AC13" i="49"/>
  <c r="AA13" i="49"/>
  <c r="Y13" i="49"/>
  <c r="W13" i="49"/>
  <c r="U13" i="49"/>
  <c r="S13" i="49"/>
  <c r="Q13" i="49"/>
  <c r="O13" i="49"/>
  <c r="M13" i="49"/>
  <c r="AQ12" i="49"/>
  <c r="AO12" i="49"/>
  <c r="AM12" i="49"/>
  <c r="AK12" i="49"/>
  <c r="AI12" i="49"/>
  <c r="AG12" i="49"/>
  <c r="AE12" i="49"/>
  <c r="AC12" i="49"/>
  <c r="AA12" i="49"/>
  <c r="Y12" i="49"/>
  <c r="W12" i="49"/>
  <c r="U12" i="49"/>
  <c r="S12" i="49"/>
  <c r="Q12" i="49"/>
  <c r="O12" i="49"/>
  <c r="M12" i="49"/>
  <c r="W10" i="49"/>
  <c r="U10" i="49"/>
  <c r="S10" i="49"/>
  <c r="Q10" i="49"/>
  <c r="O10" i="49"/>
  <c r="M10" i="49"/>
  <c r="Y9" i="49"/>
  <c r="W9" i="49"/>
  <c r="U9" i="49"/>
  <c r="S9" i="49"/>
  <c r="Q9" i="49"/>
  <c r="O9" i="49"/>
  <c r="M9" i="49"/>
  <c r="Y8" i="49"/>
  <c r="W8" i="49"/>
  <c r="U8" i="49"/>
  <c r="S8" i="49"/>
  <c r="Q8" i="49"/>
  <c r="O8" i="49"/>
  <c r="M8" i="49"/>
  <c r="Y7" i="49"/>
  <c r="W7" i="49"/>
  <c r="U7" i="49"/>
  <c r="S7" i="49"/>
  <c r="Q7" i="49"/>
  <c r="O7" i="49"/>
  <c r="M7" i="49"/>
  <c r="W6" i="49"/>
  <c r="U6" i="49"/>
  <c r="S6" i="49"/>
  <c r="Q6" i="49"/>
  <c r="O6" i="49"/>
  <c r="M6" i="49"/>
  <c r="H98" i="48" l="1"/>
  <c r="H97" i="48"/>
  <c r="H96" i="48"/>
  <c r="H95" i="48"/>
  <c r="H94" i="48"/>
  <c r="H93" i="48"/>
  <c r="H92" i="48"/>
  <c r="H91" i="48"/>
  <c r="H90" i="48"/>
  <c r="H89" i="48"/>
  <c r="H88" i="48"/>
  <c r="H87" i="48"/>
  <c r="H86" i="48"/>
  <c r="H85" i="48"/>
  <c r="H84" i="48"/>
  <c r="H79" i="48"/>
  <c r="H78" i="48"/>
  <c r="H77" i="48"/>
  <c r="H76" i="48"/>
  <c r="H75" i="48"/>
  <c r="H74" i="48"/>
  <c r="H73" i="48"/>
  <c r="H72" i="48"/>
  <c r="H71" i="48"/>
  <c r="H70" i="48"/>
  <c r="H69" i="48"/>
  <c r="H68" i="48"/>
  <c r="H67" i="48"/>
  <c r="H66" i="48"/>
  <c r="H65" i="48"/>
  <c r="H60" i="48"/>
  <c r="H59" i="48"/>
  <c r="H58" i="48"/>
  <c r="H57" i="48"/>
  <c r="H56" i="48"/>
  <c r="H55" i="48"/>
  <c r="H54" i="48"/>
  <c r="H53" i="48"/>
  <c r="H52" i="48"/>
  <c r="H51" i="48"/>
  <c r="H50" i="48"/>
  <c r="H49" i="48"/>
  <c r="H48" i="48"/>
  <c r="H47" i="48"/>
  <c r="H46" i="48"/>
  <c r="H31" i="48"/>
  <c r="H41" i="48"/>
  <c r="H40" i="48"/>
  <c r="H39" i="48"/>
  <c r="H38" i="48"/>
  <c r="H37" i="48"/>
  <c r="H36" i="48"/>
  <c r="H35" i="48"/>
  <c r="H34" i="48"/>
  <c r="H33" i="48"/>
  <c r="H32" i="48"/>
  <c r="H30" i="48"/>
  <c r="H29" i="48"/>
  <c r="H28" i="48"/>
  <c r="H27" i="48"/>
  <c r="G98" i="48"/>
  <c r="G97" i="48"/>
  <c r="G96" i="48"/>
  <c r="G95" i="48"/>
  <c r="G94" i="48"/>
  <c r="G93" i="48"/>
  <c r="G92" i="48"/>
  <c r="G91" i="48"/>
  <c r="G90" i="48"/>
  <c r="G89" i="48"/>
  <c r="G88" i="48"/>
  <c r="G87" i="48"/>
  <c r="G86" i="48"/>
  <c r="G85" i="48"/>
  <c r="G84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N24" i="47"/>
  <c r="O24" i="47" s="1"/>
  <c r="K24" i="47"/>
  <c r="L24" i="47" s="1"/>
  <c r="H24" i="47"/>
  <c r="I24" i="47" s="1"/>
  <c r="N23" i="47"/>
  <c r="O23" i="47" s="1"/>
  <c r="K23" i="47"/>
  <c r="L23" i="47" s="1"/>
  <c r="H23" i="47"/>
  <c r="I23" i="47" s="1"/>
  <c r="N22" i="47"/>
  <c r="O22" i="47" s="1"/>
  <c r="K22" i="47"/>
  <c r="L22" i="47" s="1"/>
  <c r="H22" i="47"/>
  <c r="I22" i="47" s="1"/>
  <c r="N21" i="47"/>
  <c r="O21" i="47" s="1"/>
  <c r="K21" i="47"/>
  <c r="L21" i="47" s="1"/>
  <c r="H21" i="47"/>
  <c r="I21" i="47" s="1"/>
  <c r="N20" i="47"/>
  <c r="O20" i="47" s="1"/>
  <c r="K20" i="47"/>
  <c r="L20" i="47" s="1"/>
  <c r="H20" i="47"/>
  <c r="I20" i="47" s="1"/>
  <c r="N19" i="47"/>
  <c r="O19" i="47" s="1"/>
  <c r="K19" i="47"/>
  <c r="L19" i="47" s="1"/>
  <c r="H19" i="47"/>
  <c r="I19" i="47" s="1"/>
  <c r="N18" i="47"/>
  <c r="O18" i="47" s="1"/>
  <c r="K18" i="47"/>
  <c r="L18" i="47" s="1"/>
  <c r="H18" i="47"/>
  <c r="I18" i="47" s="1"/>
  <c r="N17" i="47"/>
  <c r="O17" i="47" s="1"/>
  <c r="K17" i="47"/>
  <c r="L17" i="47" s="1"/>
  <c r="H17" i="47"/>
  <c r="I17" i="47" s="1"/>
  <c r="N16" i="47"/>
  <c r="O16" i="47" s="1"/>
  <c r="K16" i="47"/>
  <c r="L16" i="47" s="1"/>
  <c r="H16" i="47"/>
  <c r="I16" i="47" s="1"/>
  <c r="N15" i="47"/>
  <c r="O15" i="47" s="1"/>
  <c r="K15" i="47"/>
  <c r="L15" i="47" s="1"/>
  <c r="H15" i="47"/>
  <c r="I15" i="47" s="1"/>
  <c r="N14" i="47"/>
  <c r="O14" i="47" s="1"/>
  <c r="K14" i="47"/>
  <c r="L14" i="47" s="1"/>
  <c r="H14" i="47"/>
  <c r="I14" i="47" s="1"/>
  <c r="N13" i="47"/>
  <c r="O13" i="47" s="1"/>
  <c r="K13" i="47"/>
  <c r="L13" i="47" s="1"/>
  <c r="H13" i="47"/>
  <c r="I13" i="47" s="1"/>
  <c r="N12" i="47"/>
  <c r="O12" i="47" s="1"/>
  <c r="K12" i="47"/>
  <c r="L12" i="47" s="1"/>
  <c r="H12" i="47"/>
  <c r="I12" i="47" s="1"/>
  <c r="N11" i="47"/>
  <c r="O11" i="47" s="1"/>
  <c r="K11" i="47"/>
  <c r="L11" i="47" s="1"/>
  <c r="H11" i="47"/>
  <c r="I11" i="47" s="1"/>
  <c r="N10" i="47"/>
  <c r="O10" i="47" s="1"/>
  <c r="K10" i="47"/>
  <c r="L10" i="47" s="1"/>
  <c r="H10" i="47"/>
  <c r="I10" i="47" s="1"/>
  <c r="N9" i="47"/>
  <c r="O9" i="47" s="1"/>
  <c r="K9" i="47"/>
  <c r="L9" i="47" s="1"/>
  <c r="H9" i="47"/>
  <c r="I9" i="47" s="1"/>
  <c r="N8" i="47"/>
  <c r="O8" i="47" s="1"/>
  <c r="K8" i="47"/>
  <c r="L8" i="47" s="1"/>
  <c r="H8" i="47"/>
  <c r="I8" i="47" s="1"/>
  <c r="N7" i="47"/>
  <c r="O7" i="47" s="1"/>
  <c r="K7" i="47"/>
  <c r="L7" i="47" s="1"/>
  <c r="H7" i="47"/>
  <c r="I7" i="47" s="1"/>
  <c r="D29" i="44" l="1"/>
  <c r="D28" i="44"/>
  <c r="D27" i="44"/>
  <c r="C29" i="44"/>
  <c r="B29" i="44"/>
  <c r="C28" i="44"/>
  <c r="B28" i="44"/>
  <c r="C27" i="44"/>
  <c r="B27" i="44"/>
  <c r="G32" i="43"/>
  <c r="G31" i="43"/>
  <c r="G30" i="43"/>
  <c r="G29" i="43"/>
  <c r="H29" i="43" s="1"/>
  <c r="G28" i="43"/>
  <c r="H28" i="43" s="1"/>
  <c r="G27" i="43"/>
  <c r="G26" i="43"/>
  <c r="H26" i="43" s="1"/>
  <c r="G25" i="43"/>
  <c r="H25" i="43" s="1"/>
  <c r="H30" i="43" l="1"/>
  <c r="H31" i="43"/>
  <c r="H32" i="43"/>
  <c r="H27" i="43"/>
  <c r="G17" i="43" l="1"/>
  <c r="G16" i="43"/>
  <c r="G15" i="43"/>
  <c r="G14" i="43"/>
  <c r="G13" i="43"/>
  <c r="G12" i="43"/>
  <c r="G11" i="43"/>
  <c r="G10" i="43"/>
  <c r="H9" i="43"/>
  <c r="G9" i="43"/>
  <c r="G8" i="43"/>
  <c r="G7" i="43"/>
  <c r="G6" i="43"/>
  <c r="H15" i="43" l="1"/>
  <c r="H14" i="43"/>
  <c r="H16" i="43"/>
  <c r="H17" i="43"/>
  <c r="H10" i="43"/>
  <c r="H11" i="43"/>
  <c r="H12" i="43"/>
  <c r="H13" i="43"/>
  <c r="H6" i="43"/>
  <c r="H7" i="43"/>
  <c r="H8" i="43"/>
  <c r="J62" i="39" l="1"/>
  <c r="H62" i="39"/>
  <c r="F62" i="39"/>
  <c r="J61" i="39"/>
  <c r="H61" i="39"/>
  <c r="F61" i="39"/>
  <c r="J60" i="39"/>
  <c r="H60" i="39"/>
  <c r="F60" i="39"/>
  <c r="J59" i="39"/>
  <c r="H59" i="39"/>
  <c r="F59" i="39"/>
  <c r="J58" i="39"/>
  <c r="H58" i="39"/>
  <c r="F58" i="39"/>
  <c r="L57" i="39"/>
  <c r="J57" i="39"/>
  <c r="H57" i="39"/>
  <c r="F57" i="39"/>
  <c r="L56" i="39"/>
  <c r="J56" i="39"/>
  <c r="H56" i="39"/>
  <c r="F56" i="39"/>
  <c r="L55" i="39"/>
  <c r="J55" i="39"/>
  <c r="H55" i="39"/>
  <c r="F55" i="39"/>
  <c r="L54" i="39"/>
  <c r="J54" i="39"/>
  <c r="H54" i="39"/>
  <c r="F54" i="39"/>
  <c r="L53" i="39"/>
  <c r="J53" i="39"/>
  <c r="H53" i="39"/>
  <c r="F53" i="39"/>
  <c r="L52" i="39"/>
  <c r="J52" i="39"/>
  <c r="H52" i="39"/>
  <c r="F52" i="39"/>
  <c r="L51" i="39"/>
  <c r="J51" i="39"/>
  <c r="H51" i="39"/>
  <c r="F51" i="39"/>
  <c r="L50" i="39"/>
  <c r="J50" i="39"/>
  <c r="H50" i="39"/>
  <c r="F50" i="39"/>
  <c r="L49" i="39"/>
  <c r="J49" i="39"/>
  <c r="H49" i="39"/>
  <c r="F49" i="39"/>
  <c r="L48" i="39"/>
  <c r="J48" i="39"/>
  <c r="H48" i="39"/>
  <c r="F48" i="39"/>
  <c r="L47" i="39"/>
  <c r="J47" i="39"/>
  <c r="H47" i="39"/>
  <c r="F47" i="39"/>
  <c r="L46" i="39"/>
  <c r="J46" i="39"/>
  <c r="H46" i="39"/>
  <c r="F46" i="39"/>
  <c r="L45" i="39"/>
  <c r="J45" i="39"/>
  <c r="H45" i="39"/>
  <c r="F45" i="39"/>
  <c r="L44" i="39"/>
  <c r="J44" i="39"/>
  <c r="H44" i="39"/>
  <c r="F44" i="39"/>
  <c r="L43" i="39"/>
  <c r="J43" i="39"/>
  <c r="H43" i="39"/>
  <c r="F43" i="39"/>
  <c r="L42" i="39"/>
  <c r="J42" i="39"/>
  <c r="H42" i="39"/>
  <c r="F42" i="39"/>
  <c r="L41" i="39"/>
  <c r="J41" i="39"/>
  <c r="H41" i="39"/>
  <c r="F41" i="39"/>
  <c r="L40" i="39"/>
  <c r="J40" i="39"/>
  <c r="H40" i="39"/>
  <c r="F40" i="39"/>
  <c r="L39" i="39"/>
  <c r="J39" i="39"/>
  <c r="H39" i="39"/>
  <c r="F39" i="39"/>
  <c r="L38" i="39"/>
  <c r="J38" i="39"/>
  <c r="H38" i="39"/>
  <c r="F38" i="39"/>
  <c r="H30" i="39" l="1"/>
  <c r="F30" i="39"/>
  <c r="H29" i="39"/>
  <c r="F29" i="39"/>
  <c r="H28" i="39"/>
  <c r="F28" i="39"/>
  <c r="H27" i="39"/>
  <c r="F27" i="39"/>
  <c r="H26" i="39"/>
  <c r="F26" i="39"/>
  <c r="L25" i="39"/>
  <c r="J25" i="39"/>
  <c r="H25" i="39"/>
  <c r="F25" i="39"/>
  <c r="L24" i="39"/>
  <c r="J24" i="39"/>
  <c r="H24" i="39"/>
  <c r="F24" i="39"/>
  <c r="L23" i="39"/>
  <c r="J23" i="39"/>
  <c r="H23" i="39"/>
  <c r="F23" i="39"/>
  <c r="L22" i="39"/>
  <c r="J22" i="39"/>
  <c r="H22" i="39"/>
  <c r="F22" i="39"/>
  <c r="L21" i="39"/>
  <c r="J21" i="39"/>
  <c r="H21" i="39"/>
  <c r="F21" i="39"/>
  <c r="L20" i="39"/>
  <c r="J20" i="39"/>
  <c r="H20" i="39"/>
  <c r="F20" i="39"/>
  <c r="L19" i="39"/>
  <c r="J19" i="39"/>
  <c r="H19" i="39"/>
  <c r="F19" i="39"/>
  <c r="L18" i="39"/>
  <c r="J18" i="39"/>
  <c r="H18" i="39"/>
  <c r="F18" i="39"/>
  <c r="L17" i="39"/>
  <c r="J17" i="39"/>
  <c r="H17" i="39"/>
  <c r="F17" i="39"/>
  <c r="L16" i="39"/>
  <c r="J16" i="39"/>
  <c r="H16" i="39"/>
  <c r="F16" i="39"/>
  <c r="L15" i="39"/>
  <c r="J15" i="39"/>
  <c r="H15" i="39"/>
  <c r="F15" i="39"/>
  <c r="L14" i="39"/>
  <c r="J14" i="39"/>
  <c r="H14" i="39"/>
  <c r="F14" i="39"/>
  <c r="L13" i="39"/>
  <c r="J13" i="39"/>
  <c r="H13" i="39"/>
  <c r="F13" i="39"/>
  <c r="L12" i="39"/>
  <c r="J12" i="39"/>
  <c r="H12" i="39"/>
  <c r="F12" i="39"/>
  <c r="L11" i="39"/>
  <c r="J11" i="39"/>
  <c r="H11" i="39"/>
  <c r="F11" i="39"/>
  <c r="L10" i="39"/>
  <c r="J10" i="39"/>
  <c r="H10" i="39"/>
  <c r="F10" i="39"/>
  <c r="L9" i="39"/>
  <c r="J9" i="39"/>
  <c r="H9" i="39"/>
  <c r="F9" i="39"/>
  <c r="L8" i="39"/>
  <c r="J8" i="39"/>
  <c r="H8" i="39"/>
  <c r="F8" i="39"/>
  <c r="L7" i="39"/>
  <c r="J7" i="39"/>
  <c r="H7" i="39"/>
  <c r="F7" i="39"/>
  <c r="L6" i="39"/>
  <c r="J6" i="39"/>
  <c r="H6" i="39"/>
  <c r="F6" i="39"/>
  <c r="P29" i="37"/>
  <c r="O29" i="37"/>
  <c r="P28" i="37"/>
  <c r="O28" i="37"/>
  <c r="P27" i="37"/>
  <c r="O27" i="37"/>
  <c r="N29" i="37"/>
  <c r="M29" i="37"/>
  <c r="N28" i="37"/>
  <c r="M28" i="37"/>
  <c r="N27" i="37"/>
  <c r="M27" i="37"/>
  <c r="L29" i="37"/>
  <c r="L28" i="37"/>
  <c r="L27" i="37"/>
  <c r="G78" i="37"/>
  <c r="H78" i="37" s="1"/>
  <c r="G77" i="37"/>
  <c r="G76" i="37"/>
  <c r="G75" i="37"/>
  <c r="G74" i="37"/>
  <c r="H74" i="37" s="1"/>
  <c r="G73" i="37"/>
  <c r="G72" i="37"/>
  <c r="G71" i="37"/>
  <c r="H71" i="37" s="1"/>
  <c r="G70" i="37"/>
  <c r="G69" i="37"/>
  <c r="H69" i="37" s="1"/>
  <c r="G68" i="37"/>
  <c r="H68" i="37" s="1"/>
  <c r="G67" i="37"/>
  <c r="G66" i="37"/>
  <c r="G65" i="37"/>
  <c r="H65" i="37" s="1"/>
  <c r="G64" i="37"/>
  <c r="G63" i="37"/>
  <c r="G62" i="37"/>
  <c r="H62" i="37" s="1"/>
  <c r="G61" i="37"/>
  <c r="H61" i="37" s="1"/>
  <c r="G60" i="37"/>
  <c r="H60" i="37" s="1"/>
  <c r="G59" i="37"/>
  <c r="H59" i="37" s="1"/>
  <c r="G52" i="37"/>
  <c r="G51" i="37"/>
  <c r="H51" i="37" s="1"/>
  <c r="G50" i="37"/>
  <c r="G49" i="37"/>
  <c r="H49" i="37" s="1"/>
  <c r="G48" i="37"/>
  <c r="G47" i="37"/>
  <c r="H47" i="37" s="1"/>
  <c r="G46" i="37"/>
  <c r="G45" i="37"/>
  <c r="G44" i="37"/>
  <c r="H44" i="37" s="1"/>
  <c r="G43" i="37"/>
  <c r="H43" i="37" s="1"/>
  <c r="G42" i="37"/>
  <c r="G41" i="37"/>
  <c r="H41" i="37" s="1"/>
  <c r="G40" i="37"/>
  <c r="G39" i="37"/>
  <c r="G38" i="37"/>
  <c r="G37" i="37"/>
  <c r="H37" i="37" s="1"/>
  <c r="G36" i="37"/>
  <c r="H36" i="37" s="1"/>
  <c r="G35" i="37"/>
  <c r="G34" i="37"/>
  <c r="G33" i="37"/>
  <c r="H33" i="37" s="1"/>
  <c r="G25" i="37"/>
  <c r="H25" i="37" s="1"/>
  <c r="G24" i="37"/>
  <c r="H24" i="37" s="1"/>
  <c r="G23" i="37"/>
  <c r="H23" i="37" s="1"/>
  <c r="G22" i="37"/>
  <c r="G21" i="37"/>
  <c r="H21" i="37" s="1"/>
  <c r="G20" i="37"/>
  <c r="G19" i="37"/>
  <c r="H19" i="37" s="1"/>
  <c r="G18" i="37"/>
  <c r="H18" i="37" s="1"/>
  <c r="G17" i="37"/>
  <c r="G16" i="37"/>
  <c r="G15" i="37"/>
  <c r="G14" i="37"/>
  <c r="H14" i="37" s="1"/>
  <c r="G13" i="37"/>
  <c r="G12" i="37"/>
  <c r="H12" i="37" s="1"/>
  <c r="G11" i="37"/>
  <c r="H11" i="37" s="1"/>
  <c r="G10" i="37"/>
  <c r="G9" i="37"/>
  <c r="H9" i="37" s="1"/>
  <c r="G8" i="37"/>
  <c r="G7" i="37"/>
  <c r="H7" i="37" s="1"/>
  <c r="G6" i="37"/>
  <c r="H75" i="37" l="1"/>
  <c r="H76" i="37"/>
  <c r="H77" i="37"/>
  <c r="H72" i="37"/>
  <c r="H73" i="37"/>
  <c r="H67" i="37"/>
  <c r="H70" i="37"/>
  <c r="H63" i="37"/>
  <c r="H64" i="37"/>
  <c r="H66" i="37"/>
  <c r="H50" i="37"/>
  <c r="H52" i="37"/>
  <c r="H45" i="37"/>
  <c r="H46" i="37"/>
  <c r="H48" i="37"/>
  <c r="H42" i="37"/>
  <c r="H38" i="37"/>
  <c r="H39" i="37"/>
  <c r="H40" i="37"/>
  <c r="H34" i="37"/>
  <c r="H35" i="37"/>
  <c r="H22" i="37"/>
  <c r="H20" i="37"/>
  <c r="H15" i="37"/>
  <c r="H16" i="37"/>
  <c r="H17" i="37"/>
  <c r="H10" i="37"/>
  <c r="H13" i="37"/>
  <c r="H6" i="37"/>
  <c r="H8" i="37"/>
  <c r="D29" i="38" l="1"/>
  <c r="D28" i="38"/>
  <c r="D27" i="38"/>
  <c r="C29" i="38"/>
  <c r="C28" i="38"/>
  <c r="C27" i="38"/>
  <c r="B29" i="38"/>
  <c r="B28" i="38"/>
  <c r="B27" i="38"/>
  <c r="G42" i="35"/>
  <c r="H42" i="35" s="1"/>
  <c r="G41" i="35"/>
  <c r="G40" i="35"/>
  <c r="G39" i="35"/>
  <c r="H39" i="35" s="1"/>
  <c r="G38" i="35"/>
  <c r="G37" i="35"/>
  <c r="G36" i="35"/>
  <c r="G35" i="35"/>
  <c r="H35" i="35" s="1"/>
  <c r="H40" i="35" l="1"/>
  <c r="H41" i="35"/>
  <c r="H36" i="35"/>
  <c r="H37" i="35"/>
  <c r="H38" i="35"/>
  <c r="G25" i="35" l="1"/>
  <c r="H25" i="35" s="1"/>
  <c r="G26" i="35"/>
  <c r="H26" i="35" s="1"/>
  <c r="G27" i="35"/>
  <c r="H27" i="35" s="1"/>
  <c r="G28" i="35"/>
  <c r="G21" i="35"/>
  <c r="H21" i="35" s="1"/>
  <c r="G22" i="35"/>
  <c r="G23" i="35"/>
  <c r="H23" i="35" s="1"/>
  <c r="G24" i="35"/>
  <c r="G13" i="35"/>
  <c r="H13" i="35" s="1"/>
  <c r="G12" i="35"/>
  <c r="H12" i="35" s="1"/>
  <c r="G11" i="35"/>
  <c r="G10" i="35"/>
  <c r="G9" i="35"/>
  <c r="G8" i="35"/>
  <c r="G7" i="35"/>
  <c r="G6" i="35"/>
  <c r="H28" i="35" l="1"/>
  <c r="H24" i="35"/>
  <c r="H22" i="35"/>
  <c r="H10" i="35"/>
  <c r="H11" i="35"/>
  <c r="H7" i="35"/>
  <c r="H8" i="35"/>
  <c r="H6" i="35"/>
  <c r="H9" i="35"/>
  <c r="AC55" i="34" l="1"/>
  <c r="AA55" i="34"/>
  <c r="Y55" i="34"/>
  <c r="W55" i="34"/>
  <c r="U55" i="34"/>
  <c r="S55" i="34"/>
  <c r="Q55" i="34"/>
  <c r="O55" i="34"/>
  <c r="AC54" i="34"/>
  <c r="AA54" i="34"/>
  <c r="Y54" i="34"/>
  <c r="W54" i="34"/>
  <c r="U54" i="34"/>
  <c r="S54" i="34"/>
  <c r="Q54" i="34"/>
  <c r="O54" i="34"/>
  <c r="AC53" i="34"/>
  <c r="AA53" i="34"/>
  <c r="Y53" i="34"/>
  <c r="W53" i="34"/>
  <c r="U53" i="34"/>
  <c r="S53" i="34"/>
  <c r="Q53" i="34"/>
  <c r="O53" i="34"/>
  <c r="AC52" i="34"/>
  <c r="AA52" i="34"/>
  <c r="Y52" i="34"/>
  <c r="W52" i="34"/>
  <c r="U52" i="34"/>
  <c r="S52" i="34"/>
  <c r="Q52" i="34"/>
  <c r="O52" i="34"/>
  <c r="AC51" i="34"/>
  <c r="AA51" i="34"/>
  <c r="Y51" i="34"/>
  <c r="W51" i="34"/>
  <c r="U51" i="34"/>
  <c r="S51" i="34"/>
  <c r="Q51" i="34"/>
  <c r="O51" i="34"/>
  <c r="AC50" i="34"/>
  <c r="AA50" i="34"/>
  <c r="Y50" i="34"/>
  <c r="W50" i="34"/>
  <c r="U50" i="34"/>
  <c r="S50" i="34"/>
  <c r="Q50" i="34"/>
  <c r="O50" i="34"/>
  <c r="AC49" i="34"/>
  <c r="AA49" i="34"/>
  <c r="Y49" i="34"/>
  <c r="W49" i="34"/>
  <c r="U49" i="34"/>
  <c r="S49" i="34"/>
  <c r="Q49" i="34"/>
  <c r="O49" i="34"/>
  <c r="AC48" i="34"/>
  <c r="AA48" i="34"/>
  <c r="Y48" i="34"/>
  <c r="W48" i="34"/>
  <c r="U48" i="34"/>
  <c r="S48" i="34"/>
  <c r="Q48" i="34"/>
  <c r="O48" i="34"/>
  <c r="AC47" i="34"/>
  <c r="AA47" i="34"/>
  <c r="Y47" i="34"/>
  <c r="W47" i="34"/>
  <c r="U47" i="34"/>
  <c r="S47" i="34"/>
  <c r="Q47" i="34"/>
  <c r="O47" i="34"/>
  <c r="AC46" i="34"/>
  <c r="AA46" i="34"/>
  <c r="Y46" i="34"/>
  <c r="W46" i="34"/>
  <c r="U46" i="34"/>
  <c r="S46" i="34"/>
  <c r="Q46" i="34"/>
  <c r="O46" i="34"/>
  <c r="AC45" i="34"/>
  <c r="AA45" i="34"/>
  <c r="Y45" i="34"/>
  <c r="W45" i="34"/>
  <c r="U45" i="34"/>
  <c r="S45" i="34"/>
  <c r="Q45" i="34"/>
  <c r="O45" i="34"/>
  <c r="AC44" i="34"/>
  <c r="AA44" i="34"/>
  <c r="Y44" i="34"/>
  <c r="W44" i="34"/>
  <c r="U44" i="34"/>
  <c r="S44" i="34"/>
  <c r="Q44" i="34"/>
  <c r="O44" i="34"/>
  <c r="O43" i="34"/>
  <c r="W42" i="34"/>
  <c r="U42" i="34"/>
  <c r="S42" i="34"/>
  <c r="Q42" i="34"/>
  <c r="O42" i="34"/>
  <c r="S41" i="34"/>
  <c r="Q41" i="34"/>
  <c r="O41" i="34"/>
  <c r="AA40" i="34"/>
  <c r="Y40" i="34"/>
  <c r="W40" i="34"/>
  <c r="U40" i="34"/>
  <c r="S40" i="34"/>
  <c r="Q40" i="34"/>
  <c r="O40" i="34"/>
  <c r="Q39" i="34"/>
  <c r="O39" i="34"/>
  <c r="Q38" i="34"/>
  <c r="O38" i="34"/>
  <c r="O37" i="34"/>
  <c r="AC36" i="34"/>
  <c r="AA36" i="34"/>
  <c r="Y36" i="34"/>
  <c r="W36" i="34"/>
  <c r="U36" i="34"/>
  <c r="S36" i="34"/>
  <c r="Q36" i="34"/>
  <c r="O36" i="34"/>
  <c r="O35" i="34"/>
  <c r="S34" i="34"/>
  <c r="Q34" i="34"/>
  <c r="O34" i="34"/>
  <c r="AC33" i="34"/>
  <c r="AA33" i="34"/>
  <c r="Y33" i="34"/>
  <c r="W33" i="34"/>
  <c r="U33" i="34"/>
  <c r="S33" i="34"/>
  <c r="Q33" i="34"/>
  <c r="O33" i="34"/>
  <c r="Q32" i="34"/>
  <c r="O32" i="34"/>
  <c r="AS24" i="34" l="1"/>
  <c r="AQ24" i="34"/>
  <c r="AO24" i="34"/>
  <c r="AM24" i="34"/>
  <c r="AK24" i="34"/>
  <c r="AI24" i="34"/>
  <c r="AG24" i="34"/>
  <c r="AE24" i="34"/>
  <c r="AC24" i="34"/>
  <c r="AA24" i="34"/>
  <c r="Y24" i="34"/>
  <c r="W24" i="34"/>
  <c r="U24" i="34"/>
  <c r="S24" i="34"/>
  <c r="Q24" i="34"/>
  <c r="O24" i="34"/>
  <c r="AS23" i="34"/>
  <c r="AQ23" i="34"/>
  <c r="AO23" i="34"/>
  <c r="AM23" i="34"/>
  <c r="AK23" i="34"/>
  <c r="AI23" i="34"/>
  <c r="AG23" i="34"/>
  <c r="AE23" i="34"/>
  <c r="AC23" i="34"/>
  <c r="AA23" i="34"/>
  <c r="Y23" i="34"/>
  <c r="W23" i="34"/>
  <c r="U23" i="34"/>
  <c r="S23" i="34"/>
  <c r="Q23" i="34"/>
  <c r="O23" i="34"/>
  <c r="AS22" i="34"/>
  <c r="AQ22" i="34"/>
  <c r="AO22" i="34"/>
  <c r="AM22" i="34"/>
  <c r="AK22" i="34"/>
  <c r="AI22" i="34"/>
  <c r="AG22" i="34"/>
  <c r="AE22" i="34"/>
  <c r="AC22" i="34"/>
  <c r="AA22" i="34"/>
  <c r="Y22" i="34"/>
  <c r="W22" i="34"/>
  <c r="U22" i="34"/>
  <c r="S22" i="34"/>
  <c r="Q22" i="34"/>
  <c r="O22" i="34"/>
  <c r="AS21" i="34"/>
  <c r="AQ21" i="34"/>
  <c r="AO21" i="34"/>
  <c r="AM21" i="34"/>
  <c r="AK21" i="34"/>
  <c r="AI21" i="34"/>
  <c r="AG21" i="34"/>
  <c r="AE21" i="34"/>
  <c r="AC21" i="34"/>
  <c r="AA21" i="34"/>
  <c r="Y21" i="34"/>
  <c r="W21" i="34"/>
  <c r="U21" i="34"/>
  <c r="S21" i="34"/>
  <c r="Q21" i="34"/>
  <c r="O21" i="34"/>
  <c r="AS20" i="34"/>
  <c r="AQ20" i="34"/>
  <c r="AO20" i="34"/>
  <c r="AM20" i="34"/>
  <c r="AK20" i="34"/>
  <c r="AI20" i="34"/>
  <c r="AG20" i="34"/>
  <c r="AE20" i="34"/>
  <c r="AC20" i="34"/>
  <c r="AA20" i="34"/>
  <c r="Y20" i="34"/>
  <c r="W20" i="34"/>
  <c r="U20" i="34"/>
  <c r="S20" i="34"/>
  <c r="Q20" i="34"/>
  <c r="O20" i="34"/>
  <c r="AS19" i="34"/>
  <c r="AQ19" i="34"/>
  <c r="AO19" i="34"/>
  <c r="AM19" i="34"/>
  <c r="AK19" i="34"/>
  <c r="AI19" i="34"/>
  <c r="AG19" i="34"/>
  <c r="AE19" i="34"/>
  <c r="AC19" i="34"/>
  <c r="AA19" i="34"/>
  <c r="Y19" i="34"/>
  <c r="W19" i="34"/>
  <c r="U19" i="34"/>
  <c r="S19" i="34"/>
  <c r="Q19" i="34"/>
  <c r="O19" i="34"/>
  <c r="AI18" i="34"/>
  <c r="AG18" i="34"/>
  <c r="AE18" i="34"/>
  <c r="AC18" i="34"/>
  <c r="AA18" i="34"/>
  <c r="Y18" i="34"/>
  <c r="W18" i="34"/>
  <c r="U18" i="34"/>
  <c r="S18" i="34"/>
  <c r="Q18" i="34"/>
  <c r="O18" i="34"/>
  <c r="AS17" i="34"/>
  <c r="AQ17" i="34"/>
  <c r="AO17" i="34"/>
  <c r="AM17" i="34"/>
  <c r="AK17" i="34"/>
  <c r="AI17" i="34"/>
  <c r="AG17" i="34"/>
  <c r="AE17" i="34"/>
  <c r="AC17" i="34"/>
  <c r="AA17" i="34"/>
  <c r="Y17" i="34"/>
  <c r="W17" i="34"/>
  <c r="U17" i="34"/>
  <c r="S17" i="34"/>
  <c r="Q17" i="34"/>
  <c r="O17" i="34"/>
  <c r="AS16" i="34"/>
  <c r="AQ16" i="34"/>
  <c r="AO16" i="34"/>
  <c r="AM16" i="34"/>
  <c r="AK16" i="34"/>
  <c r="AI16" i="34"/>
  <c r="AG16" i="34"/>
  <c r="AE16" i="34"/>
  <c r="AC16" i="34"/>
  <c r="AA16" i="34"/>
  <c r="Y16" i="34"/>
  <c r="W16" i="34"/>
  <c r="U16" i="34"/>
  <c r="S16" i="34"/>
  <c r="Q16" i="34"/>
  <c r="O16" i="34"/>
  <c r="AS15" i="34"/>
  <c r="AQ15" i="34"/>
  <c r="AO15" i="34"/>
  <c r="AM15" i="34"/>
  <c r="AK15" i="34"/>
  <c r="AI15" i="34"/>
  <c r="AG15" i="34"/>
  <c r="AE15" i="34"/>
  <c r="AC15" i="34"/>
  <c r="AA15" i="34"/>
  <c r="Y15" i="34"/>
  <c r="W15" i="34"/>
  <c r="U15" i="34"/>
  <c r="S15" i="34"/>
  <c r="Q15" i="34"/>
  <c r="O15" i="34"/>
  <c r="AA14" i="34"/>
  <c r="Y14" i="34"/>
  <c r="W14" i="34"/>
  <c r="U14" i="34"/>
  <c r="S14" i="34"/>
  <c r="Q14" i="34"/>
  <c r="O14" i="34"/>
  <c r="AS13" i="34"/>
  <c r="AQ13" i="34"/>
  <c r="AO13" i="34"/>
  <c r="AM13" i="34"/>
  <c r="AK13" i="34"/>
  <c r="AI13" i="34"/>
  <c r="AG13" i="34"/>
  <c r="AE13" i="34"/>
  <c r="AC13" i="34"/>
  <c r="AA13" i="34"/>
  <c r="Y13" i="34"/>
  <c r="W13" i="34"/>
  <c r="U13" i="34"/>
  <c r="S13" i="34"/>
  <c r="Q13" i="34"/>
  <c r="O13" i="34"/>
  <c r="Q12" i="34"/>
  <c r="O12" i="34"/>
  <c r="AC11" i="34"/>
  <c r="AA11" i="34"/>
  <c r="Y11" i="34"/>
  <c r="W11" i="34"/>
  <c r="U11" i="34"/>
  <c r="S11" i="34"/>
  <c r="Q11" i="34"/>
  <c r="O11" i="34"/>
  <c r="AS10" i="34"/>
  <c r="AQ10" i="34"/>
  <c r="AO10" i="34"/>
  <c r="AM10" i="34"/>
  <c r="AK10" i="34"/>
  <c r="AI10" i="34"/>
  <c r="AG10" i="34"/>
  <c r="AE10" i="34"/>
  <c r="AC10" i="34"/>
  <c r="AA10" i="34"/>
  <c r="Y10" i="34"/>
  <c r="W10" i="34"/>
  <c r="U10" i="34"/>
  <c r="S10" i="34"/>
  <c r="Q10" i="34"/>
  <c r="O10" i="34"/>
  <c r="AA9" i="34"/>
  <c r="Y9" i="34"/>
  <c r="W9" i="34"/>
  <c r="U9" i="34"/>
  <c r="S9" i="34"/>
  <c r="Q9" i="34"/>
  <c r="O9" i="34"/>
  <c r="Y8" i="34"/>
  <c r="W8" i="34"/>
  <c r="U8" i="34"/>
  <c r="S8" i="34"/>
  <c r="Q8" i="34"/>
  <c r="O8" i="34"/>
  <c r="AS7" i="34"/>
  <c r="AQ7" i="34"/>
  <c r="AO7" i="34"/>
  <c r="AM7" i="34"/>
  <c r="AK7" i="34"/>
  <c r="AI7" i="34"/>
  <c r="AG7" i="34"/>
  <c r="AE7" i="34"/>
  <c r="AC7" i="34"/>
  <c r="AA7" i="34"/>
  <c r="Y7" i="34"/>
  <c r="W7" i="34"/>
  <c r="U7" i="34"/>
  <c r="S7" i="34"/>
  <c r="Q7" i="34"/>
  <c r="O7" i="34"/>
  <c r="Q6" i="34"/>
  <c r="O6" i="34"/>
  <c r="AJ24" i="33"/>
  <c r="AH24" i="33"/>
  <c r="AF24" i="33"/>
  <c r="AD24" i="33"/>
  <c r="AB24" i="33"/>
  <c r="Z24" i="33"/>
  <c r="X24" i="33"/>
  <c r="V24" i="33"/>
  <c r="T24" i="33"/>
  <c r="R24" i="33"/>
  <c r="P24" i="33"/>
  <c r="N24" i="33"/>
  <c r="L24" i="33"/>
  <c r="J24" i="33"/>
  <c r="H24" i="33"/>
  <c r="F24" i="33"/>
  <c r="AJ23" i="33"/>
  <c r="AH23" i="33"/>
  <c r="AF23" i="33"/>
  <c r="AD23" i="33"/>
  <c r="AB23" i="33"/>
  <c r="Z23" i="33"/>
  <c r="X23" i="33"/>
  <c r="V23" i="33"/>
  <c r="T23" i="33"/>
  <c r="R23" i="33"/>
  <c r="P23" i="33"/>
  <c r="N23" i="33"/>
  <c r="L23" i="33"/>
  <c r="J23" i="33"/>
  <c r="H23" i="33"/>
  <c r="F23" i="33"/>
  <c r="AJ22" i="33"/>
  <c r="AH22" i="33"/>
  <c r="AF22" i="33"/>
  <c r="AD22" i="33"/>
  <c r="AB22" i="33"/>
  <c r="Z22" i="33"/>
  <c r="X22" i="33"/>
  <c r="V22" i="33"/>
  <c r="T22" i="33"/>
  <c r="R22" i="33"/>
  <c r="P22" i="33"/>
  <c r="N22" i="33"/>
  <c r="L22" i="33"/>
  <c r="J22" i="33"/>
  <c r="H22" i="33"/>
  <c r="F22" i="33"/>
  <c r="AJ21" i="33"/>
  <c r="AH21" i="33"/>
  <c r="AF21" i="33"/>
  <c r="AD21" i="33"/>
  <c r="AB21" i="33"/>
  <c r="Z21" i="33"/>
  <c r="X21" i="33"/>
  <c r="V21" i="33"/>
  <c r="T21" i="33"/>
  <c r="R21" i="33"/>
  <c r="P21" i="33"/>
  <c r="N21" i="33"/>
  <c r="L21" i="33"/>
  <c r="J21" i="33"/>
  <c r="H21" i="33"/>
  <c r="F21" i="33"/>
  <c r="AJ20" i="33"/>
  <c r="AH20" i="33"/>
  <c r="AF20" i="33"/>
  <c r="AD20" i="33"/>
  <c r="AB20" i="33"/>
  <c r="Z20" i="33"/>
  <c r="X20" i="33"/>
  <c r="V20" i="33"/>
  <c r="T20" i="33"/>
  <c r="R20" i="33"/>
  <c r="P20" i="33"/>
  <c r="N20" i="33"/>
  <c r="L20" i="33"/>
  <c r="J20" i="33"/>
  <c r="H20" i="33"/>
  <c r="F20" i="33"/>
  <c r="AJ19" i="33"/>
  <c r="AH19" i="33"/>
  <c r="AF19" i="33"/>
  <c r="AD19" i="33"/>
  <c r="AB19" i="33"/>
  <c r="Z19" i="33"/>
  <c r="X19" i="33"/>
  <c r="V19" i="33"/>
  <c r="T19" i="33"/>
  <c r="R19" i="33"/>
  <c r="P19" i="33"/>
  <c r="N19" i="33"/>
  <c r="L19" i="33"/>
  <c r="J19" i="33"/>
  <c r="H19" i="33"/>
  <c r="F19" i="33"/>
  <c r="Z18" i="33"/>
  <c r="X18" i="33"/>
  <c r="V18" i="33"/>
  <c r="T18" i="33"/>
  <c r="R18" i="33"/>
  <c r="P18" i="33"/>
  <c r="N18" i="33"/>
  <c r="L18" i="33"/>
  <c r="J18" i="33"/>
  <c r="H18" i="33"/>
  <c r="F18" i="33"/>
  <c r="AJ17" i="33"/>
  <c r="AH17" i="33"/>
  <c r="AF17" i="33"/>
  <c r="AD17" i="33"/>
  <c r="AB17" i="33"/>
  <c r="Z17" i="33"/>
  <c r="X17" i="33"/>
  <c r="V17" i="33"/>
  <c r="T17" i="33"/>
  <c r="R17" i="33"/>
  <c r="P17" i="33"/>
  <c r="N17" i="33"/>
  <c r="L17" i="33"/>
  <c r="J17" i="33"/>
  <c r="H17" i="33"/>
  <c r="F17" i="33"/>
  <c r="AJ16" i="33"/>
  <c r="AH16" i="33"/>
  <c r="AF16" i="33"/>
  <c r="AD16" i="33"/>
  <c r="AB16" i="33"/>
  <c r="Z16" i="33"/>
  <c r="X16" i="33"/>
  <c r="V16" i="33"/>
  <c r="T16" i="33"/>
  <c r="R16" i="33"/>
  <c r="P16" i="33"/>
  <c r="N16" i="33"/>
  <c r="L16" i="33"/>
  <c r="J16" i="33"/>
  <c r="H16" i="33"/>
  <c r="F16" i="33"/>
  <c r="AJ15" i="33"/>
  <c r="AH15" i="33"/>
  <c r="AF15" i="33"/>
  <c r="AD15" i="33"/>
  <c r="AB15" i="33"/>
  <c r="Z15" i="33"/>
  <c r="X15" i="33"/>
  <c r="V15" i="33"/>
  <c r="T15" i="33"/>
  <c r="R15" i="33"/>
  <c r="P15" i="33"/>
  <c r="N15" i="33"/>
  <c r="L15" i="33"/>
  <c r="J15" i="33"/>
  <c r="H15" i="33"/>
  <c r="F15" i="33"/>
  <c r="R14" i="33"/>
  <c r="P14" i="33"/>
  <c r="N14" i="33"/>
  <c r="L14" i="33"/>
  <c r="J14" i="33"/>
  <c r="H14" i="33"/>
  <c r="F14" i="33"/>
  <c r="AJ13" i="33"/>
  <c r="AH13" i="33"/>
  <c r="AF13" i="33"/>
  <c r="AD13" i="33"/>
  <c r="AB13" i="33"/>
  <c r="Z13" i="33"/>
  <c r="X13" i="33"/>
  <c r="V13" i="33"/>
  <c r="T13" i="33"/>
  <c r="R13" i="33"/>
  <c r="P13" i="33"/>
  <c r="N13" i="33"/>
  <c r="L13" i="33"/>
  <c r="J13" i="33"/>
  <c r="H13" i="33"/>
  <c r="F13" i="33"/>
  <c r="H12" i="33"/>
  <c r="F12" i="33"/>
  <c r="T11" i="33"/>
  <c r="R11" i="33"/>
  <c r="P11" i="33"/>
  <c r="N11" i="33"/>
  <c r="L11" i="33"/>
  <c r="J11" i="33"/>
  <c r="H11" i="33"/>
  <c r="F11" i="33"/>
  <c r="AJ10" i="33"/>
  <c r="AH10" i="33"/>
  <c r="AF10" i="33"/>
  <c r="AD10" i="33"/>
  <c r="AB10" i="33"/>
  <c r="Z10" i="33"/>
  <c r="X10" i="33"/>
  <c r="V10" i="33"/>
  <c r="T10" i="33"/>
  <c r="R10" i="33"/>
  <c r="P10" i="33"/>
  <c r="N10" i="33"/>
  <c r="L10" i="33"/>
  <c r="J10" i="33"/>
  <c r="H10" i="33"/>
  <c r="F10" i="33"/>
  <c r="R9" i="33"/>
  <c r="P9" i="33"/>
  <c r="N9" i="33"/>
  <c r="L9" i="33"/>
  <c r="J9" i="33"/>
  <c r="H9" i="33"/>
  <c r="F9" i="33"/>
  <c r="P8" i="33"/>
  <c r="N8" i="33"/>
  <c r="L8" i="33"/>
  <c r="J8" i="33"/>
  <c r="H8" i="33"/>
  <c r="F8" i="33"/>
  <c r="AJ7" i="33"/>
  <c r="AH7" i="33"/>
  <c r="AF7" i="33"/>
  <c r="AD7" i="33"/>
  <c r="AB7" i="33"/>
  <c r="Z7" i="33"/>
  <c r="X7" i="33"/>
  <c r="V7" i="33"/>
  <c r="T7" i="33"/>
  <c r="R7" i="33"/>
  <c r="P7" i="33"/>
  <c r="N7" i="33"/>
  <c r="L7" i="33"/>
  <c r="J7" i="33"/>
  <c r="H7" i="33"/>
  <c r="F7" i="33"/>
  <c r="H6" i="33"/>
  <c r="F6" i="33"/>
  <c r="V41" i="30" l="1"/>
  <c r="T41" i="30"/>
  <c r="R41" i="30"/>
  <c r="P41" i="30"/>
  <c r="N41" i="30"/>
  <c r="L41" i="30"/>
  <c r="J41" i="30"/>
  <c r="H41" i="30"/>
  <c r="F41" i="30"/>
  <c r="V40" i="30"/>
  <c r="T40" i="30"/>
  <c r="R40" i="30"/>
  <c r="P40" i="30"/>
  <c r="N40" i="30"/>
  <c r="L40" i="30"/>
  <c r="J40" i="30"/>
  <c r="H40" i="30"/>
  <c r="F40" i="30"/>
  <c r="V39" i="30"/>
  <c r="T39" i="30"/>
  <c r="R39" i="30"/>
  <c r="P39" i="30"/>
  <c r="N39" i="30"/>
  <c r="L39" i="30"/>
  <c r="J39" i="30"/>
  <c r="H39" i="30"/>
  <c r="F39" i="30"/>
  <c r="P38" i="30"/>
  <c r="N38" i="30"/>
  <c r="L38" i="30"/>
  <c r="J38" i="30"/>
  <c r="H38" i="30"/>
  <c r="F38" i="30"/>
  <c r="V37" i="30"/>
  <c r="T37" i="30"/>
  <c r="R37" i="30"/>
  <c r="P37" i="30"/>
  <c r="N37" i="30"/>
  <c r="L37" i="30"/>
  <c r="J37" i="30"/>
  <c r="H37" i="30"/>
  <c r="F37" i="30"/>
  <c r="V36" i="30"/>
  <c r="T36" i="30"/>
  <c r="R36" i="30"/>
  <c r="P36" i="30"/>
  <c r="N36" i="30"/>
  <c r="L36" i="30"/>
  <c r="J36" i="30"/>
  <c r="H36" i="30"/>
  <c r="F36" i="30"/>
  <c r="V35" i="30"/>
  <c r="T35" i="30"/>
  <c r="R35" i="30"/>
  <c r="P35" i="30"/>
  <c r="N35" i="30"/>
  <c r="L35" i="30"/>
  <c r="J35" i="30"/>
  <c r="H35" i="30"/>
  <c r="F35" i="30"/>
  <c r="V34" i="30"/>
  <c r="T34" i="30"/>
  <c r="R34" i="30"/>
  <c r="P34" i="30"/>
  <c r="N34" i="30"/>
  <c r="L34" i="30"/>
  <c r="J34" i="30"/>
  <c r="H34" i="30"/>
  <c r="F34" i="30"/>
  <c r="V33" i="30"/>
  <c r="T33" i="30"/>
  <c r="R33" i="30"/>
  <c r="P33" i="30"/>
  <c r="N33" i="30"/>
  <c r="L33" i="30"/>
  <c r="J33" i="30"/>
  <c r="H33" i="30"/>
  <c r="F33" i="30"/>
  <c r="V32" i="30"/>
  <c r="T32" i="30"/>
  <c r="R32" i="30"/>
  <c r="P32" i="30"/>
  <c r="N32" i="30"/>
  <c r="L32" i="30"/>
  <c r="J32" i="30"/>
  <c r="H32" i="30"/>
  <c r="F32" i="30"/>
  <c r="V31" i="30"/>
  <c r="T31" i="30"/>
  <c r="R31" i="30"/>
  <c r="P31" i="30"/>
  <c r="N31" i="30"/>
  <c r="L31" i="30"/>
  <c r="J31" i="30"/>
  <c r="H31" i="30"/>
  <c r="F31" i="30"/>
  <c r="V30" i="30"/>
  <c r="T30" i="30"/>
  <c r="R30" i="30"/>
  <c r="P30" i="30"/>
  <c r="N30" i="30"/>
  <c r="L30" i="30"/>
  <c r="J30" i="30"/>
  <c r="H30" i="30"/>
  <c r="F30" i="30"/>
  <c r="V29" i="30"/>
  <c r="T29" i="30"/>
  <c r="R29" i="30"/>
  <c r="P29" i="30"/>
  <c r="N29" i="30"/>
  <c r="L29" i="30"/>
  <c r="J29" i="30"/>
  <c r="H29" i="30"/>
  <c r="F29" i="30"/>
  <c r="V28" i="30"/>
  <c r="T28" i="30"/>
  <c r="R28" i="30"/>
  <c r="P28" i="30"/>
  <c r="N28" i="30"/>
  <c r="L28" i="30"/>
  <c r="J28" i="30"/>
  <c r="H28" i="30"/>
  <c r="F28" i="30"/>
  <c r="V27" i="30"/>
  <c r="T27" i="30"/>
  <c r="R27" i="30"/>
  <c r="P27" i="30"/>
  <c r="N27" i="30"/>
  <c r="L27" i="30"/>
  <c r="J27" i="30"/>
  <c r="H27" i="30"/>
  <c r="F27" i="30"/>
  <c r="V62" i="29"/>
  <c r="T62" i="29"/>
  <c r="R62" i="29"/>
  <c r="P62" i="29"/>
  <c r="N62" i="29"/>
  <c r="L62" i="29"/>
  <c r="J62" i="29"/>
  <c r="H62" i="29"/>
  <c r="F62" i="29"/>
  <c r="T61" i="29"/>
  <c r="R61" i="29"/>
  <c r="P61" i="29"/>
  <c r="N61" i="29"/>
  <c r="L61" i="29"/>
  <c r="J61" i="29"/>
  <c r="H61" i="29"/>
  <c r="F61" i="29"/>
  <c r="V60" i="29"/>
  <c r="T60" i="29"/>
  <c r="R60" i="29"/>
  <c r="P60" i="29"/>
  <c r="N60" i="29"/>
  <c r="L60" i="29"/>
  <c r="J60" i="29"/>
  <c r="H60" i="29"/>
  <c r="F60" i="29"/>
  <c r="V59" i="29"/>
  <c r="T59" i="29"/>
  <c r="R59" i="29"/>
  <c r="P59" i="29"/>
  <c r="N59" i="29"/>
  <c r="L59" i="29"/>
  <c r="J59" i="29"/>
  <c r="H59" i="29"/>
  <c r="F59" i="29"/>
  <c r="V58" i="29"/>
  <c r="T58" i="29"/>
  <c r="R58" i="29"/>
  <c r="P58" i="29"/>
  <c r="N58" i="29"/>
  <c r="L58" i="29"/>
  <c r="J58" i="29"/>
  <c r="H58" i="29"/>
  <c r="F58" i="29"/>
  <c r="V57" i="29"/>
  <c r="T57" i="29"/>
  <c r="R57" i="29"/>
  <c r="P57" i="29"/>
  <c r="N57" i="29"/>
  <c r="L57" i="29"/>
  <c r="J57" i="29"/>
  <c r="H57" i="29"/>
  <c r="F57" i="29"/>
  <c r="V56" i="29"/>
  <c r="T56" i="29"/>
  <c r="R56" i="29"/>
  <c r="P56" i="29"/>
  <c r="N56" i="29"/>
  <c r="L56" i="29"/>
  <c r="J56" i="29"/>
  <c r="H56" i="29"/>
  <c r="F56" i="29"/>
  <c r="V55" i="29"/>
  <c r="T55" i="29"/>
  <c r="R55" i="29"/>
  <c r="P55" i="29"/>
  <c r="N55" i="29"/>
  <c r="L55" i="29"/>
  <c r="J55" i="29"/>
  <c r="H55" i="29"/>
  <c r="F55" i="29"/>
  <c r="V54" i="29"/>
  <c r="T54" i="29"/>
  <c r="R54" i="29"/>
  <c r="P54" i="29"/>
  <c r="N54" i="29"/>
  <c r="L54" i="29"/>
  <c r="J54" i="29"/>
  <c r="H54" i="29"/>
  <c r="F54" i="29"/>
  <c r="V53" i="29"/>
  <c r="T53" i="29"/>
  <c r="R53" i="29"/>
  <c r="P53" i="29"/>
  <c r="N53" i="29"/>
  <c r="L53" i="29"/>
  <c r="J53" i="29"/>
  <c r="H53" i="29"/>
  <c r="F53" i="29"/>
  <c r="V52" i="29"/>
  <c r="T52" i="29"/>
  <c r="R52" i="29"/>
  <c r="P52" i="29"/>
  <c r="N52" i="29"/>
  <c r="L52" i="29"/>
  <c r="J52" i="29"/>
  <c r="H52" i="29"/>
  <c r="F52" i="29"/>
  <c r="V51" i="29"/>
  <c r="T51" i="29"/>
  <c r="R51" i="29"/>
  <c r="P51" i="29"/>
  <c r="N51" i="29"/>
  <c r="L51" i="29"/>
  <c r="J51" i="29"/>
  <c r="H51" i="29"/>
  <c r="F51" i="29"/>
  <c r="V50" i="29"/>
  <c r="T50" i="29"/>
  <c r="R50" i="29"/>
  <c r="P50" i="29"/>
  <c r="N50" i="29"/>
  <c r="L50" i="29"/>
  <c r="J50" i="29"/>
  <c r="H50" i="29"/>
  <c r="F50" i="29"/>
  <c r="V49" i="29"/>
  <c r="T49" i="29"/>
  <c r="R49" i="29"/>
  <c r="P49" i="29"/>
  <c r="N49" i="29"/>
  <c r="L49" i="29"/>
  <c r="J49" i="29"/>
  <c r="H49" i="29"/>
  <c r="F49" i="29"/>
  <c r="V48" i="29"/>
  <c r="T48" i="29"/>
  <c r="R48" i="29"/>
  <c r="P48" i="29"/>
  <c r="N48" i="29"/>
  <c r="L48" i="29"/>
  <c r="J48" i="29"/>
  <c r="H48" i="29"/>
  <c r="F48" i="29"/>
  <c r="V47" i="29"/>
  <c r="T47" i="29"/>
  <c r="R47" i="29"/>
  <c r="P47" i="29"/>
  <c r="N47" i="29"/>
  <c r="L47" i="29"/>
  <c r="J47" i="29"/>
  <c r="H47" i="29"/>
  <c r="F47" i="29"/>
  <c r="V46" i="29"/>
  <c r="T46" i="29"/>
  <c r="R46" i="29"/>
  <c r="P46" i="29"/>
  <c r="N46" i="29"/>
  <c r="L46" i="29"/>
  <c r="J46" i="29"/>
  <c r="H46" i="29"/>
  <c r="F46" i="29"/>
  <c r="V45" i="29"/>
  <c r="T45" i="29"/>
  <c r="R45" i="29"/>
  <c r="P45" i="29"/>
  <c r="N45" i="29"/>
  <c r="L45" i="29"/>
  <c r="J45" i="29"/>
  <c r="H45" i="29"/>
  <c r="F45" i="29"/>
  <c r="V44" i="29"/>
  <c r="T44" i="29"/>
  <c r="R44" i="29"/>
  <c r="P44" i="29"/>
  <c r="N44" i="29"/>
  <c r="L44" i="29"/>
  <c r="J44" i="29"/>
  <c r="H44" i="29"/>
  <c r="F44" i="29"/>
  <c r="V43" i="29"/>
  <c r="T43" i="29"/>
  <c r="R43" i="29"/>
  <c r="P43" i="29"/>
  <c r="N43" i="29"/>
  <c r="L43" i="29"/>
  <c r="J43" i="29"/>
  <c r="H43" i="29"/>
  <c r="F43" i="29"/>
  <c r="V42" i="29"/>
  <c r="T42" i="29"/>
  <c r="R42" i="29"/>
  <c r="P42" i="29"/>
  <c r="N42" i="29"/>
  <c r="L42" i="29"/>
  <c r="J42" i="29"/>
  <c r="H42" i="29"/>
  <c r="F42" i="29"/>
  <c r="V41" i="29"/>
  <c r="T41" i="29"/>
  <c r="R41" i="29"/>
  <c r="P41" i="29"/>
  <c r="N41" i="29"/>
  <c r="L41" i="29"/>
  <c r="J41" i="29"/>
  <c r="H41" i="29"/>
  <c r="F41" i="29"/>
  <c r="V40" i="29"/>
  <c r="T40" i="29"/>
  <c r="R40" i="29"/>
  <c r="P40" i="29"/>
  <c r="N40" i="29"/>
  <c r="L40" i="29"/>
  <c r="J40" i="29"/>
  <c r="H40" i="29"/>
  <c r="F40" i="29"/>
  <c r="V39" i="29"/>
  <c r="T39" i="29"/>
  <c r="R39" i="29"/>
  <c r="P39" i="29"/>
  <c r="N39" i="29"/>
  <c r="L39" i="29"/>
  <c r="J39" i="29"/>
  <c r="H39" i="29"/>
  <c r="F39" i="29"/>
  <c r="V38" i="29"/>
  <c r="T38" i="29"/>
  <c r="R38" i="29"/>
  <c r="P38" i="29"/>
  <c r="N38" i="29"/>
  <c r="L38" i="29"/>
  <c r="J38" i="29"/>
  <c r="H38" i="29"/>
  <c r="F38" i="29"/>
  <c r="H41" i="31" l="1"/>
  <c r="F41" i="31"/>
  <c r="J40" i="31"/>
  <c r="H40" i="31"/>
  <c r="F40" i="31"/>
  <c r="J39" i="31"/>
  <c r="H39" i="31"/>
  <c r="F39" i="31"/>
  <c r="H38" i="31"/>
  <c r="F38" i="31"/>
  <c r="H37" i="31"/>
  <c r="F37" i="31"/>
  <c r="H36" i="31"/>
  <c r="F36" i="31"/>
  <c r="H35" i="31"/>
  <c r="F35" i="31"/>
  <c r="H34" i="31"/>
  <c r="F34" i="31"/>
  <c r="H33" i="31"/>
  <c r="F33" i="31"/>
  <c r="H32" i="31"/>
  <c r="F32" i="31"/>
  <c r="L31" i="31"/>
  <c r="J31" i="31"/>
  <c r="H31" i="31"/>
  <c r="F31" i="31"/>
  <c r="L30" i="31"/>
  <c r="J30" i="31"/>
  <c r="H30" i="31"/>
  <c r="F30" i="31"/>
  <c r="L29" i="31"/>
  <c r="J29" i="31"/>
  <c r="H29" i="31"/>
  <c r="F29" i="31"/>
  <c r="L28" i="31"/>
  <c r="J28" i="31"/>
  <c r="H28" i="31"/>
  <c r="F28" i="31"/>
  <c r="L27" i="31"/>
  <c r="J27" i="31"/>
  <c r="H27" i="31"/>
  <c r="F27" i="31"/>
  <c r="H62" i="28"/>
  <c r="F62" i="28"/>
  <c r="H61" i="28"/>
  <c r="F61" i="28"/>
  <c r="H60" i="28"/>
  <c r="F60" i="28"/>
  <c r="H59" i="28"/>
  <c r="F59" i="28"/>
  <c r="J58" i="28"/>
  <c r="H58" i="28"/>
  <c r="F58" i="28"/>
  <c r="J57" i="28"/>
  <c r="H57" i="28"/>
  <c r="F57" i="28"/>
  <c r="H56" i="28"/>
  <c r="F56" i="28"/>
  <c r="H55" i="28"/>
  <c r="F55" i="28"/>
  <c r="H54" i="28"/>
  <c r="F54" i="28"/>
  <c r="H53" i="28"/>
  <c r="F53" i="28"/>
  <c r="H52" i="28"/>
  <c r="F52" i="28"/>
  <c r="F51" i="28"/>
  <c r="H50" i="28"/>
  <c r="F50" i="28"/>
  <c r="H49" i="28"/>
  <c r="F49" i="28"/>
  <c r="H48" i="28"/>
  <c r="F48" i="28"/>
  <c r="H47" i="28"/>
  <c r="F47" i="28"/>
  <c r="H46" i="28"/>
  <c r="F46" i="28"/>
  <c r="H45" i="28"/>
  <c r="F45" i="28"/>
  <c r="H44" i="28"/>
  <c r="F44" i="28"/>
  <c r="H43" i="28"/>
  <c r="F43" i="28"/>
  <c r="L42" i="28"/>
  <c r="J42" i="28"/>
  <c r="H42" i="28"/>
  <c r="F42" i="28"/>
  <c r="L41" i="28"/>
  <c r="J41" i="28"/>
  <c r="H41" i="28"/>
  <c r="F41" i="28"/>
  <c r="L40" i="28"/>
  <c r="J40" i="28"/>
  <c r="H40" i="28"/>
  <c r="F40" i="28"/>
  <c r="L39" i="28"/>
  <c r="J39" i="28"/>
  <c r="H39" i="28"/>
  <c r="F39" i="28"/>
  <c r="L38" i="28"/>
  <c r="J38" i="28"/>
  <c r="H38" i="28"/>
  <c r="F38" i="28"/>
  <c r="N20" i="31" l="1"/>
  <c r="L20" i="31"/>
  <c r="J20" i="31"/>
  <c r="H20" i="31"/>
  <c r="F20" i="31"/>
  <c r="N19" i="31"/>
  <c r="L19" i="31"/>
  <c r="J19" i="31"/>
  <c r="H19" i="31"/>
  <c r="F19" i="31"/>
  <c r="N18" i="31"/>
  <c r="L18" i="31"/>
  <c r="J18" i="31"/>
  <c r="H18" i="31"/>
  <c r="F18" i="31"/>
  <c r="J17" i="31"/>
  <c r="H17" i="31"/>
  <c r="F17" i="31"/>
  <c r="H16" i="31"/>
  <c r="F16" i="31"/>
  <c r="N15" i="31"/>
  <c r="L15" i="31"/>
  <c r="J15" i="31"/>
  <c r="H15" i="31"/>
  <c r="F15" i="31"/>
  <c r="J14" i="31"/>
  <c r="H14" i="31"/>
  <c r="F14" i="31"/>
  <c r="N13" i="31"/>
  <c r="L13" i="31"/>
  <c r="J13" i="31"/>
  <c r="H13" i="31"/>
  <c r="F13" i="31"/>
  <c r="J12" i="31"/>
  <c r="H12" i="31"/>
  <c r="F12" i="31"/>
  <c r="N11" i="31"/>
  <c r="L11" i="31"/>
  <c r="J11" i="31"/>
  <c r="H11" i="31"/>
  <c r="F11" i="31"/>
  <c r="Z10" i="31"/>
  <c r="X10" i="31"/>
  <c r="V10" i="31"/>
  <c r="T10" i="31"/>
  <c r="R10" i="31"/>
  <c r="P10" i="31"/>
  <c r="N10" i="31"/>
  <c r="L10" i="31"/>
  <c r="J10" i="31"/>
  <c r="H10" i="31"/>
  <c r="F10" i="31"/>
  <c r="Z9" i="31"/>
  <c r="X9" i="31"/>
  <c r="V9" i="31"/>
  <c r="T9" i="31"/>
  <c r="R9" i="31"/>
  <c r="P9" i="31"/>
  <c r="N9" i="31"/>
  <c r="L9" i="31"/>
  <c r="J9" i="31"/>
  <c r="H9" i="31"/>
  <c r="F9" i="31"/>
  <c r="Z8" i="31"/>
  <c r="X8" i="31"/>
  <c r="V8" i="31"/>
  <c r="T8" i="31"/>
  <c r="R8" i="31"/>
  <c r="P8" i="31"/>
  <c r="N8" i="31"/>
  <c r="L8" i="31"/>
  <c r="J8" i="31"/>
  <c r="H8" i="31"/>
  <c r="F8" i="31"/>
  <c r="Z7" i="31"/>
  <c r="X7" i="31"/>
  <c r="V7" i="31"/>
  <c r="T7" i="31"/>
  <c r="R7" i="31"/>
  <c r="P7" i="31"/>
  <c r="N7" i="31"/>
  <c r="L7" i="31"/>
  <c r="J7" i="31"/>
  <c r="H7" i="31"/>
  <c r="F7" i="31"/>
  <c r="Z6" i="31"/>
  <c r="X6" i="31"/>
  <c r="V6" i="31"/>
  <c r="T6" i="31"/>
  <c r="R6" i="31"/>
  <c r="P6" i="31"/>
  <c r="N6" i="31"/>
  <c r="L6" i="31"/>
  <c r="J6" i="31"/>
  <c r="H6" i="31"/>
  <c r="F6" i="31"/>
  <c r="X20" i="30"/>
  <c r="V20" i="30"/>
  <c r="T20" i="30"/>
  <c r="R20" i="30"/>
  <c r="P20" i="30"/>
  <c r="N20" i="30"/>
  <c r="L20" i="30"/>
  <c r="J20" i="30"/>
  <c r="H20" i="30"/>
  <c r="F20" i="30"/>
  <c r="X19" i="30"/>
  <c r="V19" i="30"/>
  <c r="T19" i="30"/>
  <c r="R19" i="30"/>
  <c r="P19" i="30"/>
  <c r="N19" i="30"/>
  <c r="L19" i="30"/>
  <c r="J19" i="30"/>
  <c r="H19" i="30"/>
  <c r="F19" i="30"/>
  <c r="X18" i="30"/>
  <c r="V18" i="30"/>
  <c r="T18" i="30"/>
  <c r="R18" i="30"/>
  <c r="P18" i="30"/>
  <c r="N18" i="30"/>
  <c r="L18" i="30"/>
  <c r="J18" i="30"/>
  <c r="H18" i="30"/>
  <c r="F18" i="30"/>
  <c r="P17" i="30"/>
  <c r="N17" i="30"/>
  <c r="L17" i="30"/>
  <c r="J17" i="30"/>
  <c r="H17" i="30"/>
  <c r="F17" i="30"/>
  <c r="X16" i="30"/>
  <c r="V16" i="30"/>
  <c r="T16" i="30"/>
  <c r="R16" i="30"/>
  <c r="P16" i="30"/>
  <c r="N16" i="30"/>
  <c r="L16" i="30"/>
  <c r="J16" i="30"/>
  <c r="H16" i="30"/>
  <c r="F16" i="30"/>
  <c r="X15" i="30"/>
  <c r="V15" i="30"/>
  <c r="T15" i="30"/>
  <c r="R15" i="30"/>
  <c r="P15" i="30"/>
  <c r="N15" i="30"/>
  <c r="L15" i="30"/>
  <c r="J15" i="30"/>
  <c r="H15" i="30"/>
  <c r="F15" i="30"/>
  <c r="X14" i="30"/>
  <c r="V14" i="30"/>
  <c r="T14" i="30"/>
  <c r="R14" i="30"/>
  <c r="P14" i="30"/>
  <c r="N14" i="30"/>
  <c r="L14" i="30"/>
  <c r="J14" i="30"/>
  <c r="H14" i="30"/>
  <c r="F14" i="30"/>
  <c r="X13" i="30"/>
  <c r="V13" i="30"/>
  <c r="T13" i="30"/>
  <c r="R13" i="30"/>
  <c r="P13" i="30"/>
  <c r="N13" i="30"/>
  <c r="L13" i="30"/>
  <c r="J13" i="30"/>
  <c r="H13" i="30"/>
  <c r="F13" i="30"/>
  <c r="X12" i="30"/>
  <c r="V12" i="30"/>
  <c r="T12" i="30"/>
  <c r="R12" i="30"/>
  <c r="P12" i="30"/>
  <c r="N12" i="30"/>
  <c r="L12" i="30"/>
  <c r="J12" i="30"/>
  <c r="H12" i="30"/>
  <c r="F12" i="30"/>
  <c r="X11" i="30"/>
  <c r="V11" i="30"/>
  <c r="T11" i="30"/>
  <c r="R11" i="30"/>
  <c r="P11" i="30"/>
  <c r="N11" i="30"/>
  <c r="L11" i="30"/>
  <c r="J11" i="30"/>
  <c r="H11" i="30"/>
  <c r="F11" i="30"/>
  <c r="X10" i="30"/>
  <c r="V10" i="30"/>
  <c r="T10" i="30"/>
  <c r="R10" i="30"/>
  <c r="P10" i="30"/>
  <c r="N10" i="30"/>
  <c r="L10" i="30"/>
  <c r="J10" i="30"/>
  <c r="H10" i="30"/>
  <c r="F10" i="30"/>
  <c r="X9" i="30"/>
  <c r="V9" i="30"/>
  <c r="T9" i="30"/>
  <c r="R9" i="30"/>
  <c r="P9" i="30"/>
  <c r="N9" i="30"/>
  <c r="L9" i="30"/>
  <c r="J9" i="30"/>
  <c r="H9" i="30"/>
  <c r="F9" i="30"/>
  <c r="X8" i="30"/>
  <c r="V8" i="30"/>
  <c r="T8" i="30"/>
  <c r="R8" i="30"/>
  <c r="P8" i="30"/>
  <c r="N8" i="30"/>
  <c r="L8" i="30"/>
  <c r="J8" i="30"/>
  <c r="H8" i="30"/>
  <c r="F8" i="30"/>
  <c r="X7" i="30"/>
  <c r="V7" i="30"/>
  <c r="T7" i="30"/>
  <c r="R7" i="30"/>
  <c r="P7" i="30"/>
  <c r="N7" i="30"/>
  <c r="L7" i="30"/>
  <c r="J7" i="30"/>
  <c r="H7" i="30"/>
  <c r="F7" i="30"/>
  <c r="X6" i="30"/>
  <c r="V6" i="30"/>
  <c r="T6" i="30"/>
  <c r="R6" i="30"/>
  <c r="P6" i="30"/>
  <c r="N6" i="30"/>
  <c r="L6" i="30"/>
  <c r="J6" i="30"/>
  <c r="H6" i="30"/>
  <c r="F6" i="30"/>
  <c r="X30" i="29"/>
  <c r="V30" i="29"/>
  <c r="T30" i="29"/>
  <c r="R30" i="29"/>
  <c r="P30" i="29"/>
  <c r="N30" i="29"/>
  <c r="L30" i="29"/>
  <c r="J30" i="29"/>
  <c r="H30" i="29"/>
  <c r="F30" i="29"/>
  <c r="X29" i="29"/>
  <c r="V29" i="29"/>
  <c r="T29" i="29"/>
  <c r="R29" i="29"/>
  <c r="P29" i="29"/>
  <c r="N29" i="29"/>
  <c r="L29" i="29"/>
  <c r="J29" i="29"/>
  <c r="H29" i="29"/>
  <c r="F29" i="29"/>
  <c r="V28" i="29"/>
  <c r="T28" i="29"/>
  <c r="R28" i="29"/>
  <c r="P28" i="29"/>
  <c r="N28" i="29"/>
  <c r="L28" i="29"/>
  <c r="J28" i="29"/>
  <c r="H28" i="29"/>
  <c r="F28" i="29"/>
  <c r="X27" i="29"/>
  <c r="V27" i="29"/>
  <c r="T27" i="29"/>
  <c r="R27" i="29"/>
  <c r="P27" i="29"/>
  <c r="N27" i="29"/>
  <c r="L27" i="29"/>
  <c r="J27" i="29"/>
  <c r="H27" i="29"/>
  <c r="F27" i="29"/>
  <c r="X26" i="29"/>
  <c r="V26" i="29"/>
  <c r="T26" i="29"/>
  <c r="R26" i="29"/>
  <c r="P26" i="29"/>
  <c r="N26" i="29"/>
  <c r="L26" i="29"/>
  <c r="J26" i="29"/>
  <c r="H26" i="29"/>
  <c r="F26" i="29"/>
  <c r="X25" i="29"/>
  <c r="V25" i="29"/>
  <c r="T25" i="29"/>
  <c r="R25" i="29"/>
  <c r="P25" i="29"/>
  <c r="N25" i="29"/>
  <c r="L25" i="29"/>
  <c r="J25" i="29"/>
  <c r="H25" i="29"/>
  <c r="F25" i="29"/>
  <c r="X24" i="29"/>
  <c r="V24" i="29"/>
  <c r="T24" i="29"/>
  <c r="R24" i="29"/>
  <c r="P24" i="29"/>
  <c r="N24" i="29"/>
  <c r="L24" i="29"/>
  <c r="J24" i="29"/>
  <c r="H24" i="29"/>
  <c r="F24" i="29"/>
  <c r="T23" i="29"/>
  <c r="R23" i="29"/>
  <c r="P23" i="29"/>
  <c r="N23" i="29"/>
  <c r="L23" i="29"/>
  <c r="J23" i="29"/>
  <c r="H23" i="29"/>
  <c r="F23" i="29"/>
  <c r="X22" i="29"/>
  <c r="V22" i="29"/>
  <c r="T22" i="29"/>
  <c r="R22" i="29"/>
  <c r="P22" i="29"/>
  <c r="N22" i="29"/>
  <c r="L22" i="29"/>
  <c r="J22" i="29"/>
  <c r="H22" i="29"/>
  <c r="F22" i="29"/>
  <c r="X21" i="29"/>
  <c r="V21" i="29"/>
  <c r="T21" i="29"/>
  <c r="R21" i="29"/>
  <c r="P21" i="29"/>
  <c r="N21" i="29"/>
  <c r="L21" i="29"/>
  <c r="J21" i="29"/>
  <c r="H21" i="29"/>
  <c r="F21" i="29"/>
  <c r="X20" i="29"/>
  <c r="V20" i="29"/>
  <c r="T20" i="29"/>
  <c r="R20" i="29"/>
  <c r="P20" i="29"/>
  <c r="N20" i="29"/>
  <c r="L20" i="29"/>
  <c r="J20" i="29"/>
  <c r="H20" i="29"/>
  <c r="F20" i="29"/>
  <c r="X19" i="29"/>
  <c r="V19" i="29"/>
  <c r="T19" i="29"/>
  <c r="R19" i="29"/>
  <c r="P19" i="29"/>
  <c r="N19" i="29"/>
  <c r="L19" i="29"/>
  <c r="J19" i="29"/>
  <c r="H19" i="29"/>
  <c r="F19" i="29"/>
  <c r="X18" i="29"/>
  <c r="V18" i="29"/>
  <c r="T18" i="29"/>
  <c r="R18" i="29"/>
  <c r="P18" i="29"/>
  <c r="N18" i="29"/>
  <c r="L18" i="29"/>
  <c r="J18" i="29"/>
  <c r="H18" i="29"/>
  <c r="F18" i="29"/>
  <c r="X17" i="29"/>
  <c r="V17" i="29"/>
  <c r="T17" i="29"/>
  <c r="R17" i="29"/>
  <c r="P17" i="29"/>
  <c r="N17" i="29"/>
  <c r="L17" i="29"/>
  <c r="J17" i="29"/>
  <c r="H17" i="29"/>
  <c r="F17" i="29"/>
  <c r="X16" i="29"/>
  <c r="V16" i="29"/>
  <c r="T16" i="29"/>
  <c r="R16" i="29"/>
  <c r="P16" i="29"/>
  <c r="N16" i="29"/>
  <c r="L16" i="29"/>
  <c r="J16" i="29"/>
  <c r="H16" i="29"/>
  <c r="F16" i="29"/>
  <c r="X15" i="29"/>
  <c r="V15" i="29"/>
  <c r="T15" i="29"/>
  <c r="R15" i="29"/>
  <c r="P15" i="29"/>
  <c r="N15" i="29"/>
  <c r="L15" i="29"/>
  <c r="J15" i="29"/>
  <c r="H15" i="29"/>
  <c r="F15" i="29"/>
  <c r="X14" i="29"/>
  <c r="V14" i="29"/>
  <c r="T14" i="29"/>
  <c r="R14" i="29"/>
  <c r="P14" i="29"/>
  <c r="N14" i="29"/>
  <c r="L14" i="29"/>
  <c r="J14" i="29"/>
  <c r="H14" i="29"/>
  <c r="F14" i="29"/>
  <c r="X13" i="29"/>
  <c r="V13" i="29"/>
  <c r="T13" i="29"/>
  <c r="R13" i="29"/>
  <c r="P13" i="29"/>
  <c r="N13" i="29"/>
  <c r="L13" i="29"/>
  <c r="J13" i="29"/>
  <c r="H13" i="29"/>
  <c r="F13" i="29"/>
  <c r="X12" i="29"/>
  <c r="V12" i="29"/>
  <c r="T12" i="29"/>
  <c r="R12" i="29"/>
  <c r="P12" i="29"/>
  <c r="N12" i="29"/>
  <c r="L12" i="29"/>
  <c r="J12" i="29"/>
  <c r="H12" i="29"/>
  <c r="F12" i="29"/>
  <c r="X11" i="29"/>
  <c r="V11" i="29"/>
  <c r="T11" i="29"/>
  <c r="R11" i="29"/>
  <c r="P11" i="29"/>
  <c r="N11" i="29"/>
  <c r="L11" i="29"/>
  <c r="J11" i="29"/>
  <c r="H11" i="29"/>
  <c r="F11" i="29"/>
  <c r="X10" i="29"/>
  <c r="V10" i="29"/>
  <c r="T10" i="29"/>
  <c r="R10" i="29"/>
  <c r="P10" i="29"/>
  <c r="N10" i="29"/>
  <c r="L10" i="29"/>
  <c r="J10" i="29"/>
  <c r="H10" i="29"/>
  <c r="F10" i="29"/>
  <c r="X9" i="29"/>
  <c r="V9" i="29"/>
  <c r="T9" i="29"/>
  <c r="R9" i="29"/>
  <c r="P9" i="29"/>
  <c r="N9" i="29"/>
  <c r="L9" i="29"/>
  <c r="J9" i="29"/>
  <c r="H9" i="29"/>
  <c r="F9" i="29"/>
  <c r="X8" i="29"/>
  <c r="V8" i="29"/>
  <c r="T8" i="29"/>
  <c r="R8" i="29"/>
  <c r="P8" i="29"/>
  <c r="N8" i="29"/>
  <c r="L8" i="29"/>
  <c r="J8" i="29"/>
  <c r="H8" i="29"/>
  <c r="F8" i="29"/>
  <c r="X7" i="29"/>
  <c r="V7" i="29"/>
  <c r="T7" i="29"/>
  <c r="R7" i="29"/>
  <c r="P7" i="29"/>
  <c r="N7" i="29"/>
  <c r="L7" i="29"/>
  <c r="J7" i="29"/>
  <c r="H7" i="29"/>
  <c r="F7" i="29"/>
  <c r="X6" i="29"/>
  <c r="V6" i="29"/>
  <c r="T6" i="29"/>
  <c r="R6" i="29"/>
  <c r="P6" i="29"/>
  <c r="N6" i="29"/>
  <c r="L6" i="29"/>
  <c r="J6" i="29"/>
  <c r="H6" i="29"/>
  <c r="F6" i="29"/>
  <c r="J30" i="28"/>
  <c r="H30" i="28"/>
  <c r="F30" i="28"/>
  <c r="J29" i="28"/>
  <c r="H29" i="28"/>
  <c r="F29" i="28"/>
  <c r="H28" i="28"/>
  <c r="F28" i="28"/>
  <c r="N27" i="28"/>
  <c r="L27" i="28"/>
  <c r="J27" i="28"/>
  <c r="H27" i="28"/>
  <c r="F27" i="28"/>
  <c r="N26" i="28"/>
  <c r="L26" i="28"/>
  <c r="J26" i="28"/>
  <c r="H26" i="28"/>
  <c r="F26" i="28"/>
  <c r="N25" i="28"/>
  <c r="L25" i="28"/>
  <c r="J25" i="28"/>
  <c r="H25" i="28"/>
  <c r="F25" i="28"/>
  <c r="J24" i="28"/>
  <c r="H24" i="28"/>
  <c r="F24" i="28"/>
  <c r="N23" i="28"/>
  <c r="L23" i="28"/>
  <c r="J23" i="28"/>
  <c r="H23" i="28"/>
  <c r="F23" i="28"/>
  <c r="N22" i="28"/>
  <c r="L22" i="28"/>
  <c r="J22" i="28"/>
  <c r="H22" i="28"/>
  <c r="F22" i="28"/>
  <c r="J21" i="28"/>
  <c r="H21" i="28"/>
  <c r="F21" i="28"/>
  <c r="J20" i="28"/>
  <c r="H20" i="28"/>
  <c r="F20" i="28"/>
  <c r="R19" i="28"/>
  <c r="P19" i="28"/>
  <c r="N19" i="28"/>
  <c r="L19" i="28"/>
  <c r="J19" i="28"/>
  <c r="H19" i="28"/>
  <c r="F19" i="28"/>
  <c r="H18" i="28"/>
  <c r="F18" i="28"/>
  <c r="P17" i="28"/>
  <c r="N17" i="28"/>
  <c r="L17" i="28"/>
  <c r="J17" i="28"/>
  <c r="H17" i="28"/>
  <c r="F17" i="28"/>
  <c r="P16" i="28"/>
  <c r="N16" i="28"/>
  <c r="L16" i="28"/>
  <c r="J16" i="28"/>
  <c r="H16" i="28"/>
  <c r="F16" i="28"/>
  <c r="N15" i="28"/>
  <c r="L15" i="28"/>
  <c r="J15" i="28"/>
  <c r="H15" i="28"/>
  <c r="F15" i="28"/>
  <c r="J14" i="28"/>
  <c r="H14" i="28"/>
  <c r="F14" i="28"/>
  <c r="N13" i="28"/>
  <c r="L13" i="28"/>
  <c r="J13" i="28"/>
  <c r="H13" i="28"/>
  <c r="F13" i="28"/>
  <c r="J12" i="28"/>
  <c r="H12" i="28"/>
  <c r="F12" i="28"/>
  <c r="N11" i="28"/>
  <c r="L11" i="28"/>
  <c r="J11" i="28"/>
  <c r="H11" i="28"/>
  <c r="F11" i="28"/>
  <c r="Z10" i="28"/>
  <c r="X10" i="28"/>
  <c r="V10" i="28"/>
  <c r="T10" i="28"/>
  <c r="R10" i="28"/>
  <c r="P10" i="28"/>
  <c r="N10" i="28"/>
  <c r="L10" i="28"/>
  <c r="J10" i="28"/>
  <c r="H10" i="28"/>
  <c r="F10" i="28"/>
  <c r="Z9" i="28"/>
  <c r="X9" i="28"/>
  <c r="V9" i="28"/>
  <c r="T9" i="28"/>
  <c r="R9" i="28"/>
  <c r="P9" i="28"/>
  <c r="N9" i="28"/>
  <c r="L9" i="28"/>
  <c r="J9" i="28"/>
  <c r="H9" i="28"/>
  <c r="F9" i="28"/>
  <c r="Z8" i="28"/>
  <c r="X8" i="28"/>
  <c r="V8" i="28"/>
  <c r="T8" i="28"/>
  <c r="R8" i="28"/>
  <c r="P8" i="28"/>
  <c r="N8" i="28"/>
  <c r="L8" i="28"/>
  <c r="J8" i="28"/>
  <c r="H8" i="28"/>
  <c r="F8" i="28"/>
  <c r="Z7" i="28"/>
  <c r="X7" i="28"/>
  <c r="V7" i="28"/>
  <c r="T7" i="28"/>
  <c r="R7" i="28"/>
  <c r="P7" i="28"/>
  <c r="N7" i="28"/>
  <c r="L7" i="28"/>
  <c r="J7" i="28"/>
  <c r="H7" i="28"/>
  <c r="F7" i="28"/>
  <c r="Z6" i="28"/>
  <c r="X6" i="28"/>
  <c r="V6" i="28"/>
  <c r="T6" i="28"/>
  <c r="R6" i="28"/>
  <c r="P6" i="28"/>
  <c r="N6" i="28"/>
  <c r="L6" i="28"/>
  <c r="J6" i="28"/>
  <c r="H6" i="28"/>
  <c r="F6" i="28"/>
  <c r="E57" i="27" l="1"/>
  <c r="D57" i="27"/>
  <c r="C57" i="27"/>
  <c r="B57" i="27"/>
  <c r="E56" i="27"/>
  <c r="D56" i="27"/>
  <c r="C56" i="27"/>
  <c r="B56" i="27"/>
  <c r="E55" i="27"/>
  <c r="D55" i="27"/>
  <c r="C55" i="27"/>
  <c r="B55" i="27"/>
  <c r="D29" i="27"/>
  <c r="C29" i="27"/>
  <c r="B29" i="27"/>
  <c r="D28" i="27"/>
  <c r="C28" i="27"/>
  <c r="B28" i="27"/>
  <c r="D27" i="27"/>
  <c r="C27" i="27"/>
  <c r="B27" i="27"/>
  <c r="E27" i="27"/>
  <c r="E29" i="27"/>
  <c r="E28" i="27"/>
  <c r="X16" i="11"/>
  <c r="V16" i="11"/>
  <c r="T16" i="11"/>
  <c r="R16" i="11"/>
  <c r="P16" i="11"/>
  <c r="N16" i="11"/>
  <c r="L16" i="11"/>
  <c r="J16" i="11"/>
  <c r="H16" i="11"/>
  <c r="F16" i="11"/>
  <c r="X15" i="11"/>
  <c r="V15" i="11"/>
  <c r="T15" i="11"/>
  <c r="R15" i="11"/>
  <c r="P15" i="11"/>
  <c r="N15" i="11"/>
  <c r="L15" i="11"/>
  <c r="J15" i="11"/>
  <c r="H15" i="11"/>
  <c r="F15" i="11"/>
  <c r="X14" i="11"/>
  <c r="V14" i="11"/>
  <c r="T14" i="11"/>
  <c r="R14" i="11"/>
  <c r="P14" i="11"/>
  <c r="N14" i="11"/>
  <c r="L14" i="11"/>
  <c r="J14" i="11"/>
  <c r="H14" i="11"/>
  <c r="F14" i="11"/>
  <c r="X13" i="11"/>
  <c r="V13" i="11"/>
  <c r="T13" i="11"/>
  <c r="R13" i="11"/>
  <c r="P13" i="11"/>
  <c r="N13" i="11"/>
  <c r="L13" i="11"/>
  <c r="J13" i="11"/>
  <c r="H13" i="11"/>
  <c r="F13" i="11"/>
  <c r="X12" i="11"/>
  <c r="V12" i="11"/>
  <c r="T12" i="11"/>
  <c r="R12" i="11"/>
  <c r="P12" i="11"/>
  <c r="N12" i="11"/>
  <c r="L12" i="11"/>
  <c r="J12" i="11"/>
  <c r="H12" i="11"/>
  <c r="F12" i="11"/>
  <c r="T11" i="11"/>
  <c r="R11" i="11"/>
  <c r="P11" i="11"/>
  <c r="N11" i="11"/>
  <c r="L11" i="11"/>
  <c r="J11" i="11"/>
  <c r="H11" i="11"/>
  <c r="F11" i="11"/>
  <c r="V10" i="11"/>
  <c r="T10" i="11"/>
  <c r="R10" i="11"/>
  <c r="P10" i="11"/>
  <c r="N10" i="11"/>
  <c r="L10" i="11"/>
  <c r="J10" i="11"/>
  <c r="H10" i="11"/>
  <c r="F10" i="11"/>
  <c r="X9" i="11"/>
  <c r="V9" i="11"/>
  <c r="T9" i="11"/>
  <c r="R9" i="11"/>
  <c r="P9" i="11"/>
  <c r="N9" i="11"/>
  <c r="L9" i="11"/>
  <c r="J9" i="11"/>
  <c r="H9" i="11"/>
  <c r="F9" i="11"/>
  <c r="R8" i="11"/>
  <c r="P8" i="11"/>
  <c r="N8" i="11"/>
  <c r="L8" i="11"/>
  <c r="J8" i="11"/>
  <c r="H8" i="11"/>
  <c r="F8" i="11"/>
  <c r="X7" i="11"/>
  <c r="V7" i="11"/>
  <c r="T7" i="11"/>
  <c r="R7" i="11"/>
  <c r="P7" i="11"/>
  <c r="N7" i="11"/>
  <c r="L7" i="11"/>
  <c r="J7" i="11"/>
  <c r="H7" i="11"/>
  <c r="F7" i="11"/>
  <c r="AE15" i="12"/>
  <c r="AC15" i="12"/>
  <c r="AA15" i="12"/>
  <c r="Y15" i="12"/>
  <c r="W15" i="12"/>
  <c r="U15" i="12"/>
  <c r="S15" i="12"/>
  <c r="Q15" i="12"/>
  <c r="O15" i="12"/>
  <c r="M15" i="12"/>
  <c r="AE14" i="12"/>
  <c r="AC14" i="12"/>
  <c r="AA14" i="12"/>
  <c r="Y14" i="12"/>
  <c r="W14" i="12"/>
  <c r="U14" i="12"/>
  <c r="S14" i="12"/>
  <c r="Q14" i="12"/>
  <c r="O14" i="12"/>
  <c r="M14" i="12"/>
  <c r="AE13" i="12"/>
  <c r="AC13" i="12"/>
  <c r="AA13" i="12"/>
  <c r="Y13" i="12"/>
  <c r="W13" i="12"/>
  <c r="U13" i="12"/>
  <c r="S13" i="12"/>
  <c r="Q13" i="12"/>
  <c r="O13" i="12"/>
  <c r="M13" i="12"/>
  <c r="AE12" i="12"/>
  <c r="AC12" i="12"/>
  <c r="AA12" i="12"/>
  <c r="Y12" i="12"/>
  <c r="W12" i="12"/>
  <c r="U12" i="12"/>
  <c r="S12" i="12"/>
  <c r="Q12" i="12"/>
  <c r="O12" i="12"/>
  <c r="M12" i="12"/>
  <c r="AE11" i="12"/>
  <c r="AC11" i="12"/>
  <c r="AA11" i="12"/>
  <c r="Y11" i="12"/>
  <c r="W11" i="12"/>
  <c r="U11" i="12"/>
  <c r="S11" i="12"/>
  <c r="Q11" i="12"/>
  <c r="O11" i="12"/>
  <c r="M11" i="12"/>
  <c r="AA10" i="12"/>
  <c r="Y10" i="12"/>
  <c r="W10" i="12"/>
  <c r="U10" i="12"/>
  <c r="S10" i="12"/>
  <c r="Q10" i="12"/>
  <c r="O10" i="12"/>
  <c r="M10" i="12"/>
  <c r="AC9" i="12"/>
  <c r="AA9" i="12"/>
  <c r="Y9" i="12"/>
  <c r="W9" i="12"/>
  <c r="U9" i="12"/>
  <c r="S9" i="12"/>
  <c r="Q9" i="12"/>
  <c r="O9" i="12"/>
  <c r="M9" i="12"/>
  <c r="AE8" i="12"/>
  <c r="AC8" i="12"/>
  <c r="AA8" i="12"/>
  <c r="Y8" i="12"/>
  <c r="W8" i="12"/>
  <c r="U8" i="12"/>
  <c r="S8" i="12"/>
  <c r="Q8" i="12"/>
  <c r="O8" i="12"/>
  <c r="M8" i="12"/>
  <c r="Y7" i="12"/>
  <c r="W7" i="12"/>
  <c r="U7" i="12"/>
  <c r="S7" i="12"/>
  <c r="Q7" i="12"/>
  <c r="O7" i="12"/>
  <c r="M7" i="12"/>
  <c r="AE6" i="12"/>
  <c r="AC6" i="12"/>
  <c r="AA6" i="12"/>
  <c r="Y6" i="12"/>
  <c r="W6" i="12"/>
  <c r="U6" i="12"/>
  <c r="S6" i="12"/>
  <c r="Q6" i="12"/>
  <c r="O6" i="12"/>
  <c r="M6" i="12"/>
  <c r="AE32" i="12" l="1"/>
  <c r="AC32" i="12"/>
  <c r="AA32" i="12"/>
  <c r="Y32" i="12"/>
  <c r="W32" i="12"/>
  <c r="U32" i="12"/>
  <c r="S32" i="12"/>
  <c r="Q32" i="12"/>
  <c r="O32" i="12"/>
  <c r="M32" i="12"/>
  <c r="AE31" i="12"/>
  <c r="AC31" i="12"/>
  <c r="AA31" i="12"/>
  <c r="Y31" i="12"/>
  <c r="W31" i="12"/>
  <c r="U31" i="12"/>
  <c r="S31" i="12"/>
  <c r="Q31" i="12"/>
  <c r="O31" i="12"/>
  <c r="M31" i="12"/>
  <c r="AE30" i="12"/>
  <c r="AC30" i="12"/>
  <c r="AA30" i="12"/>
  <c r="Y30" i="12"/>
  <c r="W30" i="12"/>
  <c r="U30" i="12"/>
  <c r="S30" i="12"/>
  <c r="Q30" i="12"/>
  <c r="O30" i="12"/>
  <c r="M30" i="12"/>
  <c r="AE29" i="12"/>
  <c r="AC29" i="12"/>
  <c r="AA29" i="12"/>
  <c r="Y29" i="12"/>
  <c r="W29" i="12"/>
  <c r="U29" i="12"/>
  <c r="S29" i="12"/>
  <c r="Q29" i="12"/>
  <c r="O29" i="12"/>
  <c r="M29" i="12"/>
  <c r="AE28" i="12"/>
  <c r="AC28" i="12"/>
  <c r="AA28" i="12"/>
  <c r="Y28" i="12"/>
  <c r="W28" i="12"/>
  <c r="U28" i="12"/>
  <c r="S28" i="12"/>
  <c r="Q28" i="12"/>
  <c r="O28" i="12"/>
  <c r="M28" i="12"/>
  <c r="Y27" i="12"/>
  <c r="W27" i="12"/>
  <c r="U27" i="12"/>
  <c r="S27" i="12"/>
  <c r="Q27" i="12"/>
  <c r="O27" i="12"/>
  <c r="M27" i="12"/>
  <c r="S26" i="12"/>
  <c r="Q26" i="12"/>
  <c r="O26" i="12"/>
  <c r="M26" i="12"/>
  <c r="Y25" i="12"/>
  <c r="W25" i="12"/>
  <c r="U25" i="12"/>
  <c r="S25" i="12"/>
  <c r="Q25" i="12"/>
  <c r="O25" i="12"/>
  <c r="M25" i="12"/>
  <c r="Y24" i="12"/>
  <c r="W24" i="12"/>
  <c r="U24" i="12"/>
  <c r="S24" i="12"/>
  <c r="Q24" i="12"/>
  <c r="O24" i="12"/>
  <c r="M24" i="12"/>
  <c r="Y23" i="12"/>
  <c r="W23" i="12"/>
  <c r="U23" i="12"/>
  <c r="S23" i="12"/>
  <c r="Q23" i="12"/>
  <c r="O23" i="12"/>
  <c r="M23" i="12"/>
  <c r="O50" i="9" l="1"/>
  <c r="O49" i="9"/>
  <c r="O48" i="9"/>
  <c r="O47" i="9"/>
  <c r="O46" i="9"/>
  <c r="O45" i="9"/>
  <c r="O44" i="9"/>
  <c r="Q43" i="9"/>
  <c r="O43" i="9"/>
  <c r="O42" i="9"/>
  <c r="O41" i="9"/>
  <c r="S40" i="9"/>
  <c r="Q40" i="9"/>
  <c r="O40" i="9"/>
  <c r="S39" i="9"/>
  <c r="Q39" i="9"/>
  <c r="O39" i="9"/>
  <c r="S38" i="9"/>
  <c r="Q38" i="9"/>
  <c r="O38" i="9"/>
  <c r="S37" i="9"/>
  <c r="Q37" i="9"/>
  <c r="O37" i="9"/>
  <c r="S36" i="9"/>
  <c r="Q36" i="9"/>
  <c r="O36" i="9"/>
  <c r="S35" i="9"/>
  <c r="Q35" i="9"/>
  <c r="O35" i="9"/>
  <c r="S34" i="9"/>
  <c r="Q34" i="9"/>
  <c r="O34" i="9"/>
  <c r="S33" i="9"/>
  <c r="Q33" i="9"/>
  <c r="O33" i="9"/>
  <c r="U23" i="9" l="1"/>
  <c r="S23" i="9"/>
  <c r="Q23" i="9"/>
  <c r="O23" i="9"/>
  <c r="U22" i="9"/>
  <c r="S22" i="9"/>
  <c r="Q22" i="9"/>
  <c r="O22" i="9"/>
  <c r="W21" i="9"/>
  <c r="U21" i="9"/>
  <c r="S21" i="9"/>
  <c r="Q21" i="9"/>
  <c r="O21" i="9"/>
  <c r="U20" i="9"/>
  <c r="S20" i="9"/>
  <c r="Q20" i="9"/>
  <c r="O20" i="9"/>
  <c r="W19" i="9"/>
  <c r="U19" i="9"/>
  <c r="S19" i="9"/>
  <c r="Q19" i="9"/>
  <c r="O19" i="9"/>
  <c r="W18" i="9"/>
  <c r="U18" i="9"/>
  <c r="S18" i="9"/>
  <c r="Q18" i="9"/>
  <c r="O18" i="9"/>
  <c r="W17" i="9"/>
  <c r="U17" i="9"/>
  <c r="S17" i="9"/>
  <c r="Q17" i="9"/>
  <c r="O17" i="9"/>
  <c r="W16" i="9"/>
  <c r="U16" i="9"/>
  <c r="S16" i="9"/>
  <c r="Q16" i="9"/>
  <c r="O16" i="9"/>
  <c r="W15" i="9"/>
  <c r="U15" i="9"/>
  <c r="S15" i="9"/>
  <c r="Q15" i="9"/>
  <c r="O15" i="9"/>
  <c r="W14" i="9"/>
  <c r="U14" i="9"/>
  <c r="S14" i="9"/>
  <c r="Q14" i="9"/>
  <c r="O14" i="9"/>
  <c r="AE13" i="9"/>
  <c r="AC13" i="9"/>
  <c r="AA13" i="9"/>
  <c r="Y13" i="9"/>
  <c r="W13" i="9"/>
  <c r="U13" i="9"/>
  <c r="S13" i="9"/>
  <c r="Q13" i="9"/>
  <c r="O13" i="9"/>
  <c r="AE12" i="9"/>
  <c r="AC12" i="9"/>
  <c r="AA12" i="9"/>
  <c r="Y12" i="9"/>
  <c r="W12" i="9"/>
  <c r="U12" i="9"/>
  <c r="S12" i="9"/>
  <c r="Q12" i="9"/>
  <c r="O12" i="9"/>
  <c r="AE11" i="9"/>
  <c r="AC11" i="9"/>
  <c r="AA11" i="9"/>
  <c r="Y11" i="9"/>
  <c r="W11" i="9"/>
  <c r="U11" i="9"/>
  <c r="S11" i="9"/>
  <c r="Q11" i="9"/>
  <c r="O11" i="9"/>
  <c r="AE10" i="9"/>
  <c r="AC10" i="9"/>
  <c r="AA10" i="9"/>
  <c r="Y10" i="9"/>
  <c r="W10" i="9"/>
  <c r="U10" i="9"/>
  <c r="S10" i="9"/>
  <c r="Q10" i="9"/>
  <c r="O10" i="9"/>
  <c r="AE9" i="9"/>
  <c r="AC9" i="9"/>
  <c r="AA9" i="9"/>
  <c r="Y9" i="9"/>
  <c r="W9" i="9"/>
  <c r="U9" i="9"/>
  <c r="S9" i="9"/>
  <c r="Q9" i="9"/>
  <c r="O9" i="9"/>
  <c r="AE8" i="9"/>
  <c r="AC8" i="9"/>
  <c r="AA8" i="9"/>
  <c r="Y8" i="9"/>
  <c r="W8" i="9"/>
  <c r="U8" i="9"/>
  <c r="S8" i="9"/>
  <c r="Q8" i="9"/>
  <c r="O8" i="9"/>
  <c r="AE7" i="9"/>
  <c r="AC7" i="9"/>
  <c r="AA7" i="9"/>
  <c r="Y7" i="9"/>
  <c r="W7" i="9"/>
  <c r="U7" i="9"/>
  <c r="S7" i="9"/>
  <c r="Q7" i="9"/>
  <c r="O7" i="9"/>
  <c r="AE6" i="9"/>
  <c r="AC6" i="9"/>
  <c r="AA6" i="9"/>
  <c r="Y6" i="9"/>
  <c r="W6" i="9"/>
  <c r="U6" i="9"/>
  <c r="S6" i="9"/>
  <c r="Q6" i="9"/>
  <c r="O6" i="9"/>
  <c r="L23" i="8"/>
  <c r="J23" i="8"/>
  <c r="H23" i="8"/>
  <c r="F23" i="8"/>
  <c r="L22" i="8"/>
  <c r="J22" i="8"/>
  <c r="H22" i="8"/>
  <c r="F22" i="8"/>
  <c r="N21" i="8"/>
  <c r="L21" i="8"/>
  <c r="J21" i="8"/>
  <c r="H21" i="8"/>
  <c r="F21" i="8"/>
  <c r="L20" i="8"/>
  <c r="J20" i="8"/>
  <c r="H20" i="8"/>
  <c r="F20" i="8"/>
  <c r="N19" i="8"/>
  <c r="L19" i="8"/>
  <c r="J19" i="8"/>
  <c r="H19" i="8"/>
  <c r="F19" i="8"/>
  <c r="N18" i="8"/>
  <c r="L18" i="8"/>
  <c r="J18" i="8"/>
  <c r="H18" i="8"/>
  <c r="F18" i="8"/>
  <c r="N17" i="8"/>
  <c r="L17" i="8"/>
  <c r="J17" i="8"/>
  <c r="H17" i="8"/>
  <c r="F17" i="8"/>
  <c r="N16" i="8"/>
  <c r="L16" i="8"/>
  <c r="J16" i="8"/>
  <c r="H16" i="8"/>
  <c r="F16" i="8"/>
  <c r="N15" i="8"/>
  <c r="L15" i="8"/>
  <c r="J15" i="8"/>
  <c r="H15" i="8"/>
  <c r="F15" i="8"/>
  <c r="N14" i="8"/>
  <c r="L14" i="8"/>
  <c r="J14" i="8"/>
  <c r="H14" i="8"/>
  <c r="F14" i="8"/>
  <c r="V13" i="8"/>
  <c r="T13" i="8"/>
  <c r="R13" i="8"/>
  <c r="P13" i="8"/>
  <c r="N13" i="8"/>
  <c r="L13" i="8"/>
  <c r="J13" i="8"/>
  <c r="H13" i="8"/>
  <c r="F13" i="8"/>
  <c r="V12" i="8"/>
  <c r="T12" i="8"/>
  <c r="R12" i="8"/>
  <c r="P12" i="8"/>
  <c r="N12" i="8"/>
  <c r="L12" i="8"/>
  <c r="J12" i="8"/>
  <c r="H12" i="8"/>
  <c r="F12" i="8"/>
  <c r="V11" i="8"/>
  <c r="T11" i="8"/>
  <c r="R11" i="8"/>
  <c r="P11" i="8"/>
  <c r="N11" i="8"/>
  <c r="L11" i="8"/>
  <c r="J11" i="8"/>
  <c r="H11" i="8"/>
  <c r="F11" i="8"/>
  <c r="V10" i="8"/>
  <c r="T10" i="8"/>
  <c r="R10" i="8"/>
  <c r="P10" i="8"/>
  <c r="N10" i="8"/>
  <c r="L10" i="8"/>
  <c r="J10" i="8"/>
  <c r="H10" i="8"/>
  <c r="F10" i="8"/>
  <c r="V9" i="8"/>
  <c r="T9" i="8"/>
  <c r="R9" i="8"/>
  <c r="P9" i="8"/>
  <c r="N9" i="8"/>
  <c r="L9" i="8"/>
  <c r="J9" i="8"/>
  <c r="H9" i="8"/>
  <c r="F9" i="8"/>
  <c r="V8" i="8"/>
  <c r="T8" i="8"/>
  <c r="R8" i="8"/>
  <c r="P8" i="8"/>
  <c r="N8" i="8"/>
  <c r="L8" i="8"/>
  <c r="J8" i="8"/>
  <c r="H8" i="8"/>
  <c r="F8" i="8"/>
  <c r="V7" i="8"/>
  <c r="T7" i="8"/>
  <c r="R7" i="8"/>
  <c r="P7" i="8"/>
  <c r="N7" i="8"/>
  <c r="L7" i="8"/>
  <c r="J7" i="8"/>
  <c r="H7" i="8"/>
  <c r="F7" i="8"/>
  <c r="V6" i="8"/>
  <c r="T6" i="8"/>
  <c r="R6" i="8"/>
  <c r="P6" i="8"/>
  <c r="N6" i="8"/>
  <c r="L6" i="8"/>
  <c r="J6" i="8"/>
  <c r="H6" i="8"/>
  <c r="F6" i="8"/>
  <c r="N41" i="6" l="1"/>
  <c r="N40" i="6"/>
  <c r="N39" i="6"/>
  <c r="N38" i="6"/>
  <c r="N37" i="6"/>
  <c r="Z36" i="6"/>
  <c r="X36" i="6"/>
  <c r="V36" i="6"/>
  <c r="T36" i="6"/>
  <c r="R36" i="6"/>
  <c r="P36" i="6"/>
  <c r="N36" i="6"/>
  <c r="Z35" i="6"/>
  <c r="X35" i="6"/>
  <c r="V35" i="6"/>
  <c r="T35" i="6"/>
  <c r="R35" i="6"/>
  <c r="P35" i="6"/>
  <c r="N35" i="6"/>
  <c r="Z34" i="6"/>
  <c r="X34" i="6"/>
  <c r="V34" i="6"/>
  <c r="T34" i="6"/>
  <c r="R34" i="6"/>
  <c r="P34" i="6"/>
  <c r="N34" i="6"/>
  <c r="Z33" i="6"/>
  <c r="X33" i="6"/>
  <c r="V33" i="6"/>
  <c r="T33" i="6"/>
  <c r="R33" i="6"/>
  <c r="P33" i="6"/>
  <c r="N33" i="6"/>
  <c r="Z32" i="6"/>
  <c r="X32" i="6"/>
  <c r="V32" i="6"/>
  <c r="T32" i="6"/>
  <c r="R32" i="6"/>
  <c r="P32" i="6"/>
  <c r="N32" i="6"/>
  <c r="X31" i="6"/>
  <c r="V31" i="6"/>
  <c r="T31" i="6"/>
  <c r="R31" i="6"/>
  <c r="P31" i="6"/>
  <c r="N31" i="6"/>
  <c r="Z30" i="6"/>
  <c r="X30" i="6"/>
  <c r="V30" i="6"/>
  <c r="T30" i="6"/>
  <c r="R30" i="6"/>
  <c r="P30" i="6"/>
  <c r="N30" i="6"/>
  <c r="X29" i="6"/>
  <c r="V29" i="6"/>
  <c r="T29" i="6"/>
  <c r="R29" i="6"/>
  <c r="P29" i="6"/>
  <c r="N29" i="6"/>
  <c r="Z28" i="6"/>
  <c r="X28" i="6"/>
  <c r="V28" i="6"/>
  <c r="T28" i="6"/>
  <c r="R28" i="6"/>
  <c r="P28" i="6"/>
  <c r="N28" i="6"/>
  <c r="Z27" i="6"/>
  <c r="X27" i="6"/>
  <c r="V27" i="6"/>
  <c r="T27" i="6"/>
  <c r="R27" i="6"/>
  <c r="P27" i="6"/>
  <c r="N27" i="6"/>
  <c r="P20" i="6" l="1"/>
  <c r="N20" i="6"/>
  <c r="R19" i="6"/>
  <c r="P19" i="6"/>
  <c r="N19" i="6"/>
  <c r="P18" i="6"/>
  <c r="N18" i="6"/>
  <c r="R17" i="6"/>
  <c r="P17" i="6"/>
  <c r="N17" i="6"/>
  <c r="R16" i="6"/>
  <c r="P16" i="6"/>
  <c r="N16" i="6"/>
  <c r="Z15" i="6"/>
  <c r="X15" i="6"/>
  <c r="V15" i="6"/>
  <c r="T15" i="6"/>
  <c r="R15" i="6"/>
  <c r="P15" i="6"/>
  <c r="N15" i="6"/>
  <c r="Z14" i="6"/>
  <c r="X14" i="6"/>
  <c r="V14" i="6"/>
  <c r="T14" i="6"/>
  <c r="R14" i="6"/>
  <c r="P14" i="6"/>
  <c r="N14" i="6"/>
  <c r="Z13" i="6"/>
  <c r="X13" i="6"/>
  <c r="V13" i="6"/>
  <c r="T13" i="6"/>
  <c r="R13" i="6"/>
  <c r="P13" i="6"/>
  <c r="N13" i="6"/>
  <c r="Z12" i="6"/>
  <c r="X12" i="6"/>
  <c r="V12" i="6"/>
  <c r="T12" i="6"/>
  <c r="R12" i="6"/>
  <c r="P12" i="6"/>
  <c r="N12" i="6"/>
  <c r="Z11" i="6"/>
  <c r="X11" i="6"/>
  <c r="V11" i="6"/>
  <c r="T11" i="6"/>
  <c r="R11" i="6"/>
  <c r="P11" i="6"/>
  <c r="N11" i="6"/>
  <c r="Z10" i="6"/>
  <c r="X10" i="6"/>
  <c r="V10" i="6"/>
  <c r="T10" i="6"/>
  <c r="R10" i="6"/>
  <c r="P10" i="6"/>
  <c r="N10" i="6"/>
  <c r="Z9" i="6"/>
  <c r="X9" i="6"/>
  <c r="V9" i="6"/>
  <c r="T9" i="6"/>
  <c r="R9" i="6"/>
  <c r="P9" i="6"/>
  <c r="N9" i="6"/>
  <c r="Z8" i="6"/>
  <c r="X8" i="6"/>
  <c r="V8" i="6"/>
  <c r="T8" i="6"/>
  <c r="R8" i="6"/>
  <c r="P8" i="6"/>
  <c r="N8" i="6"/>
  <c r="Z7" i="6"/>
  <c r="X7" i="6"/>
  <c r="V7" i="6"/>
  <c r="T7" i="6"/>
  <c r="R7" i="6"/>
  <c r="P7" i="6"/>
  <c r="N7" i="6"/>
  <c r="Z6" i="6"/>
  <c r="X6" i="6"/>
  <c r="V6" i="6"/>
  <c r="T6" i="6"/>
  <c r="R6" i="6"/>
  <c r="P6" i="6"/>
  <c r="N6" i="6"/>
  <c r="H20" i="5"/>
  <c r="F20" i="5"/>
  <c r="J19" i="5"/>
  <c r="H19" i="5"/>
  <c r="F19" i="5"/>
  <c r="H18" i="5"/>
  <c r="F18" i="5"/>
  <c r="J17" i="5"/>
  <c r="H17" i="5"/>
  <c r="F17" i="5"/>
  <c r="J16" i="5"/>
  <c r="H16" i="5"/>
  <c r="F16" i="5"/>
  <c r="R15" i="5"/>
  <c r="P15" i="5"/>
  <c r="N15" i="5"/>
  <c r="L15" i="5"/>
  <c r="J15" i="5"/>
  <c r="H15" i="5"/>
  <c r="F15" i="5"/>
  <c r="R14" i="5"/>
  <c r="P14" i="5"/>
  <c r="N14" i="5"/>
  <c r="L14" i="5"/>
  <c r="J14" i="5"/>
  <c r="H14" i="5"/>
  <c r="F14" i="5"/>
  <c r="R13" i="5"/>
  <c r="P13" i="5"/>
  <c r="N13" i="5"/>
  <c r="L13" i="5"/>
  <c r="J13" i="5"/>
  <c r="H13" i="5"/>
  <c r="F13" i="5"/>
  <c r="R12" i="5"/>
  <c r="P12" i="5"/>
  <c r="N12" i="5"/>
  <c r="L12" i="5"/>
  <c r="J12" i="5"/>
  <c r="H12" i="5"/>
  <c r="F12" i="5"/>
  <c r="R11" i="5"/>
  <c r="P11" i="5"/>
  <c r="N11" i="5"/>
  <c r="L11" i="5"/>
  <c r="J11" i="5"/>
  <c r="H11" i="5"/>
  <c r="F11" i="5"/>
  <c r="R10" i="5"/>
  <c r="P10" i="5"/>
  <c r="N10" i="5"/>
  <c r="L10" i="5"/>
  <c r="J10" i="5"/>
  <c r="H10" i="5"/>
  <c r="F10" i="5"/>
  <c r="R9" i="5"/>
  <c r="P9" i="5"/>
  <c r="N9" i="5"/>
  <c r="L9" i="5"/>
  <c r="J9" i="5"/>
  <c r="H9" i="5"/>
  <c r="F9" i="5"/>
  <c r="R8" i="5"/>
  <c r="P8" i="5"/>
  <c r="N8" i="5"/>
  <c r="L8" i="5"/>
  <c r="J8" i="5"/>
  <c r="H8" i="5"/>
  <c r="F8" i="5"/>
  <c r="R7" i="5"/>
  <c r="P7" i="5"/>
  <c r="N7" i="5"/>
  <c r="L7" i="5"/>
  <c r="J7" i="5"/>
  <c r="H7" i="5"/>
  <c r="F7" i="5"/>
  <c r="R6" i="5"/>
  <c r="P6" i="5"/>
  <c r="N6" i="5"/>
  <c r="L6" i="5"/>
  <c r="J6" i="5"/>
  <c r="H6" i="5"/>
  <c r="F6" i="5"/>
  <c r="D27" i="4" l="1"/>
  <c r="B27" i="4"/>
  <c r="D29" i="4"/>
  <c r="C29" i="4"/>
  <c r="D28" i="4"/>
  <c r="C28" i="4"/>
  <c r="C27" i="4"/>
  <c r="B29" i="4"/>
  <c r="B28" i="4"/>
  <c r="H42" i="1"/>
  <c r="G42" i="1"/>
  <c r="G41" i="1"/>
  <c r="H41" i="1" s="1"/>
  <c r="G40" i="1"/>
  <c r="G39" i="1"/>
  <c r="G38" i="1"/>
  <c r="H38" i="1" s="1"/>
  <c r="G37" i="1"/>
  <c r="G36" i="1"/>
  <c r="G35" i="1"/>
  <c r="H35" i="1" s="1"/>
  <c r="H39" i="1" l="1"/>
  <c r="H40" i="1"/>
  <c r="H36" i="1"/>
  <c r="H37" i="1"/>
  <c r="G28" i="1" l="1"/>
  <c r="H28" i="1" s="1"/>
  <c r="G27" i="1"/>
  <c r="H27" i="1" s="1"/>
  <c r="G26" i="1"/>
  <c r="H26" i="1" s="1"/>
  <c r="G25" i="1"/>
  <c r="G24" i="1"/>
  <c r="H24" i="1" s="1"/>
  <c r="G23" i="1"/>
  <c r="H23" i="1" s="1"/>
  <c r="G22" i="1"/>
  <c r="G21" i="1"/>
  <c r="H25" i="1" l="1"/>
  <c r="H21" i="1"/>
  <c r="H22" i="1"/>
  <c r="G9" i="1" l="1"/>
  <c r="H9" i="1" s="1"/>
  <c r="G13" i="1"/>
  <c r="G12" i="1"/>
  <c r="G11" i="1"/>
  <c r="G10" i="1"/>
  <c r="G8" i="1"/>
  <c r="G7" i="1"/>
  <c r="G6" i="1"/>
  <c r="H6" i="1" s="1"/>
  <c r="H10" i="1" l="1"/>
  <c r="H7" i="1"/>
  <c r="H11" i="1"/>
  <c r="H8" i="1"/>
  <c r="H12" i="1"/>
  <c r="H13" i="1"/>
</calcChain>
</file>

<file path=xl/sharedStrings.xml><?xml version="1.0" encoding="utf-8"?>
<sst xmlns="http://schemas.openxmlformats.org/spreadsheetml/2006/main" count="7979" uniqueCount="1586">
  <si>
    <t>WT</t>
  </si>
  <si>
    <t>IL-6</t>
  </si>
  <si>
    <t>E:T ratio</t>
    <phoneticPr fontId="4" type="noConversion"/>
  </si>
  <si>
    <t>beads count</t>
    <phoneticPr fontId="4" type="noConversion"/>
  </si>
  <si>
    <t>viable A20 cell count</t>
    <phoneticPr fontId="4" type="noConversion"/>
  </si>
  <si>
    <t>viability</t>
    <phoneticPr fontId="4" type="noConversion"/>
  </si>
  <si>
    <t>cytotoxicity</t>
  </si>
  <si>
    <t>target</t>
    <phoneticPr fontId="4" type="noConversion"/>
  </si>
  <si>
    <t>A20</t>
    <phoneticPr fontId="4" type="noConversion"/>
  </si>
  <si>
    <t>0:1</t>
    <phoneticPr fontId="4" type="noConversion"/>
  </si>
  <si>
    <t>adaptor</t>
    <phoneticPr fontId="4" type="noConversion"/>
  </si>
  <si>
    <t>1:1</t>
    <phoneticPr fontId="4" type="noConversion"/>
  </si>
  <si>
    <t>5:1</t>
    <phoneticPr fontId="4" type="noConversion"/>
  </si>
  <si>
    <t>CAR T</t>
    <phoneticPr fontId="4" type="noConversion"/>
  </si>
  <si>
    <t>25:1</t>
    <phoneticPr fontId="4" type="noConversion"/>
  </si>
  <si>
    <t>beads count : viable A20 cell count=10,000 : x</t>
    <phoneticPr fontId="4" type="noConversion"/>
  </si>
  <si>
    <t>Control T</t>
    <phoneticPr fontId="4" type="noConversion"/>
  </si>
  <si>
    <t>&lt; cytotoxicity assay analysis (6hrs) &gt;-main Fig data</t>
    <phoneticPr fontId="4" type="noConversion"/>
  </si>
  <si>
    <t>CD40 CAR-T</t>
    <phoneticPr fontId="4" type="noConversion"/>
  </si>
  <si>
    <t>replicates data #3</t>
    <phoneticPr fontId="3" type="noConversion"/>
  </si>
  <si>
    <t>replicates data #2</t>
    <phoneticPr fontId="3" type="noConversion"/>
  </si>
  <si>
    <t>&lt; standard &gt;</t>
    <phoneticPr fontId="5" type="noConversion"/>
  </si>
  <si>
    <t>4000pg/ml</t>
    <phoneticPr fontId="5" type="noConversion"/>
  </si>
  <si>
    <t>2000pg/ml</t>
    <phoneticPr fontId="5" type="noConversion"/>
  </si>
  <si>
    <t>1000pg/ml</t>
    <phoneticPr fontId="5" type="noConversion"/>
  </si>
  <si>
    <t>500pg/ml</t>
    <phoneticPr fontId="5" type="noConversion"/>
  </si>
  <si>
    <t>250pg/ml</t>
    <phoneticPr fontId="5" type="noConversion"/>
  </si>
  <si>
    <t>125pg/ml</t>
    <phoneticPr fontId="5" type="noConversion"/>
  </si>
  <si>
    <t>62.5pg/ml</t>
    <phoneticPr fontId="5" type="noConversion"/>
  </si>
  <si>
    <t>blank</t>
    <phoneticPr fontId="5" type="noConversion"/>
  </si>
  <si>
    <t>STD 1</t>
    <phoneticPr fontId="5" type="noConversion"/>
  </si>
  <si>
    <t>STD 2</t>
    <phoneticPr fontId="5" type="noConversion"/>
  </si>
  <si>
    <t xml:space="preserve">Standard curve (O.D.&lt;0.686) : y =0.000333x + 0.061862 (r2=0.9987) </t>
    <phoneticPr fontId="5" type="noConversion"/>
  </si>
  <si>
    <t>1/192 dilution</t>
    <phoneticPr fontId="5" type="noConversion"/>
  </si>
  <si>
    <t>1/48 dilution</t>
    <phoneticPr fontId="5" type="noConversion"/>
  </si>
  <si>
    <t>A20</t>
    <phoneticPr fontId="5" type="noConversion"/>
  </si>
  <si>
    <t>Control T</t>
    <phoneticPr fontId="5" type="noConversion"/>
  </si>
  <si>
    <t>CD40 CAR-T</t>
    <phoneticPr fontId="5" type="noConversion"/>
  </si>
  <si>
    <t>1/3 dilution</t>
    <phoneticPr fontId="5" type="noConversion"/>
  </si>
  <si>
    <t>&lt; In vitro CAR-T activation &gt;-main Fig data</t>
    <phoneticPr fontId="4" type="noConversion"/>
  </si>
  <si>
    <t>&lt; O.D &gt;</t>
    <phoneticPr fontId="5" type="noConversion"/>
  </si>
  <si>
    <t>Table Analyzed</t>
  </si>
  <si>
    <t>Data 1</t>
  </si>
  <si>
    <t>Column A</t>
  </si>
  <si>
    <t>vs</t>
  </si>
  <si>
    <t>Column B</t>
  </si>
  <si>
    <t>Unpaired t test</t>
  </si>
  <si>
    <t>P value</t>
  </si>
  <si>
    <t>&lt; 0.0001</t>
  </si>
  <si>
    <t>P value summary</t>
  </si>
  <si>
    <t>***</t>
  </si>
  <si>
    <t>Are means signif. different? (P &lt; 0.05)</t>
  </si>
  <si>
    <t>Yes</t>
  </si>
  <si>
    <t>One- or two-tailed P value?</t>
  </si>
  <si>
    <t>Two-tailed</t>
  </si>
  <si>
    <t>t, df</t>
  </si>
  <si>
    <t>t=51.08 df=4</t>
  </si>
  <si>
    <t>How big is the difference?</t>
  </si>
  <si>
    <t>Mean ± SEM of column Aa</t>
  </si>
  <si>
    <t>91.33 ?9.007 N=3y</t>
  </si>
  <si>
    <t>Mean ± SEM of column Be</t>
  </si>
  <si>
    <t>172100 ?3367 N=3y</t>
  </si>
  <si>
    <t>Difference between means</t>
  </si>
  <si>
    <t>-172000 ?3367＀</t>
  </si>
  <si>
    <t>95% confidence interval</t>
  </si>
  <si>
    <t>-181300 to -162700</t>
  </si>
  <si>
    <t>R squared</t>
  </si>
  <si>
    <t>F test to compare variances</t>
  </si>
  <si>
    <t>F,DFn, Dfd</t>
  </si>
  <si>
    <t>139800, 2, 2</t>
  </si>
  <si>
    <t>Are variances significantly different?</t>
  </si>
  <si>
    <t>&lt; statistics &gt;</t>
    <phoneticPr fontId="5" type="noConversion"/>
  </si>
  <si>
    <t>Number</t>
    <phoneticPr fontId="5" type="noConversion"/>
  </si>
  <si>
    <t>day 9</t>
    <phoneticPr fontId="5" type="noConversion"/>
  </si>
  <si>
    <t>day 12</t>
    <phoneticPr fontId="5" type="noConversion"/>
  </si>
  <si>
    <t>day 19</t>
    <phoneticPr fontId="5" type="noConversion"/>
  </si>
  <si>
    <t>#616</t>
    <phoneticPr fontId="4" type="noConversion"/>
  </si>
  <si>
    <t>death (day37)</t>
    <phoneticPr fontId="4" type="noConversion"/>
  </si>
  <si>
    <t>#617</t>
    <phoneticPr fontId="4" type="noConversion"/>
  </si>
  <si>
    <t>death (day31)</t>
    <phoneticPr fontId="4" type="noConversion"/>
  </si>
  <si>
    <t>#618</t>
  </si>
  <si>
    <t>death (day35)</t>
    <phoneticPr fontId="4" type="noConversion"/>
  </si>
  <si>
    <t>#619</t>
  </si>
  <si>
    <t>#620</t>
  </si>
  <si>
    <t>#621</t>
  </si>
  <si>
    <t>#622</t>
  </si>
  <si>
    <t>#623</t>
  </si>
  <si>
    <t>#624</t>
  </si>
  <si>
    <t>#625</t>
  </si>
  <si>
    <t>death (day39)</t>
    <phoneticPr fontId="4" type="noConversion"/>
  </si>
  <si>
    <t>#626</t>
  </si>
  <si>
    <t>death (day19)</t>
    <phoneticPr fontId="4" type="noConversion"/>
  </si>
  <si>
    <t>#627</t>
  </si>
  <si>
    <t>#628</t>
  </si>
  <si>
    <t>death (day14)</t>
    <phoneticPr fontId="4" type="noConversion"/>
  </si>
  <si>
    <t>#629</t>
    <phoneticPr fontId="4" type="noConversion"/>
  </si>
  <si>
    <t>#630</t>
    <phoneticPr fontId="4" type="noConversion"/>
  </si>
  <si>
    <t>death (day16)</t>
    <phoneticPr fontId="4" type="noConversion"/>
  </si>
  <si>
    <t>A20 only</t>
  </si>
  <si>
    <t>A20 only</t>
    <phoneticPr fontId="4" type="noConversion"/>
  </si>
  <si>
    <t>A20 + Control T</t>
    <phoneticPr fontId="4" type="noConversion"/>
  </si>
  <si>
    <t>day -1</t>
    <phoneticPr fontId="5" type="noConversion"/>
  </si>
  <si>
    <t>day 2</t>
    <phoneticPr fontId="5" type="noConversion"/>
  </si>
  <si>
    <t>day 5</t>
    <phoneticPr fontId="5" type="noConversion"/>
  </si>
  <si>
    <t>day 17</t>
    <phoneticPr fontId="5" type="noConversion"/>
  </si>
  <si>
    <t>day 20</t>
    <phoneticPr fontId="5" type="noConversion"/>
  </si>
  <si>
    <t>day 23</t>
    <phoneticPr fontId="5" type="noConversion"/>
  </si>
  <si>
    <t>(day 0)</t>
    <phoneticPr fontId="4" type="noConversion"/>
  </si>
  <si>
    <t>&lt; Body weight &gt;-main Fig data</t>
    <phoneticPr fontId="4" type="noConversion"/>
  </si>
  <si>
    <t>#631</t>
    <phoneticPr fontId="4" type="noConversion"/>
  </si>
  <si>
    <t>death (day41)</t>
    <phoneticPr fontId="4" type="noConversion"/>
  </si>
  <si>
    <t>#632</t>
  </si>
  <si>
    <t>death (day45)</t>
    <phoneticPr fontId="4" type="noConversion"/>
  </si>
  <si>
    <t>#633</t>
  </si>
  <si>
    <t>death (day23)</t>
    <phoneticPr fontId="4" type="noConversion"/>
  </si>
  <si>
    <t>#634</t>
  </si>
  <si>
    <t>death (day32)</t>
    <phoneticPr fontId="4" type="noConversion"/>
  </si>
  <si>
    <t>#635</t>
  </si>
  <si>
    <t>#636</t>
  </si>
  <si>
    <t>death (day42)</t>
    <phoneticPr fontId="4" type="noConversion"/>
  </si>
  <si>
    <t>#637</t>
  </si>
  <si>
    <t>death (day36)</t>
    <phoneticPr fontId="4" type="noConversion"/>
  </si>
  <si>
    <t>#638</t>
  </si>
  <si>
    <t>#639</t>
  </si>
  <si>
    <t>#640</t>
  </si>
  <si>
    <t>#641</t>
  </si>
  <si>
    <t>death (day10)</t>
    <phoneticPr fontId="4" type="noConversion"/>
  </si>
  <si>
    <t>#642</t>
  </si>
  <si>
    <t>death (day12)</t>
    <phoneticPr fontId="4" type="noConversion"/>
  </si>
  <si>
    <t>#643</t>
  </si>
  <si>
    <t>#644</t>
  </si>
  <si>
    <t>#645</t>
    <phoneticPr fontId="4" type="noConversion"/>
  </si>
  <si>
    <t>Days</t>
  </si>
  <si>
    <t>Control</t>
  </si>
  <si>
    <t>Treatment A</t>
  </si>
  <si>
    <t>Treatment B</t>
  </si>
  <si>
    <t>A20 only</t>
    <phoneticPr fontId="3" type="noConversion"/>
  </si>
  <si>
    <t>A20+Control T</t>
    <phoneticPr fontId="3" type="noConversion"/>
  </si>
  <si>
    <t>&lt; survival data - 2 experiments data pooling &gt;-main Fig data</t>
    <phoneticPr fontId="4" type="noConversion"/>
  </si>
  <si>
    <r>
      <t>A20+</t>
    </r>
    <r>
      <rPr>
        <b/>
        <sz val="10"/>
        <color rgb="FFFF0000"/>
        <rFont val="Arial"/>
        <family val="2"/>
      </rPr>
      <t>CD40 CAR-T</t>
    </r>
    <phoneticPr fontId="3" type="noConversion"/>
  </si>
  <si>
    <t>Comparison of Survival Curves</t>
  </si>
  <si>
    <t>Log-rank (Mantel-Cox) Test</t>
  </si>
  <si>
    <t>Chi square</t>
  </si>
  <si>
    <t>df</t>
  </si>
  <si>
    <t>Are the survival curves sig different?</t>
  </si>
  <si>
    <t>Logrank test for trend</t>
  </si>
  <si>
    <t>**</t>
  </si>
  <si>
    <t>Sig. trend?</t>
  </si>
  <si>
    <t>&lt;test1-raw data&gt;</t>
    <phoneticPr fontId="3" type="noConversion"/>
  </si>
  <si>
    <t>&lt;test2-raw data&gt;</t>
    <phoneticPr fontId="3" type="noConversion"/>
  </si>
  <si>
    <t>&lt; serum IL-6 ELISA &gt;-main Fig data</t>
    <phoneticPr fontId="4" type="noConversion"/>
  </si>
  <si>
    <t>A20 only (n=5)</t>
    <phoneticPr fontId="3" type="noConversion"/>
  </si>
  <si>
    <t>A20+Control T (n=6)</t>
    <phoneticPr fontId="3" type="noConversion"/>
  </si>
  <si>
    <r>
      <t>A20+</t>
    </r>
    <r>
      <rPr>
        <sz val="10"/>
        <color rgb="FFFF0000"/>
        <rFont val="Arial"/>
        <family val="2"/>
      </rPr>
      <t xml:space="preserve">CD40 CAR-T </t>
    </r>
    <r>
      <rPr>
        <sz val="10"/>
        <rFont val="Arial"/>
        <family val="2"/>
      </rPr>
      <t>(n=9)</t>
    </r>
    <phoneticPr fontId="3" type="noConversion"/>
  </si>
  <si>
    <t>IL-6 (day3)</t>
  </si>
  <si>
    <t>Column C</t>
  </si>
  <si>
    <t>t=4.548 df=12</t>
  </si>
  <si>
    <t>Mean ± SEM of column Ae</t>
  </si>
  <si>
    <t>40.08 ?27.82 N=5T</t>
  </si>
  <si>
    <t>Mean ± SEM of column Ce</t>
  </si>
  <si>
    <t>1049 ?161.7 N=95</t>
  </si>
  <si>
    <t>-1009 ?221.82</t>
  </si>
  <si>
    <t>-1492 to -525.5</t>
  </si>
  <si>
    <t>60.80, 8, 4</t>
  </si>
  <si>
    <t>t=5.055 df=13</t>
  </si>
  <si>
    <t>32.85 ?16.38 N=6y</t>
  </si>
  <si>
    <t>1049 ?161.7 N=9</t>
  </si>
  <si>
    <t>-1016 ?201.03</t>
  </si>
  <si>
    <t>-1450 to -581.9</t>
  </si>
  <si>
    <t>146.2, 8, 5</t>
  </si>
  <si>
    <t>&lt;0: survival, 1: death&gt;</t>
    <phoneticPr fontId="3" type="noConversion"/>
  </si>
  <si>
    <t>A20+control T</t>
    <phoneticPr fontId="3" type="noConversion"/>
  </si>
  <si>
    <t>day -2</t>
    <phoneticPr fontId="5" type="noConversion"/>
  </si>
  <si>
    <t>day 1</t>
    <phoneticPr fontId="5" type="noConversion"/>
  </si>
  <si>
    <t>day 3</t>
    <phoneticPr fontId="5" type="noConversion"/>
  </si>
  <si>
    <t>day 8</t>
    <phoneticPr fontId="5" type="noConversion"/>
  </si>
  <si>
    <t>day 15</t>
    <phoneticPr fontId="5" type="noConversion"/>
  </si>
  <si>
    <t>#191</t>
    <phoneticPr fontId="4" type="noConversion"/>
  </si>
  <si>
    <t>#192</t>
  </si>
  <si>
    <t>#193</t>
  </si>
  <si>
    <t>#194</t>
  </si>
  <si>
    <t>#211</t>
    <phoneticPr fontId="4" type="noConversion"/>
  </si>
  <si>
    <t>#202</t>
    <phoneticPr fontId="4" type="noConversion"/>
  </si>
  <si>
    <t>#213</t>
  </si>
  <si>
    <t>#214</t>
  </si>
  <si>
    <t>#206</t>
    <phoneticPr fontId="4" type="noConversion"/>
  </si>
  <si>
    <t>death (day9)</t>
    <phoneticPr fontId="4" type="noConversion"/>
  </si>
  <si>
    <t>#207</t>
  </si>
  <si>
    <t>death (day8)</t>
    <phoneticPr fontId="4" type="noConversion"/>
  </si>
  <si>
    <t>#208</t>
  </si>
  <si>
    <t>death (day9)</t>
  </si>
  <si>
    <t>#209</t>
  </si>
  <si>
    <t>#210</t>
  </si>
  <si>
    <t>#201</t>
    <phoneticPr fontId="4" type="noConversion"/>
  </si>
  <si>
    <t>#212</t>
    <phoneticPr fontId="4" type="noConversion"/>
  </si>
  <si>
    <t>#203</t>
  </si>
  <si>
    <t>#204</t>
  </si>
  <si>
    <t>death (day8)</t>
  </si>
  <si>
    <t>#205</t>
  </si>
  <si>
    <t>Control T only</t>
    <phoneticPr fontId="4" type="noConversion"/>
  </si>
  <si>
    <t xml:space="preserve">A20 + Control T                                                   </t>
    <phoneticPr fontId="4" type="noConversion"/>
  </si>
  <si>
    <t>CD40 CAR-T</t>
    <phoneticPr fontId="3" type="noConversion"/>
  </si>
  <si>
    <r>
      <t>A20</t>
    </r>
    <r>
      <rPr>
        <sz val="10"/>
        <color rgb="FFFF0000"/>
        <rFont val="Arial"/>
        <family val="2"/>
      </rPr>
      <t>+CD40 CAR-T</t>
    </r>
    <phoneticPr fontId="3" type="noConversion"/>
  </si>
  <si>
    <t>ns</t>
  </si>
  <si>
    <t>No</t>
  </si>
  <si>
    <t>Gehan-Breslow-Wilcoxon Test</t>
  </si>
  <si>
    <t>Median survival</t>
  </si>
  <si>
    <t>Data Set-B</t>
  </si>
  <si>
    <t>Ratio</t>
  </si>
  <si>
    <t>95% CI of ratio</t>
  </si>
  <si>
    <t>0.7772 to 1.356</t>
  </si>
  <si>
    <t>Hazard Ratio</t>
  </si>
  <si>
    <t>0.08596 to 5.495</t>
  </si>
  <si>
    <t>&lt; survival data &gt;-main Fig data</t>
    <phoneticPr fontId="4" type="noConversion"/>
  </si>
  <si>
    <t>&lt;replicates data-raw data&gt;</t>
    <phoneticPr fontId="3" type="noConversion"/>
  </si>
  <si>
    <t>#195</t>
    <phoneticPr fontId="4" type="noConversion"/>
  </si>
  <si>
    <t>#196</t>
    <phoneticPr fontId="4" type="noConversion"/>
  </si>
  <si>
    <t>#215</t>
    <phoneticPr fontId="4" type="noConversion"/>
  </si>
  <si>
    <t>#230</t>
    <phoneticPr fontId="4" type="noConversion"/>
  </si>
  <si>
    <t>#226</t>
    <phoneticPr fontId="4" type="noConversion"/>
  </si>
  <si>
    <t>#227</t>
  </si>
  <si>
    <t>#228</t>
  </si>
  <si>
    <t>#229</t>
    <phoneticPr fontId="4" type="noConversion"/>
  </si>
  <si>
    <t>#221</t>
    <phoneticPr fontId="4" type="noConversion"/>
  </si>
  <si>
    <t>death (day3)</t>
    <phoneticPr fontId="4" type="noConversion"/>
  </si>
  <si>
    <t>#222</t>
    <phoneticPr fontId="4" type="noConversion"/>
  </si>
  <si>
    <t>#223</t>
    <phoneticPr fontId="4" type="noConversion"/>
  </si>
  <si>
    <t>#224</t>
    <phoneticPr fontId="4" type="noConversion"/>
  </si>
  <si>
    <t>death (day3)</t>
  </si>
  <si>
    <t>#225</t>
    <phoneticPr fontId="4" type="noConversion"/>
  </si>
  <si>
    <t>#216</t>
    <phoneticPr fontId="4" type="noConversion"/>
  </si>
  <si>
    <t>#217</t>
    <phoneticPr fontId="4" type="noConversion"/>
  </si>
  <si>
    <t>#218</t>
  </si>
  <si>
    <t>#219</t>
  </si>
  <si>
    <t>#220</t>
    <phoneticPr fontId="4" type="noConversion"/>
  </si>
  <si>
    <t>Control T only</t>
    <phoneticPr fontId="3" type="noConversion"/>
  </si>
  <si>
    <t>Column D</t>
  </si>
  <si>
    <t>t=1.960 df=12</t>
  </si>
  <si>
    <t>279.0 ?42.56 N=7y</t>
  </si>
  <si>
    <t>Mean ± SEM of column De</t>
  </si>
  <si>
    <t>t=4.924 df=11</t>
  </si>
  <si>
    <t>5.125 ?3.607 N=6y</t>
  </si>
  <si>
    <t>467.7 ?86.37 N=7T</t>
  </si>
  <si>
    <t>-462.6 ?93.95＀</t>
  </si>
  <si>
    <t>-669.4 to -255.8</t>
  </si>
  <si>
    <t>669.1, 6, 5</t>
  </si>
  <si>
    <t>t=4.842 df=9</t>
  </si>
  <si>
    <t>Mean ± SEM of column Aހ</t>
  </si>
  <si>
    <t>0.0025 ?0.0025 N=4_x000F_</t>
  </si>
  <si>
    <t>Mean ± SEM of column Cހ</t>
  </si>
  <si>
    <t>279.0 ?42.56 N=7l</t>
  </si>
  <si>
    <t>-279.0 ?57.63＀</t>
  </si>
  <si>
    <t>-409.4 to -148.7</t>
  </si>
  <si>
    <t>507200000, 6, 3</t>
  </si>
  <si>
    <t>Mean ± SEM of column Ca</t>
  </si>
  <si>
    <t>467.7 ?86.37 N=7y</t>
  </si>
  <si>
    <t>-188.7 ?96.29＀</t>
  </si>
  <si>
    <t>-398.5 to 21.13</t>
  </si>
  <si>
    <t>4.118, 6, 6</t>
  </si>
  <si>
    <r>
      <rPr>
        <b/>
        <sz val="10"/>
        <color rgb="FFFF0000"/>
        <rFont val="Arial"/>
        <family val="2"/>
      </rPr>
      <t>CD40 CAR-T</t>
    </r>
    <r>
      <rPr>
        <b/>
        <sz val="10"/>
        <rFont val="Arial"/>
        <family val="2"/>
      </rPr>
      <t xml:space="preserve"> only</t>
    </r>
    <phoneticPr fontId="3" type="noConversion"/>
  </si>
  <si>
    <r>
      <rPr>
        <sz val="10"/>
        <color rgb="FFFF0000"/>
        <rFont val="Arial"/>
        <family val="2"/>
      </rPr>
      <t>CD40 CAR-T</t>
    </r>
    <r>
      <rPr>
        <sz val="10"/>
        <rFont val="Arial"/>
        <family val="2"/>
      </rPr>
      <t xml:space="preserve"> only (n=7)</t>
    </r>
    <phoneticPr fontId="3" type="noConversion"/>
  </si>
  <si>
    <r>
      <t>A20+</t>
    </r>
    <r>
      <rPr>
        <sz val="10"/>
        <color rgb="FFFF0000"/>
        <rFont val="Arial"/>
        <family val="2"/>
      </rPr>
      <t>CD40 CAR-T</t>
    </r>
    <r>
      <rPr>
        <sz val="10"/>
        <color theme="1"/>
        <rFont val="Arial"/>
        <family val="2"/>
      </rPr>
      <t xml:space="preserve"> (n=7)</t>
    </r>
    <phoneticPr fontId="3" type="noConversion"/>
  </si>
  <si>
    <t>Control T only (n=4)</t>
    <phoneticPr fontId="3" type="noConversion"/>
  </si>
  <si>
    <t>day 0</t>
    <phoneticPr fontId="5" type="noConversion"/>
  </si>
  <si>
    <t>day 22</t>
    <phoneticPr fontId="5" type="noConversion"/>
  </si>
  <si>
    <t>#166</t>
  </si>
  <si>
    <t>death (day13)</t>
    <phoneticPr fontId="4" type="noConversion"/>
  </si>
  <si>
    <t>#167</t>
  </si>
  <si>
    <t>#168</t>
  </si>
  <si>
    <t>#169</t>
  </si>
  <si>
    <t>#170</t>
  </si>
  <si>
    <t>death (day14)</t>
  </si>
  <si>
    <t>#791</t>
    <phoneticPr fontId="4" type="noConversion"/>
  </si>
  <si>
    <t>#792</t>
  </si>
  <si>
    <t>#793</t>
  </si>
  <si>
    <t>#794</t>
  </si>
  <si>
    <t>#795</t>
    <phoneticPr fontId="4" type="noConversion"/>
  </si>
  <si>
    <t>day 10</t>
    <phoneticPr fontId="5" type="noConversion"/>
  </si>
  <si>
    <t>day 26</t>
    <phoneticPr fontId="5" type="noConversion"/>
  </si>
  <si>
    <t>#150</t>
    <phoneticPr fontId="4" type="noConversion"/>
  </si>
  <si>
    <t>#854</t>
    <phoneticPr fontId="4" type="noConversion"/>
  </si>
  <si>
    <t>#76</t>
    <phoneticPr fontId="4" type="noConversion"/>
  </si>
  <si>
    <t>#78</t>
    <phoneticPr fontId="4" type="noConversion"/>
  </si>
  <si>
    <t>#100</t>
    <phoneticPr fontId="4" type="noConversion"/>
  </si>
  <si>
    <t>#586</t>
    <phoneticPr fontId="4" type="noConversion"/>
  </si>
  <si>
    <t>#588</t>
    <phoneticPr fontId="4" type="noConversion"/>
  </si>
  <si>
    <t>#590</t>
    <phoneticPr fontId="4" type="noConversion"/>
  </si>
  <si>
    <t>#592</t>
    <phoneticPr fontId="4" type="noConversion"/>
  </si>
  <si>
    <t>#594</t>
    <phoneticPr fontId="4" type="noConversion"/>
  </si>
  <si>
    <t xml:space="preserve">death (day21) </t>
    <phoneticPr fontId="4" type="noConversion"/>
  </si>
  <si>
    <t>death (day24)</t>
    <phoneticPr fontId="4" type="noConversion"/>
  </si>
  <si>
    <t>death (day15)</t>
    <phoneticPr fontId="4" type="noConversion"/>
  </si>
  <si>
    <t>death (day33)</t>
    <phoneticPr fontId="4" type="noConversion"/>
  </si>
  <si>
    <t>Undefined</t>
  </si>
  <si>
    <t>6.851 to 109.5</t>
  </si>
  <si>
    <t>CD40 null</t>
    <phoneticPr fontId="3" type="noConversion"/>
  </si>
  <si>
    <t>IL-6 (day9)</t>
  </si>
  <si>
    <t>t=4.942 df=18</t>
  </si>
  <si>
    <t>532.3 ?115.8 N=9y</t>
  </si>
  <si>
    <t>Mean ± SEM of column Ba</t>
  </si>
  <si>
    <t>12.96 ?12.96 N=11</t>
  </si>
  <si>
    <t>519.4 ?105.1琀</t>
  </si>
  <si>
    <t>298.6 to 740.2</t>
  </si>
  <si>
    <t>65.31, 8, 10</t>
  </si>
  <si>
    <r>
      <t>B6 CD40 null</t>
    </r>
    <r>
      <rPr>
        <sz val="10"/>
        <color theme="1"/>
        <rFont val="Arial"/>
        <family val="2"/>
      </rPr>
      <t xml:space="preserve"> (n=11)</t>
    </r>
    <phoneticPr fontId="3" type="noConversion"/>
  </si>
  <si>
    <t>B6 WT (n=9)</t>
    <phoneticPr fontId="3" type="noConversion"/>
  </si>
  <si>
    <t>31.25pg/ml</t>
    <phoneticPr fontId="5" type="noConversion"/>
  </si>
  <si>
    <t>15.625pg/ml</t>
    <phoneticPr fontId="5" type="noConversion"/>
  </si>
  <si>
    <t>&lt; IL-6 standard &gt;</t>
    <phoneticPr fontId="5" type="noConversion"/>
  </si>
  <si>
    <t xml:space="preserve">Standard curve (O.D.&lt;0.895) : y = 0.000861x + 0.088479 (r2=0.9842) </t>
    <phoneticPr fontId="5" type="noConversion"/>
  </si>
  <si>
    <t>1/6 dilution</t>
    <phoneticPr fontId="5" type="noConversion"/>
  </si>
  <si>
    <t>MQ</t>
    <phoneticPr fontId="5" type="noConversion"/>
  </si>
  <si>
    <t>2/3 dilution</t>
    <phoneticPr fontId="5" type="noConversion"/>
  </si>
  <si>
    <t>t=55.17 df=4</t>
  </si>
  <si>
    <t>197.2 ?33.12 N=3</t>
  </si>
  <si>
    <t>Mean ± SEM of column Dހ</t>
  </si>
  <si>
    <t>4596 ?72.53 N=3r</t>
  </si>
  <si>
    <t>-4399 ?79.74＀</t>
  </si>
  <si>
    <t>-4620 to -4177</t>
  </si>
  <si>
    <t>4.796, 2, 2</t>
  </si>
  <si>
    <r>
      <t>MQ+</t>
    </r>
    <r>
      <rPr>
        <b/>
        <sz val="10"/>
        <color rgb="FFFF0000"/>
        <rFont val="Arial"/>
        <family val="2"/>
      </rPr>
      <t>CD40 CAR-T</t>
    </r>
    <phoneticPr fontId="3" type="noConversion"/>
  </si>
  <si>
    <t>&lt; In vitro coculture &gt;-main Fig data</t>
    <phoneticPr fontId="4" type="noConversion"/>
  </si>
  <si>
    <t>&lt; IL-1b standard &gt;</t>
    <phoneticPr fontId="5" type="noConversion"/>
  </si>
  <si>
    <t>7.8125pg/ml</t>
    <phoneticPr fontId="5" type="noConversion"/>
  </si>
  <si>
    <t xml:space="preserve">Standard curve (O.D.&lt;0.879) : y = 0.003417x + 0.078454 (r2=0.9930) </t>
    <phoneticPr fontId="5" type="noConversion"/>
  </si>
  <si>
    <t>IL-1b</t>
  </si>
  <si>
    <t>t=12.77 df=4</t>
  </si>
  <si>
    <t>Mean ± SEM of column B</t>
  </si>
  <si>
    <t>170.6 ?13.24 N=3</t>
  </si>
  <si>
    <t>-169.6 ?13.28＀</t>
  </si>
  <si>
    <t>-206.5 to -132.7</t>
  </si>
  <si>
    <t>191.6, 2, 2</t>
  </si>
  <si>
    <t>*</t>
  </si>
  <si>
    <t>day 29</t>
    <phoneticPr fontId="5" type="noConversion"/>
  </si>
  <si>
    <t>#556</t>
    <phoneticPr fontId="4" type="noConversion"/>
  </si>
  <si>
    <t>#557</t>
  </si>
  <si>
    <t>#558</t>
  </si>
  <si>
    <t>#559</t>
  </si>
  <si>
    <t>#560</t>
  </si>
  <si>
    <t>#541</t>
    <phoneticPr fontId="4" type="noConversion"/>
  </si>
  <si>
    <t>#542</t>
  </si>
  <si>
    <t>death (day4)</t>
    <phoneticPr fontId="4" type="noConversion"/>
  </si>
  <si>
    <t>#543</t>
  </si>
  <si>
    <t>#544</t>
  </si>
  <si>
    <t>#545</t>
  </si>
  <si>
    <t>death (day11)</t>
    <phoneticPr fontId="4" type="noConversion"/>
  </si>
  <si>
    <t>#551</t>
    <phoneticPr fontId="4" type="noConversion"/>
  </si>
  <si>
    <t>#552</t>
  </si>
  <si>
    <t>#553</t>
  </si>
  <si>
    <t>#554</t>
  </si>
  <si>
    <t>#555</t>
  </si>
  <si>
    <t>death (day4)</t>
  </si>
  <si>
    <t>#561</t>
    <phoneticPr fontId="4" type="noConversion"/>
  </si>
  <si>
    <t>#562</t>
  </si>
  <si>
    <t>#563</t>
  </si>
  <si>
    <t>#564</t>
  </si>
  <si>
    <t>#565</t>
  </si>
  <si>
    <t>#536</t>
    <phoneticPr fontId="4" type="noConversion"/>
  </si>
  <si>
    <t>death (day12)</t>
  </si>
  <si>
    <t>#537</t>
  </si>
  <si>
    <t>#538</t>
  </si>
  <si>
    <t>#539</t>
  </si>
  <si>
    <t>#540</t>
  </si>
  <si>
    <t>death (day5)</t>
    <phoneticPr fontId="4" type="noConversion"/>
  </si>
  <si>
    <t xml:space="preserve">                           Control T</t>
    <phoneticPr fontId="4" type="noConversion"/>
  </si>
  <si>
    <t xml:space="preserve">                                  CD40 CAR-T</t>
    <phoneticPr fontId="4" type="noConversion"/>
  </si>
  <si>
    <t>death (day5)</t>
  </si>
  <si>
    <t>#546</t>
    <phoneticPr fontId="4" type="noConversion"/>
  </si>
  <si>
    <t>#547</t>
  </si>
  <si>
    <t>#548</t>
  </si>
  <si>
    <t>#549</t>
  </si>
  <si>
    <t>#550</t>
  </si>
  <si>
    <t>#661</t>
    <phoneticPr fontId="4" type="noConversion"/>
  </si>
  <si>
    <t>#666</t>
    <phoneticPr fontId="4" type="noConversion"/>
  </si>
  <si>
    <t>#669</t>
    <phoneticPr fontId="4" type="noConversion"/>
  </si>
  <si>
    <t>#678</t>
    <phoneticPr fontId="4" type="noConversion"/>
  </si>
  <si>
    <t>#679</t>
    <phoneticPr fontId="4" type="noConversion"/>
  </si>
  <si>
    <t>#99</t>
    <phoneticPr fontId="4" type="noConversion"/>
  </si>
  <si>
    <t>#114</t>
    <phoneticPr fontId="4" type="noConversion"/>
  </si>
  <si>
    <t>#120</t>
    <phoneticPr fontId="4" type="noConversion"/>
  </si>
  <si>
    <t>#175</t>
    <phoneticPr fontId="4" type="noConversion"/>
  </si>
  <si>
    <t>#292</t>
    <phoneticPr fontId="4" type="noConversion"/>
  </si>
  <si>
    <t>#92</t>
    <phoneticPr fontId="4" type="noConversion"/>
  </si>
  <si>
    <t>#95</t>
    <phoneticPr fontId="4" type="noConversion"/>
  </si>
  <si>
    <t>#98</t>
    <phoneticPr fontId="4" type="noConversion"/>
  </si>
  <si>
    <t>#118</t>
    <phoneticPr fontId="4" type="noConversion"/>
  </si>
  <si>
    <t>#148</t>
    <phoneticPr fontId="4" type="noConversion"/>
  </si>
  <si>
    <t>#94</t>
    <phoneticPr fontId="4" type="noConversion"/>
  </si>
  <si>
    <t>#97</t>
    <phoneticPr fontId="4" type="noConversion"/>
  </si>
  <si>
    <t>#110</t>
    <phoneticPr fontId="4" type="noConversion"/>
  </si>
  <si>
    <t>#121</t>
    <phoneticPr fontId="4" type="noConversion"/>
  </si>
  <si>
    <t>#291</t>
    <phoneticPr fontId="4" type="noConversion"/>
  </si>
  <si>
    <t>#93</t>
    <phoneticPr fontId="4" type="noConversion"/>
  </si>
  <si>
    <t>#96</t>
    <phoneticPr fontId="4" type="noConversion"/>
  </si>
  <si>
    <t>death (day29)</t>
    <phoneticPr fontId="4" type="noConversion"/>
  </si>
  <si>
    <t>#128</t>
    <phoneticPr fontId="4" type="noConversion"/>
  </si>
  <si>
    <t>#293</t>
    <phoneticPr fontId="4" type="noConversion"/>
  </si>
  <si>
    <t>#115</t>
    <phoneticPr fontId="4" type="noConversion"/>
  </si>
  <si>
    <t>#146</t>
    <phoneticPr fontId="4" type="noConversion"/>
  </si>
  <si>
    <t>#172</t>
    <phoneticPr fontId="4" type="noConversion"/>
  </si>
  <si>
    <t>#197</t>
    <phoneticPr fontId="4" type="noConversion"/>
  </si>
  <si>
    <t>day5</t>
  </si>
  <si>
    <t>One-way analysis of variance</t>
  </si>
  <si>
    <t>Number of groups</t>
  </si>
  <si>
    <t>F</t>
  </si>
  <si>
    <t>Bartlett's test for equal variances</t>
  </si>
  <si>
    <t>Bartlett's statistic (corrected)</t>
  </si>
  <si>
    <t>Do the variances differ signif. (P &lt; 0.05)</t>
  </si>
  <si>
    <t>ANOVA Table</t>
  </si>
  <si>
    <t>SS</t>
  </si>
  <si>
    <t>MS</t>
  </si>
  <si>
    <t>Treatment (between columns)</t>
  </si>
  <si>
    <t>Residual (within columns)</t>
  </si>
  <si>
    <t>Total</t>
  </si>
  <si>
    <t>Dunnett's Multiple Comparison Test</t>
  </si>
  <si>
    <t>Mean Diff.</t>
  </si>
  <si>
    <t>q</t>
  </si>
  <si>
    <t>Significant? P &lt; 0.05?</t>
  </si>
  <si>
    <t>Summary</t>
  </si>
  <si>
    <t>95% CI of diff</t>
  </si>
  <si>
    <t>CD40 CAR-T vs CD40 CAR-T+anti-IL6</t>
  </si>
  <si>
    <t>-10.08 to -0.7145</t>
  </si>
  <si>
    <t>CD40 CAR-T vs CD40 CAR-T+anti-IL6+anakinra</t>
  </si>
  <si>
    <t>-9.949 to -0.5825</t>
  </si>
  <si>
    <t>CD40 CAR-T vs CD40 CAR-T+anti-IL6</t>
    <phoneticPr fontId="3" type="noConversion"/>
  </si>
  <si>
    <t>day8</t>
  </si>
  <si>
    <t>-11.45 to 0.5017</t>
  </si>
  <si>
    <t>-13.80 to -1.846</t>
  </si>
  <si>
    <t>CD40 CAR-T vs CD40 CAR-T+clodronate</t>
  </si>
  <si>
    <t>-12.61 to -0.08573</t>
  </si>
  <si>
    <t>CD40 CAR-T vs control T</t>
  </si>
  <si>
    <t>-16.50 to -4.502</t>
  </si>
  <si>
    <t>#376</t>
    <phoneticPr fontId="4" type="noConversion"/>
  </si>
  <si>
    <t>#377</t>
    <phoneticPr fontId="4" type="noConversion"/>
  </si>
  <si>
    <t>#378</t>
  </si>
  <si>
    <t>#379</t>
  </si>
  <si>
    <t>#380</t>
    <phoneticPr fontId="4" type="noConversion"/>
  </si>
  <si>
    <t>#396</t>
    <phoneticPr fontId="4" type="noConversion"/>
  </si>
  <si>
    <t>#397</t>
    <phoneticPr fontId="4" type="noConversion"/>
  </si>
  <si>
    <t>#398</t>
  </si>
  <si>
    <t>death (day2)</t>
    <phoneticPr fontId="4" type="noConversion"/>
  </si>
  <si>
    <t>#399</t>
  </si>
  <si>
    <t>#400</t>
    <phoneticPr fontId="4" type="noConversion"/>
  </si>
  <si>
    <t>#391</t>
    <phoneticPr fontId="4" type="noConversion"/>
  </si>
  <si>
    <t>#392</t>
    <phoneticPr fontId="4" type="noConversion"/>
  </si>
  <si>
    <t>#393</t>
  </si>
  <si>
    <t>#394</t>
  </si>
  <si>
    <t>#395</t>
    <phoneticPr fontId="4" type="noConversion"/>
  </si>
  <si>
    <t>#386</t>
    <phoneticPr fontId="4" type="noConversion"/>
  </si>
  <si>
    <t>#387</t>
    <phoneticPr fontId="4" type="noConversion"/>
  </si>
  <si>
    <t>#388</t>
  </si>
  <si>
    <t>#389</t>
  </si>
  <si>
    <t>#390</t>
    <phoneticPr fontId="4" type="noConversion"/>
  </si>
  <si>
    <t>#381</t>
    <phoneticPr fontId="4" type="noConversion"/>
  </si>
  <si>
    <t>#382</t>
    <phoneticPr fontId="4" type="noConversion"/>
  </si>
  <si>
    <t>#383</t>
  </si>
  <si>
    <t>#384</t>
  </si>
  <si>
    <t>#385</t>
    <phoneticPr fontId="4" type="noConversion"/>
  </si>
  <si>
    <t>#371</t>
    <phoneticPr fontId="4" type="noConversion"/>
  </si>
  <si>
    <t>#372</t>
    <phoneticPr fontId="4" type="noConversion"/>
  </si>
  <si>
    <t>#373</t>
  </si>
  <si>
    <t>#374</t>
  </si>
  <si>
    <t>#375</t>
    <phoneticPr fontId="4" type="noConversion"/>
  </si>
  <si>
    <t>#316</t>
    <phoneticPr fontId="4" type="noConversion"/>
  </si>
  <si>
    <t>#317</t>
    <phoneticPr fontId="4" type="noConversion"/>
  </si>
  <si>
    <t>#318</t>
  </si>
  <si>
    <t>#319</t>
  </si>
  <si>
    <t>#320</t>
  </si>
  <si>
    <t>#321</t>
  </si>
  <si>
    <t>#322</t>
  </si>
  <si>
    <t>#323</t>
  </si>
  <si>
    <t>#324</t>
  </si>
  <si>
    <t>#325</t>
  </si>
  <si>
    <t>#326</t>
  </si>
  <si>
    <t>#327</t>
  </si>
  <si>
    <t>#328</t>
  </si>
  <si>
    <t>#329</t>
  </si>
  <si>
    <t>#330</t>
  </si>
  <si>
    <t>#331</t>
  </si>
  <si>
    <t>#332</t>
  </si>
  <si>
    <t>#333</t>
  </si>
  <si>
    <t>#334</t>
  </si>
  <si>
    <t>#335</t>
  </si>
  <si>
    <t>#336</t>
  </si>
  <si>
    <t>#337</t>
  </si>
  <si>
    <t>#338</t>
  </si>
  <si>
    <t>#339</t>
  </si>
  <si>
    <t>death (day22)</t>
    <phoneticPr fontId="4" type="noConversion"/>
  </si>
  <si>
    <t>#340</t>
  </si>
  <si>
    <t>#341</t>
  </si>
  <si>
    <t>#342</t>
  </si>
  <si>
    <t>#343</t>
  </si>
  <si>
    <t>#344</t>
  </si>
  <si>
    <t>#345</t>
    <phoneticPr fontId="4" type="noConversion"/>
  </si>
  <si>
    <t>Control T</t>
    <phoneticPr fontId="3" type="noConversion"/>
  </si>
  <si>
    <t>t=8.754 df=8</t>
  </si>
  <si>
    <t>30.23 ?11.44 N=5</t>
  </si>
  <si>
    <t>Mean ± SEM of column Bހ</t>
  </si>
  <si>
    <t>227.9 ?19.47 N=5y</t>
  </si>
  <si>
    <t>-197.7 ?22.58＀</t>
  </si>
  <si>
    <t>-249.7 to -145.6</t>
  </si>
  <si>
    <t>2.898, 4, 4</t>
  </si>
  <si>
    <t>t=7.223 df=8</t>
  </si>
  <si>
    <t>62.38 ?12.08 N=5</t>
  </si>
  <si>
    <t>165.5 ?22.91＀</t>
  </si>
  <si>
    <t>112.7 to 218.4</t>
  </si>
  <si>
    <t>2.597, 4, 4</t>
  </si>
  <si>
    <r>
      <rPr>
        <b/>
        <sz val="10"/>
        <color rgb="FFFF0000"/>
        <rFont val="Arial"/>
        <family val="2"/>
      </rPr>
      <t>CD40 CAR-T</t>
    </r>
    <r>
      <rPr>
        <b/>
        <sz val="10"/>
        <rFont val="Arial"/>
        <family val="2"/>
      </rPr>
      <t xml:space="preserve"> + clodronate</t>
    </r>
    <phoneticPr fontId="3" type="noConversion"/>
  </si>
  <si>
    <t>Control T (n=5)</t>
    <phoneticPr fontId="3" type="noConversion"/>
  </si>
  <si>
    <r>
      <t xml:space="preserve">CD40 CAR-T </t>
    </r>
    <r>
      <rPr>
        <sz val="10"/>
        <color theme="1"/>
        <rFont val="Arial"/>
        <family val="2"/>
      </rPr>
      <t>(n=5)</t>
    </r>
    <phoneticPr fontId="3" type="noConversion"/>
  </si>
  <si>
    <r>
      <rPr>
        <sz val="10"/>
        <color rgb="FFFF0000"/>
        <rFont val="Arial"/>
        <family val="2"/>
      </rPr>
      <t>CD40 CAR-T</t>
    </r>
    <r>
      <rPr>
        <sz val="10"/>
        <rFont val="Arial"/>
        <family val="2"/>
      </rPr>
      <t xml:space="preserve"> + clodronate (n=5)</t>
    </r>
    <phoneticPr fontId="3" type="noConversion"/>
  </si>
  <si>
    <t>day 33</t>
    <phoneticPr fontId="5" type="noConversion"/>
  </si>
  <si>
    <t>day 36</t>
    <phoneticPr fontId="5" type="noConversion"/>
  </si>
  <si>
    <t>day 40</t>
    <phoneticPr fontId="5" type="noConversion"/>
  </si>
  <si>
    <t>day 43</t>
    <phoneticPr fontId="5" type="noConversion"/>
  </si>
  <si>
    <t>day 47</t>
    <phoneticPr fontId="5" type="noConversion"/>
  </si>
  <si>
    <t>B6 -&gt; B6</t>
    <phoneticPr fontId="4" type="noConversion"/>
  </si>
  <si>
    <t>#991</t>
    <phoneticPr fontId="4" type="noConversion"/>
  </si>
  <si>
    <t>#992</t>
    <phoneticPr fontId="4" type="noConversion"/>
  </si>
  <si>
    <t>#994</t>
    <phoneticPr fontId="4" type="noConversion"/>
  </si>
  <si>
    <t>#995</t>
    <phoneticPr fontId="4" type="noConversion"/>
  </si>
  <si>
    <t>death (day17)</t>
    <phoneticPr fontId="4" type="noConversion"/>
  </si>
  <si>
    <t>#996</t>
    <phoneticPr fontId="4" type="noConversion"/>
  </si>
  <si>
    <t>#997</t>
    <phoneticPr fontId="4" type="noConversion"/>
  </si>
  <si>
    <t>#998</t>
  </si>
  <si>
    <t>#999</t>
  </si>
  <si>
    <t>#1000</t>
    <phoneticPr fontId="4" type="noConversion"/>
  </si>
  <si>
    <t>#896</t>
    <phoneticPr fontId="4" type="noConversion"/>
  </si>
  <si>
    <t>#897</t>
    <phoneticPr fontId="4" type="noConversion"/>
  </si>
  <si>
    <t>#898</t>
  </si>
  <si>
    <t>#899</t>
  </si>
  <si>
    <t>#900</t>
    <phoneticPr fontId="4" type="noConversion"/>
  </si>
  <si>
    <t>#871</t>
    <phoneticPr fontId="4" type="noConversion"/>
  </si>
  <si>
    <t>#872</t>
    <phoneticPr fontId="4" type="noConversion"/>
  </si>
  <si>
    <t>#873</t>
  </si>
  <si>
    <t>#874</t>
  </si>
  <si>
    <t>#875</t>
    <phoneticPr fontId="4" type="noConversion"/>
  </si>
  <si>
    <t>B6.CD40 KO -&gt; B6</t>
    <phoneticPr fontId="4" type="noConversion"/>
  </si>
  <si>
    <t>B6 -&gt; B6.CD40 KO</t>
    <phoneticPr fontId="4" type="noConversion"/>
  </si>
  <si>
    <t>B6.CD40 KO -&gt; B6.CD40 KO</t>
    <phoneticPr fontId="4" type="noConversion"/>
  </si>
  <si>
    <t>#572</t>
    <phoneticPr fontId="4" type="noConversion"/>
  </si>
  <si>
    <t>#573</t>
    <phoneticPr fontId="4" type="noConversion"/>
  </si>
  <si>
    <t>#574</t>
  </si>
  <si>
    <t>#575</t>
  </si>
  <si>
    <t>#576</t>
  </si>
  <si>
    <t>#577</t>
  </si>
  <si>
    <t>death (day2)</t>
  </si>
  <si>
    <t>#578</t>
  </si>
  <si>
    <t>#579</t>
  </si>
  <si>
    <t>#580</t>
  </si>
  <si>
    <t>#581</t>
  </si>
  <si>
    <t>#582</t>
  </si>
  <si>
    <t>#583</t>
    <phoneticPr fontId="4" type="noConversion"/>
  </si>
  <si>
    <t>#486</t>
    <phoneticPr fontId="4" type="noConversion"/>
  </si>
  <si>
    <t>#487</t>
    <phoneticPr fontId="4" type="noConversion"/>
  </si>
  <si>
    <t>#488</t>
  </si>
  <si>
    <t>#489</t>
  </si>
  <si>
    <t>#490</t>
  </si>
  <si>
    <t>#491</t>
  </si>
  <si>
    <t>#492</t>
  </si>
  <si>
    <t>#493</t>
  </si>
  <si>
    <t>#494</t>
  </si>
  <si>
    <t>#495</t>
  </si>
  <si>
    <t>#496</t>
  </si>
  <si>
    <t>#497</t>
    <phoneticPr fontId="4" type="noConversion"/>
  </si>
  <si>
    <t>death (day54)</t>
    <phoneticPr fontId="4" type="noConversion"/>
  </si>
  <si>
    <t>death (day55)</t>
    <phoneticPr fontId="4" type="noConversion"/>
  </si>
  <si>
    <t>B6&gt;&gt;B6 (n=10)</t>
    <phoneticPr fontId="3" type="noConversion"/>
  </si>
  <si>
    <t>Cot CAR-T</t>
    <phoneticPr fontId="4" type="noConversion"/>
  </si>
  <si>
    <t>C1C02-Cot</t>
    <phoneticPr fontId="3" type="noConversion"/>
  </si>
  <si>
    <t>Cot CAR-T</t>
    <phoneticPr fontId="5" type="noConversion"/>
  </si>
  <si>
    <t>1/12 dilution</t>
    <phoneticPr fontId="5" type="noConversion"/>
  </si>
  <si>
    <t>t=18.35 df=4</t>
  </si>
  <si>
    <t>31.29 ?16.48 N=3y</t>
  </si>
  <si>
    <t>-72080 ?3929＀</t>
  </si>
  <si>
    <t>-82990 to -61180</t>
  </si>
  <si>
    <t>56860, 2, 2</t>
  </si>
  <si>
    <r>
      <t>A20</t>
    </r>
    <r>
      <rPr>
        <b/>
        <sz val="10"/>
        <color rgb="FF0000FF"/>
        <rFont val="Arial"/>
        <family val="2"/>
      </rPr>
      <t>+Cot CAR-T</t>
    </r>
    <phoneticPr fontId="3" type="noConversion"/>
  </si>
  <si>
    <r>
      <t>A20</t>
    </r>
    <r>
      <rPr>
        <b/>
        <sz val="10"/>
        <color rgb="FF0000FF"/>
        <rFont val="Arial"/>
        <family val="2"/>
      </rPr>
      <t>+Cot CAR-T</t>
    </r>
    <r>
      <rPr>
        <b/>
        <sz val="10"/>
        <color rgb="FFC00000"/>
        <rFont val="Arial"/>
        <family val="2"/>
      </rPr>
      <t>+C1C02-Cot</t>
    </r>
    <phoneticPr fontId="3" type="noConversion"/>
  </si>
  <si>
    <t>Cd40 CAR-T</t>
    <phoneticPr fontId="4" type="noConversion"/>
  </si>
  <si>
    <t>25:1</t>
    <phoneticPr fontId="12" type="noConversion"/>
  </si>
  <si>
    <t>5:1</t>
    <phoneticPr fontId="12" type="noConversion"/>
  </si>
  <si>
    <t>1:1</t>
    <phoneticPr fontId="12" type="noConversion"/>
  </si>
  <si>
    <t>0:0</t>
    <phoneticPr fontId="12" type="noConversion"/>
  </si>
  <si>
    <t>&lt; A20 cytotoxicity assay analysis (6hrs) &gt;-main Fig data</t>
    <phoneticPr fontId="4" type="noConversion"/>
  </si>
  <si>
    <r>
      <t xml:space="preserve">Comparison of Survival Curves &lt; </t>
    </r>
    <r>
      <rPr>
        <b/>
        <sz val="10"/>
        <color rgb="FFFF0000"/>
        <rFont val="Arial"/>
        <family val="2"/>
      </rPr>
      <t xml:space="preserve">CD40 CAR-T </t>
    </r>
    <r>
      <rPr>
        <b/>
        <sz val="10"/>
        <rFont val="Arial"/>
        <family val="2"/>
      </rPr>
      <t>vs A20+</t>
    </r>
    <r>
      <rPr>
        <b/>
        <sz val="10"/>
        <color rgb="FFFF0000"/>
        <rFont val="Arial"/>
        <family val="2"/>
      </rPr>
      <t>CD40 CAR-T</t>
    </r>
    <r>
      <rPr>
        <b/>
        <sz val="10"/>
        <rFont val="Arial"/>
        <family val="2"/>
      </rPr>
      <t>&gt;</t>
    </r>
    <phoneticPr fontId="3" type="noConversion"/>
  </si>
  <si>
    <r>
      <rPr>
        <sz val="10"/>
        <color rgb="FF0000FF"/>
        <rFont val="Arial"/>
        <family val="2"/>
      </rPr>
      <t>CD40 KO</t>
    </r>
    <r>
      <rPr>
        <sz val="10"/>
        <rFont val="Arial"/>
        <family val="2"/>
      </rPr>
      <t>&gt;&gt;B6 (n=11)</t>
    </r>
    <phoneticPr fontId="3" type="noConversion"/>
  </si>
  <si>
    <r>
      <t>B6&gt;&gt;</t>
    </r>
    <r>
      <rPr>
        <sz val="10"/>
        <color rgb="FF0000FF"/>
        <rFont val="Arial"/>
        <family val="2"/>
      </rPr>
      <t>CD40 KO</t>
    </r>
    <r>
      <rPr>
        <sz val="10"/>
        <rFont val="Arial"/>
        <family val="2"/>
      </rPr>
      <t xml:space="preserve"> (n=11)</t>
    </r>
    <phoneticPr fontId="3" type="noConversion"/>
  </si>
  <si>
    <r>
      <rPr>
        <sz val="10"/>
        <color rgb="FF0000FF"/>
        <rFont val="Arial"/>
        <family val="2"/>
      </rPr>
      <t>CD40 KO</t>
    </r>
    <r>
      <rPr>
        <sz val="10"/>
        <rFont val="Arial"/>
        <family val="2"/>
      </rPr>
      <t>&gt;&gt;</t>
    </r>
    <r>
      <rPr>
        <sz val="10"/>
        <color rgb="FF0000FF"/>
        <rFont val="Arial"/>
        <family val="2"/>
      </rPr>
      <t>CD40 KO</t>
    </r>
    <r>
      <rPr>
        <sz val="10"/>
        <rFont val="Arial"/>
        <family val="2"/>
      </rPr>
      <t xml:space="preserve"> (n=11)</t>
    </r>
    <phoneticPr fontId="3" type="noConversion"/>
  </si>
  <si>
    <t>&lt; In vitro co-culture (IL-6) &gt;-main Fig data</t>
    <phoneticPr fontId="4" type="noConversion"/>
  </si>
  <si>
    <t xml:space="preserve">Standard curve (O.D.&lt;1.075) : y = 0.001050x + 0.095058 (r2=0.9893) </t>
    <phoneticPr fontId="5" type="noConversion"/>
  </si>
  <si>
    <t>1/64 dilution</t>
    <phoneticPr fontId="5" type="noConversion"/>
  </si>
  <si>
    <t>1/16 dilution</t>
    <phoneticPr fontId="5" type="noConversion"/>
  </si>
  <si>
    <t>1/4 dilution</t>
    <phoneticPr fontId="5" type="noConversion"/>
  </si>
  <si>
    <t>&lt; IL-6 (pg/ml) &gt;</t>
    <phoneticPr fontId="5" type="noConversion"/>
  </si>
  <si>
    <t>&lt; IL-1b (pg/ml) &gt;</t>
    <phoneticPr fontId="5" type="noConversion"/>
  </si>
  <si>
    <t>#487</t>
  </si>
  <si>
    <t>#497</t>
  </si>
  <si>
    <t>#498</t>
  </si>
  <si>
    <t>#499</t>
  </si>
  <si>
    <t>#500</t>
  </si>
  <si>
    <t>#676</t>
    <phoneticPr fontId="4" type="noConversion"/>
  </si>
  <si>
    <t>#677</t>
  </si>
  <si>
    <t>#678</t>
  </si>
  <si>
    <t>#679</t>
  </si>
  <si>
    <t>#680</t>
  </si>
  <si>
    <t>#681</t>
  </si>
  <si>
    <t>#682</t>
  </si>
  <si>
    <t>#683</t>
  </si>
  <si>
    <t>#684</t>
  </si>
  <si>
    <t>#685</t>
  </si>
  <si>
    <t>#271</t>
    <phoneticPr fontId="4" type="noConversion"/>
  </si>
  <si>
    <t>#272</t>
  </si>
  <si>
    <t>#273</t>
  </si>
  <si>
    <t>#274</t>
  </si>
  <si>
    <t>#275</t>
  </si>
  <si>
    <t>#251</t>
    <phoneticPr fontId="4" type="noConversion"/>
  </si>
  <si>
    <t>#252</t>
    <phoneticPr fontId="4" type="noConversion"/>
  </si>
  <si>
    <t>#253</t>
  </si>
  <si>
    <t>#254</t>
  </si>
  <si>
    <t>#255</t>
  </si>
  <si>
    <t>#256</t>
  </si>
  <si>
    <t>#257</t>
  </si>
  <si>
    <t>#258</t>
  </si>
  <si>
    <t>#259</t>
  </si>
  <si>
    <t>#260</t>
  </si>
  <si>
    <t>#261</t>
  </si>
  <si>
    <t>#262</t>
  </si>
  <si>
    <t>#263</t>
  </si>
  <si>
    <t>#264</t>
  </si>
  <si>
    <t>#265</t>
  </si>
  <si>
    <t>#266</t>
  </si>
  <si>
    <t>#267</t>
  </si>
  <si>
    <t>#268</t>
  </si>
  <si>
    <t>#269</t>
  </si>
  <si>
    <t>#270</t>
  </si>
  <si>
    <t>day15</t>
    <phoneticPr fontId="5" type="noConversion"/>
  </si>
  <si>
    <t>euthanasia</t>
    <phoneticPr fontId="4" type="noConversion"/>
  </si>
  <si>
    <t>death (day3)</t>
    <phoneticPr fontId="3" type="noConversion"/>
  </si>
  <si>
    <t>death (day5)</t>
    <phoneticPr fontId="3" type="noConversion"/>
  </si>
  <si>
    <r>
      <rPr>
        <sz val="10"/>
        <color rgb="FFFF0000"/>
        <rFont val="Arial"/>
        <family val="2"/>
      </rPr>
      <t>CD40 CAR-T</t>
    </r>
    <r>
      <rPr>
        <sz val="10"/>
        <rFont val="Arial"/>
        <family val="2"/>
      </rPr>
      <t xml:space="preserve"> (n=5)</t>
    </r>
    <phoneticPr fontId="3" type="noConversion"/>
  </si>
  <si>
    <r>
      <t>Cot CAR-T</t>
    </r>
    <r>
      <rPr>
        <sz val="10"/>
        <color rgb="FFC00000"/>
        <rFont val="Arial"/>
        <family val="2"/>
      </rPr>
      <t xml:space="preserve">+C1C02-Cot </t>
    </r>
    <r>
      <rPr>
        <sz val="10"/>
        <color theme="1"/>
        <rFont val="Arial"/>
        <family val="2"/>
      </rPr>
      <t>(n=5)</t>
    </r>
    <phoneticPr fontId="3" type="noConversion"/>
  </si>
  <si>
    <t>t=6.713 df=8</t>
  </si>
  <si>
    <t>1403 ?208.8 N=5</t>
  </si>
  <si>
    <t>0.9300 ?0.9300 N=5_x000F_</t>
  </si>
  <si>
    <t>1402 ?208.8䐫</t>
  </si>
  <si>
    <t>920.1 to 1883</t>
  </si>
  <si>
    <t>50410, 4, 4</t>
  </si>
  <si>
    <r>
      <t>A20</t>
    </r>
    <r>
      <rPr>
        <b/>
        <sz val="10"/>
        <color rgb="FFFF0000"/>
        <rFont val="Arial"/>
        <family val="2"/>
      </rPr>
      <t>+CD40CAR- T</t>
    </r>
    <phoneticPr fontId="3" type="noConversion"/>
  </si>
  <si>
    <t>ear tag</t>
    <phoneticPr fontId="4" type="noConversion"/>
  </si>
  <si>
    <t>Click Number</t>
  </si>
  <si>
    <t>ROI</t>
  </si>
  <si>
    <t>Date and Time</t>
  </si>
  <si>
    <t>PHB20200429104752_004</t>
  </si>
  <si>
    <t>ROI 1</t>
  </si>
  <si>
    <t>ROI 2</t>
  </si>
  <si>
    <t>ROI 3</t>
  </si>
  <si>
    <t>ROI 4</t>
  </si>
  <si>
    <t>ROI 5</t>
  </si>
  <si>
    <t>PHB20200429102328_004</t>
  </si>
  <si>
    <t>#252</t>
  </si>
  <si>
    <t>PHB20200429103312_004</t>
  </si>
  <si>
    <t>PHB20200429103828_004</t>
  </si>
  <si>
    <t>PHB20200506104348_004</t>
  </si>
  <si>
    <t>PHB20200506101910_004</t>
  </si>
  <si>
    <t>PHB20200506102900_004</t>
  </si>
  <si>
    <t>PHB20200506103406_004</t>
  </si>
  <si>
    <t>&lt; raw data (day14) &gt;</t>
    <phoneticPr fontId="3" type="noConversion"/>
  </si>
  <si>
    <t>PHB20200513111039_004</t>
  </si>
  <si>
    <t>PHB20200513104628_004</t>
  </si>
  <si>
    <t>PHB20200513105603_004</t>
  </si>
  <si>
    <t>PHB20200513110109_004</t>
  </si>
  <si>
    <t>&lt; raw data (day21) &gt;</t>
    <phoneticPr fontId="3" type="noConversion"/>
  </si>
  <si>
    <t>&lt; raw data (day28) &gt;</t>
    <phoneticPr fontId="3" type="noConversion"/>
  </si>
  <si>
    <t>Kruskal-Wallis test</t>
  </si>
  <si>
    <t>Exact or approximate P value?</t>
  </si>
  <si>
    <t>Gaussian Approximation</t>
  </si>
  <si>
    <t>Do the medians vary signif. (P &lt; 0.05)</t>
  </si>
  <si>
    <t>Kruskal-Wallis statistic</t>
  </si>
  <si>
    <t>Dunn's Multiple Comparison Test</t>
  </si>
  <si>
    <t>Difference in rank sum</t>
  </si>
  <si>
    <t>Column A vs Column D</t>
  </si>
  <si>
    <t>Column B vs Column D</t>
  </si>
  <si>
    <t>Column C vs Column D</t>
  </si>
  <si>
    <t>&lt; IVIS ROI bioluminescence raw data &gt;-main Fig data</t>
    <phoneticPr fontId="4" type="noConversion"/>
  </si>
  <si>
    <t>day14</t>
  </si>
  <si>
    <t>(day14)</t>
    <phoneticPr fontId="3" type="noConversion"/>
  </si>
  <si>
    <t>day21</t>
  </si>
  <si>
    <t>(day21)</t>
    <phoneticPr fontId="3" type="noConversion"/>
  </si>
  <si>
    <t>day28</t>
  </si>
  <si>
    <t>(day28)</t>
    <phoneticPr fontId="3" type="noConversion"/>
  </si>
  <si>
    <t>PHB20200219131851_004</t>
  </si>
  <si>
    <t>PHB20200219132409_004</t>
  </si>
  <si>
    <t>PHB20200219133439_004</t>
  </si>
  <si>
    <t>PHB20200219134006_004</t>
  </si>
  <si>
    <t>PHB20200226151039_004</t>
  </si>
  <si>
    <t>PHB20200226151554_004</t>
  </si>
  <si>
    <t>PHB20200226152618_004</t>
  </si>
  <si>
    <t>PHB20200226153129_004</t>
  </si>
  <si>
    <t>PHB20200304131045_004</t>
  </si>
  <si>
    <t>PHB20200304131624_004</t>
  </si>
  <si>
    <t>PHB20200304132546_004</t>
  </si>
  <si>
    <t>PHB20200304133147_004</t>
  </si>
  <si>
    <t>Daudi</t>
  </si>
  <si>
    <t>Daudi</t>
    <phoneticPr fontId="4" type="noConversion"/>
  </si>
  <si>
    <t>2B1-Cot</t>
    <phoneticPr fontId="3" type="noConversion"/>
  </si>
  <si>
    <t>hCot CAR-T</t>
    <phoneticPr fontId="4" type="noConversion"/>
  </si>
  <si>
    <t>2B1-Ck</t>
    <phoneticPr fontId="3" type="noConversion"/>
  </si>
  <si>
    <t>beads count : viable Daudi cell count=10,000 : x</t>
    <phoneticPr fontId="4" type="noConversion"/>
  </si>
  <si>
    <t xml:space="preserve">Standard curve (O.D.&lt;0.960) : y = 0.000473x + 0.087161 (r2=0.9961) </t>
    <phoneticPr fontId="5" type="noConversion"/>
  </si>
  <si>
    <t>Daudi</t>
    <phoneticPr fontId="5" type="noConversion"/>
  </si>
  <si>
    <t>hCot CAR-T</t>
    <phoneticPr fontId="5" type="noConversion"/>
  </si>
  <si>
    <t>t=58.64 df=4</t>
  </si>
  <si>
    <t>336.9 ?78.58 N=3</t>
  </si>
  <si>
    <t>82920 ?1406 N=3r</t>
  </si>
  <si>
    <t>-82580 ?1408琀</t>
  </si>
  <si>
    <t>-86490 to -78670</t>
  </si>
  <si>
    <t>320.2, 2, 2</t>
  </si>
  <si>
    <r>
      <t>Daudi</t>
    </r>
    <r>
      <rPr>
        <b/>
        <sz val="10"/>
        <color rgb="FF0000FF"/>
        <rFont val="Arial"/>
        <family val="2"/>
      </rPr>
      <t>+hCot CAR-T</t>
    </r>
    <phoneticPr fontId="3" type="noConversion"/>
  </si>
  <si>
    <r>
      <t>Daudi</t>
    </r>
    <r>
      <rPr>
        <b/>
        <sz val="10"/>
        <color rgb="FF0000FF"/>
        <rFont val="Arial"/>
        <family val="2"/>
      </rPr>
      <t>+hCot CAR-T</t>
    </r>
    <r>
      <rPr>
        <b/>
        <sz val="10"/>
        <color rgb="FFC00000"/>
        <rFont val="Arial"/>
        <family val="2"/>
      </rPr>
      <t>+2B1-Cot</t>
    </r>
    <phoneticPr fontId="3" type="noConversion"/>
  </si>
  <si>
    <t>t=54.10 df=4</t>
  </si>
  <si>
    <t>1495 ?537.0 N=3</t>
  </si>
  <si>
    <t>-81430 ?1505</t>
  </si>
  <si>
    <t>-85600 to -77250</t>
  </si>
  <si>
    <t>6.857, 2, 2</t>
  </si>
  <si>
    <t>Column B</t>
    <phoneticPr fontId="3" type="noConversion"/>
  </si>
  <si>
    <r>
      <t>Daudi</t>
    </r>
    <r>
      <rPr>
        <b/>
        <sz val="10"/>
        <color rgb="FF0000FF"/>
        <rFont val="Arial"/>
        <family val="2"/>
      </rPr>
      <t>+hCot CAR-T</t>
    </r>
    <r>
      <rPr>
        <b/>
        <sz val="10"/>
        <rFont val="Arial"/>
        <family val="2"/>
      </rPr>
      <t>+2B1-Ck</t>
    </r>
    <phoneticPr fontId="3" type="noConversion"/>
  </si>
  <si>
    <t>#641</t>
    <phoneticPr fontId="4" type="noConversion"/>
  </si>
  <si>
    <t>PHB20030212181841_004</t>
  </si>
  <si>
    <t>#645</t>
  </si>
  <si>
    <t>#646</t>
  </si>
  <si>
    <t>PHB20030212182403_004</t>
  </si>
  <si>
    <t>#647</t>
  </si>
  <si>
    <t>#648</t>
  </si>
  <si>
    <t>#649</t>
  </si>
  <si>
    <t>#650</t>
  </si>
  <si>
    <t>#651</t>
  </si>
  <si>
    <t>PHB20030212183419_004</t>
  </si>
  <si>
    <t>#652</t>
  </si>
  <si>
    <t>#653</t>
  </si>
  <si>
    <t>#654</t>
  </si>
  <si>
    <t>#655</t>
  </si>
  <si>
    <t>#656</t>
  </si>
  <si>
    <t>PHB20030212183952_004</t>
  </si>
  <si>
    <t>#657</t>
  </si>
  <si>
    <t>#658</t>
  </si>
  <si>
    <t>#659</t>
  </si>
  <si>
    <t>#660</t>
  </si>
  <si>
    <t>PHB20030220211324_004</t>
  </si>
  <si>
    <t>PHB20030220211858_004</t>
  </si>
  <si>
    <t>PHB20030220212813_004</t>
  </si>
  <si>
    <t>PHB20030220213339_004</t>
  </si>
  <si>
    <t>&lt; raw data (day8) &gt;</t>
    <phoneticPr fontId="3" type="noConversion"/>
  </si>
  <si>
    <t>&lt; raw data (day16) &gt;</t>
    <phoneticPr fontId="3" type="noConversion"/>
  </si>
  <si>
    <t>PHB20030227200050_004</t>
  </si>
  <si>
    <t>PHB20030227200622_004</t>
  </si>
  <si>
    <t>PHB20030227201533_004</t>
  </si>
  <si>
    <t>PHB20030227202136_004</t>
  </si>
  <si>
    <t>&lt; raw data (day23) &gt;</t>
    <phoneticPr fontId="3" type="noConversion"/>
  </si>
  <si>
    <t>Daudi only</t>
    <phoneticPr fontId="4" type="noConversion"/>
  </si>
  <si>
    <t>(day8)</t>
    <phoneticPr fontId="3" type="noConversion"/>
  </si>
  <si>
    <t>(day16)</t>
    <phoneticPr fontId="3" type="noConversion"/>
  </si>
  <si>
    <t>(day23)</t>
    <phoneticPr fontId="3" type="noConversion"/>
  </si>
  <si>
    <t>day16</t>
  </si>
  <si>
    <t>day23</t>
  </si>
  <si>
    <t>Drug Con.</t>
    <phoneticPr fontId="4" type="noConversion"/>
  </si>
  <si>
    <t>viable bystander</t>
    <phoneticPr fontId="4" type="noConversion"/>
  </si>
  <si>
    <t>viable non-target</t>
    <phoneticPr fontId="4" type="noConversion"/>
  </si>
  <si>
    <t>viable target</t>
    <phoneticPr fontId="4" type="noConversion"/>
  </si>
  <si>
    <t>(nM)</t>
    <phoneticPr fontId="4" type="noConversion"/>
  </si>
  <si>
    <t>PKH26+</t>
    <phoneticPr fontId="4" type="noConversion"/>
  </si>
  <si>
    <t>aRabbit IgG-</t>
    <phoneticPr fontId="4" type="noConversion"/>
  </si>
  <si>
    <t>aRabbit IgG+</t>
    <phoneticPr fontId="4" type="noConversion"/>
  </si>
  <si>
    <t>1st</t>
    <phoneticPr fontId="4" type="noConversion"/>
  </si>
  <si>
    <t>0</t>
    <phoneticPr fontId="4" type="noConversion"/>
  </si>
  <si>
    <t>0.005</t>
    <phoneticPr fontId="4" type="noConversion"/>
  </si>
  <si>
    <t>bystander</t>
    <phoneticPr fontId="4" type="noConversion"/>
  </si>
  <si>
    <t>0.05</t>
    <phoneticPr fontId="4" type="noConversion"/>
  </si>
  <si>
    <t>Drug</t>
    <phoneticPr fontId="4" type="noConversion"/>
  </si>
  <si>
    <t>0.5</t>
    <phoneticPr fontId="4" type="noConversion"/>
  </si>
  <si>
    <t>5</t>
    <phoneticPr fontId="4" type="noConversion"/>
  </si>
  <si>
    <t>50</t>
    <phoneticPr fontId="4" type="noConversion"/>
  </si>
  <si>
    <t>2nd</t>
    <phoneticPr fontId="4" type="noConversion"/>
  </si>
  <si>
    <t>3rd</t>
    <phoneticPr fontId="4" type="noConversion"/>
  </si>
  <si>
    <t xml:space="preserve">y = -33.76574x-0.32726 (r2=0.9609) </t>
    <phoneticPr fontId="4" type="noConversion"/>
  </si>
  <si>
    <t>beads count : viable T cell count=10,000 : x</t>
    <phoneticPr fontId="4" type="noConversion"/>
  </si>
  <si>
    <t>Cot-saporin</t>
    <phoneticPr fontId="4" type="noConversion"/>
  </si>
  <si>
    <t>LD50=32.5nM</t>
    <phoneticPr fontId="4" type="noConversion"/>
  </si>
  <si>
    <t>LD50=113.3nM</t>
    <phoneticPr fontId="4" type="noConversion"/>
  </si>
  <si>
    <t>LD50=108.4nM</t>
    <phoneticPr fontId="4" type="noConversion"/>
  </si>
  <si>
    <t>LD50=0.215nM</t>
    <phoneticPr fontId="4" type="noConversion"/>
  </si>
  <si>
    <t>LD50=0.336nM</t>
    <phoneticPr fontId="4" type="noConversion"/>
  </si>
  <si>
    <t>LD50=0.461nM</t>
    <phoneticPr fontId="4" type="noConversion"/>
  </si>
  <si>
    <t>LD50=0.161nM</t>
    <phoneticPr fontId="4" type="noConversion"/>
  </si>
  <si>
    <t>viable bystander/tube</t>
    <phoneticPr fontId="4" type="noConversion"/>
  </si>
  <si>
    <t>viable non-target/tube</t>
    <phoneticPr fontId="4" type="noConversion"/>
  </si>
  <si>
    <t>viable target/tube</t>
    <phoneticPr fontId="4" type="noConversion"/>
  </si>
  <si>
    <t xml:space="preserve"> (equivalent to 10,000 beads)</t>
    <phoneticPr fontId="4" type="noConversion"/>
  </si>
  <si>
    <t>ConT-0.005nM</t>
  </si>
  <si>
    <t>Cot CAR-T-0.005nM</t>
  </si>
  <si>
    <t>t=1.263 df=4</t>
  </si>
  <si>
    <t>111.7 ?6.009 N=3y</t>
  </si>
  <si>
    <t>103.3 ?2.728 N=3n</t>
  </si>
  <si>
    <t>8.333 ?6.600＀</t>
  </si>
  <si>
    <t>-9.987 to 26.65</t>
  </si>
  <si>
    <t>4.851, 2, 2</t>
  </si>
  <si>
    <t>Column E</t>
  </si>
  <si>
    <t>ConT-0.05nM</t>
  </si>
  <si>
    <t>Column F</t>
  </si>
  <si>
    <t>Cot CAR-T-0.05nM</t>
  </si>
  <si>
    <t>t=5.345 df=4</t>
  </si>
  <si>
    <t>Mean ± SEM of column Ee</t>
  </si>
  <si>
    <t>114.7 ?7.881 N=3y</t>
  </si>
  <si>
    <t>Mean ± SEM of column Fe</t>
  </si>
  <si>
    <t>69.67 ?2.963 N=3</t>
  </si>
  <si>
    <t>45.00 ?8.420＀</t>
  </si>
  <si>
    <t>21.63 to 68.37</t>
  </si>
  <si>
    <t>7.076, 2, 2</t>
  </si>
  <si>
    <t>Column G</t>
  </si>
  <si>
    <t>ConT-0.5nM</t>
  </si>
  <si>
    <t>Column H</t>
  </si>
  <si>
    <t>Cot CAR-T-0.5nM</t>
  </si>
  <si>
    <t>t=12.59 df=4</t>
  </si>
  <si>
    <t>Mean ± SEM of column Ge</t>
  </si>
  <si>
    <t>119.0 ?7.810 N=3y</t>
  </si>
  <si>
    <t>Mean ± SEM of column He</t>
  </si>
  <si>
    <t>20.33 ?0.6667 N=3</t>
  </si>
  <si>
    <t>98.67 ?7.839＀</t>
  </si>
  <si>
    <t>76.91 to 120.4</t>
  </si>
  <si>
    <t>137.3, 2, 2</t>
  </si>
  <si>
    <t>Column I</t>
  </si>
  <si>
    <t>ConT-5nM</t>
  </si>
  <si>
    <t>Column J</t>
  </si>
  <si>
    <t>Cot CAR-T-5nM</t>
  </si>
  <si>
    <t>t=23.94 df=4</t>
  </si>
  <si>
    <t>Mean ± SEM of column Ie</t>
  </si>
  <si>
    <t>119.3 ?4.667 N=3y</t>
  </si>
  <si>
    <t>Mean ± SEM of column Je</t>
  </si>
  <si>
    <t>7.333 ?0.3333 N=3</t>
  </si>
  <si>
    <t>112.0 ?4.679</t>
  </si>
  <si>
    <t>99.01 to 125.0</t>
  </si>
  <si>
    <t>196.0, 2, 2</t>
  </si>
  <si>
    <t>Column K</t>
  </si>
  <si>
    <t>ConT-50nM</t>
  </si>
  <si>
    <t>Column L</t>
  </si>
  <si>
    <t>Cot CAR-T-50nM</t>
  </si>
  <si>
    <t>t=16.81 df=4</t>
  </si>
  <si>
    <t>Mean ± SEM of column Ke</t>
  </si>
  <si>
    <t>98.00 ?5.292 N=3l</t>
  </si>
  <si>
    <t>Mean ± SEM of column Le</t>
  </si>
  <si>
    <t>8.333 ?0.6667 N=3k</t>
  </si>
  <si>
    <t>89.67 ?5.333＀</t>
  </si>
  <si>
    <t>74.86 to 104.5</t>
  </si>
  <si>
    <t>63.00, 2, 2</t>
  </si>
  <si>
    <t>viable A20 cell count/tube</t>
    <phoneticPr fontId="4" type="noConversion"/>
  </si>
  <si>
    <t>&lt; IFNg (pg/ml) &gt;</t>
    <phoneticPr fontId="5" type="noConversion"/>
  </si>
  <si>
    <r>
      <t xml:space="preserve">A20 + </t>
    </r>
    <r>
      <rPr>
        <b/>
        <sz val="10"/>
        <color rgb="FFFF0000"/>
        <rFont val="Arial"/>
        <family val="2"/>
      </rPr>
      <t>CD40 CAR-T</t>
    </r>
    <phoneticPr fontId="4" type="noConversion"/>
  </si>
  <si>
    <r>
      <rPr>
        <b/>
        <sz val="10"/>
        <color rgb="FFFF0000"/>
        <rFont val="Arial"/>
        <family val="2"/>
      </rPr>
      <t>CD40 CAR-T</t>
    </r>
    <r>
      <rPr>
        <b/>
        <sz val="10"/>
        <color theme="1"/>
        <rFont val="Arial"/>
        <family val="2"/>
      </rPr>
      <t xml:space="preserve"> only</t>
    </r>
    <phoneticPr fontId="3" type="noConversion"/>
  </si>
  <si>
    <r>
      <t xml:space="preserve">A20 + </t>
    </r>
    <r>
      <rPr>
        <b/>
        <sz val="10"/>
        <color rgb="FFFF0000"/>
        <rFont val="Arial"/>
        <family val="2"/>
      </rPr>
      <t xml:space="preserve">CD40 CAR-T                    </t>
    </r>
    <r>
      <rPr>
        <b/>
        <sz val="10"/>
        <color theme="1"/>
        <rFont val="Arial"/>
        <family val="2"/>
      </rPr>
      <t xml:space="preserve">                               </t>
    </r>
    <phoneticPr fontId="3" type="noConversion"/>
  </si>
  <si>
    <r>
      <t xml:space="preserve">B6 WT                            </t>
    </r>
    <r>
      <rPr>
        <b/>
        <sz val="10"/>
        <color rgb="FFFF0000"/>
        <rFont val="Arial"/>
        <family val="2"/>
      </rPr>
      <t>+                                    CD40 CAR-T</t>
    </r>
    <phoneticPr fontId="4" type="noConversion"/>
  </si>
  <si>
    <r>
      <rPr>
        <b/>
        <sz val="10"/>
        <color rgb="FF0000FF"/>
        <rFont val="Arial"/>
        <family val="2"/>
      </rPr>
      <t xml:space="preserve">B6.CD40 null             </t>
    </r>
    <r>
      <rPr>
        <b/>
        <sz val="10"/>
        <color theme="1"/>
        <rFont val="Arial"/>
        <family val="2"/>
      </rPr>
      <t xml:space="preserve">              </t>
    </r>
    <r>
      <rPr>
        <b/>
        <sz val="10"/>
        <color rgb="FFFF0000"/>
        <rFont val="Arial"/>
        <family val="2"/>
      </rPr>
      <t>+                                    CD40 CAR-T</t>
    </r>
    <phoneticPr fontId="4" type="noConversion"/>
  </si>
  <si>
    <r>
      <t xml:space="preserve">B6 WT                              </t>
    </r>
    <r>
      <rPr>
        <b/>
        <sz val="10"/>
        <color rgb="FFFF0000"/>
        <rFont val="Arial"/>
        <family val="2"/>
      </rPr>
      <t>+                                    CD40 CAR-T</t>
    </r>
    <phoneticPr fontId="4" type="noConversion"/>
  </si>
  <si>
    <r>
      <t xml:space="preserve">CD40 CAR-T             </t>
    </r>
    <r>
      <rPr>
        <b/>
        <sz val="10"/>
        <color rgb="FF0000FF"/>
        <rFont val="Arial"/>
        <family val="2"/>
      </rPr>
      <t>+                              anti-IL-6 Ab</t>
    </r>
    <phoneticPr fontId="4" type="noConversion"/>
  </si>
  <si>
    <r>
      <t xml:space="preserve">CD40 CAR-T             </t>
    </r>
    <r>
      <rPr>
        <b/>
        <sz val="10"/>
        <color rgb="FF00B050"/>
        <rFont val="Arial"/>
        <family val="2"/>
      </rPr>
      <t>+                              anakinra</t>
    </r>
    <phoneticPr fontId="4" type="noConversion"/>
  </si>
  <si>
    <r>
      <rPr>
        <b/>
        <sz val="10"/>
        <color rgb="FF00B0F0"/>
        <rFont val="Arial"/>
        <family val="2"/>
      </rPr>
      <t xml:space="preserve">                             </t>
    </r>
    <r>
      <rPr>
        <b/>
        <sz val="10"/>
        <color rgb="FFFF0000"/>
        <rFont val="Arial"/>
        <family val="2"/>
      </rPr>
      <t xml:space="preserve">CD40 CAR-T    </t>
    </r>
    <r>
      <rPr>
        <b/>
        <sz val="10"/>
        <color rgb="FF00B0F0"/>
        <rFont val="Arial"/>
        <family val="2"/>
      </rPr>
      <t xml:space="preserve">          </t>
    </r>
    <r>
      <rPr>
        <b/>
        <sz val="10"/>
        <color rgb="FF6600FF"/>
        <rFont val="Arial"/>
        <family val="2"/>
      </rPr>
      <t xml:space="preserve">     </t>
    </r>
    <r>
      <rPr>
        <b/>
        <sz val="10"/>
        <color rgb="FF0000FF"/>
        <rFont val="Arial"/>
        <family val="2"/>
      </rPr>
      <t xml:space="preserve">+                              anti-IL-6 Ab                    </t>
    </r>
    <r>
      <rPr>
        <b/>
        <sz val="10"/>
        <color rgb="FF00B050"/>
        <rFont val="Arial"/>
        <family val="2"/>
      </rPr>
      <t>+                              anakinra</t>
    </r>
    <phoneticPr fontId="4" type="noConversion"/>
  </si>
  <si>
    <r>
      <rPr>
        <b/>
        <sz val="10"/>
        <color rgb="FF00B0F0"/>
        <rFont val="Arial"/>
        <family val="2"/>
      </rPr>
      <t xml:space="preserve">                             </t>
    </r>
    <r>
      <rPr>
        <b/>
        <sz val="10"/>
        <color rgb="FFFF0000"/>
        <rFont val="Arial"/>
        <family val="2"/>
      </rPr>
      <t xml:space="preserve">CD40 CAR-T    </t>
    </r>
    <r>
      <rPr>
        <b/>
        <sz val="10"/>
        <color rgb="FF00B0F0"/>
        <rFont val="Arial"/>
        <family val="2"/>
      </rPr>
      <t xml:space="preserve">          </t>
    </r>
    <r>
      <rPr>
        <b/>
        <sz val="10"/>
        <color rgb="FF6600FF"/>
        <rFont val="Arial"/>
        <family val="2"/>
      </rPr>
      <t xml:space="preserve">     </t>
    </r>
    <r>
      <rPr>
        <b/>
        <sz val="10"/>
        <color theme="1"/>
        <rFont val="Arial"/>
        <family val="2"/>
      </rPr>
      <t>+                              clodronate liposome</t>
    </r>
    <phoneticPr fontId="4" type="noConversion"/>
  </si>
  <si>
    <t>(0.1mg/1x10^5)</t>
    <phoneticPr fontId="3" type="noConversion"/>
  </si>
  <si>
    <t>0mg/1x10^5</t>
    <phoneticPr fontId="3" type="noConversion"/>
  </si>
  <si>
    <t>0.1mg/1x10^5</t>
    <phoneticPr fontId="3" type="noConversion"/>
  </si>
  <si>
    <t>1mg/1x10^5</t>
    <phoneticPr fontId="3" type="noConversion"/>
  </si>
  <si>
    <t>10mg/1x10^5</t>
    <phoneticPr fontId="3" type="noConversion"/>
  </si>
  <si>
    <t>(1mg/1x10^5)</t>
    <phoneticPr fontId="3" type="noConversion"/>
  </si>
  <si>
    <t>(10mg/1x10^5)</t>
    <phoneticPr fontId="3" type="noConversion"/>
  </si>
  <si>
    <r>
      <t>A20</t>
    </r>
    <r>
      <rPr>
        <b/>
        <sz val="10"/>
        <color rgb="FFC00000"/>
        <rFont val="Arial"/>
        <family val="2"/>
      </rPr>
      <t xml:space="preserve">+C1C02-Cot </t>
    </r>
    <phoneticPr fontId="4" type="noConversion"/>
  </si>
  <si>
    <r>
      <t>A20</t>
    </r>
    <r>
      <rPr>
        <b/>
        <sz val="10"/>
        <color rgb="FF0000FF"/>
        <rFont val="Arial"/>
        <family val="2"/>
      </rPr>
      <t>+Cot CAR-T</t>
    </r>
    <phoneticPr fontId="4" type="noConversion"/>
  </si>
  <si>
    <r>
      <t>A20</t>
    </r>
    <r>
      <rPr>
        <b/>
        <sz val="10"/>
        <color rgb="FF0000FF"/>
        <rFont val="Arial"/>
        <family val="2"/>
      </rPr>
      <t xml:space="preserve">+Cot CAR-T                            </t>
    </r>
    <r>
      <rPr>
        <b/>
        <sz val="10"/>
        <color rgb="FFC00000"/>
        <rFont val="Arial"/>
        <family val="2"/>
      </rPr>
      <t>+                     C1C02-Cot</t>
    </r>
    <phoneticPr fontId="4" type="noConversion"/>
  </si>
  <si>
    <r>
      <t>A20</t>
    </r>
    <r>
      <rPr>
        <b/>
        <sz val="10"/>
        <color rgb="FFFF0000"/>
        <rFont val="Arial"/>
        <family val="2"/>
      </rPr>
      <t>+CD40 CAR-T</t>
    </r>
    <phoneticPr fontId="4" type="noConversion"/>
  </si>
  <si>
    <t>viable Thy1.1+ cell count</t>
    <phoneticPr fontId="4" type="noConversion"/>
  </si>
  <si>
    <t xml:space="preserve">Group 1 </t>
    <phoneticPr fontId="12" type="noConversion"/>
  </si>
  <si>
    <t>#80</t>
  </si>
  <si>
    <t>#83</t>
  </si>
  <si>
    <t>#88</t>
  </si>
  <si>
    <t>#89</t>
  </si>
  <si>
    <t>Group 2</t>
  </si>
  <si>
    <t>#81</t>
  </si>
  <si>
    <t>#84</t>
  </si>
  <si>
    <t>#86</t>
  </si>
  <si>
    <t>#90</t>
  </si>
  <si>
    <t>#92</t>
  </si>
  <si>
    <t>Group 3</t>
  </si>
  <si>
    <t>#79</t>
  </si>
  <si>
    <t>#82</t>
  </si>
  <si>
    <t>#85</t>
  </si>
  <si>
    <t>#87</t>
  </si>
  <si>
    <t>#91</t>
  </si>
  <si>
    <t>&lt; in vivo blood Cot CAR-T cell tracing &gt;-main Fig data</t>
    <phoneticPr fontId="4" type="noConversion"/>
  </si>
  <si>
    <t>viable Thy1.1+ cell count/blood(1ml) (x10^4/ml)</t>
    <phoneticPr fontId="4" type="noConversion"/>
  </si>
  <si>
    <t>(day6)</t>
    <phoneticPr fontId="3" type="noConversion"/>
  </si>
  <si>
    <t>(day12)</t>
    <phoneticPr fontId="3" type="noConversion"/>
  </si>
  <si>
    <t>(day19)</t>
    <phoneticPr fontId="3" type="noConversion"/>
  </si>
  <si>
    <t>(day26)</t>
    <phoneticPr fontId="3" type="noConversion"/>
  </si>
  <si>
    <t>(day40)</t>
    <phoneticPr fontId="3" type="noConversion"/>
  </si>
  <si>
    <t>day12</t>
  </si>
  <si>
    <t>Column A vs Column B</t>
  </si>
  <si>
    <t>183.9 to 651.0</t>
  </si>
  <si>
    <t>Column A vs Column C</t>
  </si>
  <si>
    <t>160.1 to 627.2</t>
  </si>
  <si>
    <t xml:space="preserve">viable Thy1.1 cell ratio in blood </t>
    <phoneticPr fontId="3" type="noConversion"/>
  </si>
  <si>
    <t>day19</t>
  </si>
  <si>
    <t>66.09 to 505.4</t>
  </si>
  <si>
    <t>41.71 to 481.0</t>
  </si>
  <si>
    <t>day26</t>
  </si>
  <si>
    <t>130.1 to 316.4</t>
  </si>
  <si>
    <t>118.2 to 304.5</t>
  </si>
  <si>
    <t>day40</t>
  </si>
  <si>
    <t>49.72 to 184.5</t>
  </si>
  <si>
    <t>41.13 to 176.0</t>
  </si>
  <si>
    <r>
      <t xml:space="preserve">Cot CAR-T                     </t>
    </r>
    <r>
      <rPr>
        <b/>
        <sz val="10"/>
        <color theme="1"/>
        <rFont val="Arial"/>
        <family val="2"/>
      </rPr>
      <t>(untreated)</t>
    </r>
    <phoneticPr fontId="4" type="noConversion"/>
  </si>
  <si>
    <r>
      <t xml:space="preserve">Cot CAR-T                            </t>
    </r>
    <r>
      <rPr>
        <b/>
        <sz val="10"/>
        <color rgb="FF008000"/>
        <rFont val="Arial"/>
        <family val="2"/>
      </rPr>
      <t>+                                       Cot-saporin                 (0.75ug/EA as saporin)</t>
    </r>
    <phoneticPr fontId="4" type="noConversion"/>
  </si>
  <si>
    <r>
      <t xml:space="preserve">Cot CAR-T                           </t>
    </r>
    <r>
      <rPr>
        <b/>
        <sz val="10"/>
        <color rgb="FF00B050"/>
        <rFont val="Arial"/>
        <family val="2"/>
      </rPr>
      <t>+                                       Cot-saporin                 (0.5ug/EA as saporin)</t>
    </r>
    <phoneticPr fontId="4" type="noConversion"/>
  </si>
  <si>
    <r>
      <t xml:space="preserve">A20                       </t>
    </r>
    <r>
      <rPr>
        <b/>
        <sz val="10"/>
        <color rgb="FF0000FF"/>
        <rFont val="Arial"/>
        <family val="2"/>
      </rPr>
      <t xml:space="preserve">+                        Cot CAR-T </t>
    </r>
    <r>
      <rPr>
        <b/>
        <sz val="10"/>
        <color theme="1"/>
        <rFont val="Arial"/>
        <family val="2"/>
      </rPr>
      <t xml:space="preserve">                       </t>
    </r>
    <r>
      <rPr>
        <b/>
        <sz val="10"/>
        <color rgb="FFC00000"/>
        <rFont val="Arial"/>
        <family val="2"/>
      </rPr>
      <t>+                                    C1C02-Cot</t>
    </r>
    <phoneticPr fontId="4" type="noConversion"/>
  </si>
  <si>
    <t>#986</t>
  </si>
  <si>
    <t>#987</t>
  </si>
  <si>
    <t>#988</t>
  </si>
  <si>
    <t>#989</t>
  </si>
  <si>
    <t>#990</t>
    <phoneticPr fontId="4" type="noConversion"/>
  </si>
  <si>
    <t>day -9</t>
    <phoneticPr fontId="5" type="noConversion"/>
  </si>
  <si>
    <t>day -6</t>
    <phoneticPr fontId="5" type="noConversion"/>
  </si>
  <si>
    <t>#482</t>
    <phoneticPr fontId="4" type="noConversion"/>
  </si>
  <si>
    <t>#948</t>
    <phoneticPr fontId="4" type="noConversion"/>
  </si>
  <si>
    <t>death (day17)</t>
  </si>
  <si>
    <t>#982</t>
    <phoneticPr fontId="4" type="noConversion"/>
  </si>
  <si>
    <t>A20 (n=11)</t>
    <phoneticPr fontId="3" type="noConversion"/>
  </si>
  <si>
    <t>death (day57)</t>
    <phoneticPr fontId="4" type="noConversion"/>
  </si>
  <si>
    <t>#161</t>
  </si>
  <si>
    <t>#262</t>
    <phoneticPr fontId="4" type="noConversion"/>
  </si>
  <si>
    <t>death (day34)</t>
    <phoneticPr fontId="4" type="noConversion"/>
  </si>
  <si>
    <t>#162</t>
  </si>
  <si>
    <t>#164</t>
  </si>
  <si>
    <t>#170</t>
    <phoneticPr fontId="4" type="noConversion"/>
  </si>
  <si>
    <t>#261</t>
    <phoneticPr fontId="4" type="noConversion"/>
  </si>
  <si>
    <t>day -8</t>
    <phoneticPr fontId="5" type="noConversion"/>
  </si>
  <si>
    <t>day -5</t>
    <phoneticPr fontId="5" type="noConversion"/>
  </si>
  <si>
    <t>day 16</t>
    <phoneticPr fontId="5" type="noConversion"/>
  </si>
  <si>
    <t>day 30</t>
    <phoneticPr fontId="5" type="noConversion"/>
  </si>
  <si>
    <t>day 51</t>
    <phoneticPr fontId="5" type="noConversion"/>
  </si>
  <si>
    <t>death (day27)</t>
    <phoneticPr fontId="3" type="noConversion"/>
  </si>
  <si>
    <t>death (day30)</t>
    <phoneticPr fontId="4" type="noConversion"/>
  </si>
  <si>
    <r>
      <t>A20</t>
    </r>
    <r>
      <rPr>
        <sz val="10"/>
        <color rgb="FF0000FF"/>
        <rFont val="Arial"/>
        <family val="2"/>
      </rPr>
      <t>+Cot CAR-T</t>
    </r>
    <r>
      <rPr>
        <sz val="10"/>
        <color rgb="FFC00000"/>
        <rFont val="Arial"/>
        <family val="2"/>
      </rPr>
      <t xml:space="preserve">+C1C02-Cot </t>
    </r>
    <r>
      <rPr>
        <sz val="10"/>
        <color theme="1"/>
        <rFont val="Arial"/>
        <family val="2"/>
      </rPr>
      <t>(n=10)</t>
    </r>
    <phoneticPr fontId="3" type="noConversion"/>
  </si>
  <si>
    <t>7.580 to 109.2</t>
  </si>
  <si>
    <t>&lt; GVHD score raw data &gt;-main Fig data</t>
    <phoneticPr fontId="4" type="noConversion"/>
  </si>
  <si>
    <t>B. W. (g)</t>
    <phoneticPr fontId="4" type="noConversion"/>
  </si>
  <si>
    <t>Skin</t>
    <phoneticPr fontId="4" type="noConversion"/>
  </si>
  <si>
    <t>Generalized sign</t>
    <phoneticPr fontId="4" type="noConversion"/>
  </si>
  <si>
    <t>Inflammation of the eyes</t>
    <phoneticPr fontId="4" type="noConversion"/>
  </si>
  <si>
    <t>Diarrhea</t>
    <phoneticPr fontId="4" type="noConversion"/>
  </si>
  <si>
    <t xml:space="preserve">normal(0), mild(1),  moderate(2), severe(3), severely inflamed &amp; closed(4) </t>
    <phoneticPr fontId="4" type="noConversion"/>
  </si>
  <si>
    <t xml:space="preserve">normal(0), mild(1),  moderate(2), severe(3) </t>
    <phoneticPr fontId="4" type="noConversion"/>
  </si>
  <si>
    <t>GVHD score</t>
    <phoneticPr fontId="4" type="noConversion"/>
  </si>
  <si>
    <t xml:space="preserve">alopecia, inflamed, scaling                                                    normal(0), mild(1),  moderate(2), severe(3) </t>
    <phoneticPr fontId="4" type="noConversion"/>
  </si>
  <si>
    <t xml:space="preserve">fur texture, posture, activity                                                    normal(0), mild(1),  moderate(2), severe(3) </t>
    <phoneticPr fontId="4" type="noConversion"/>
  </si>
  <si>
    <t>number</t>
    <phoneticPr fontId="3" type="noConversion"/>
  </si>
  <si>
    <t>day1</t>
    <phoneticPr fontId="4" type="noConversion"/>
  </si>
  <si>
    <t>day5</t>
    <phoneticPr fontId="4" type="noConversion"/>
  </si>
  <si>
    <t>day8</t>
    <phoneticPr fontId="4" type="noConversion"/>
  </si>
  <si>
    <t>day12</t>
    <phoneticPr fontId="4" type="noConversion"/>
  </si>
  <si>
    <t>day15</t>
    <phoneticPr fontId="4" type="noConversion"/>
  </si>
  <si>
    <t>day19</t>
    <phoneticPr fontId="4" type="noConversion"/>
  </si>
  <si>
    <t>s</t>
    <phoneticPr fontId="4" type="noConversion"/>
  </si>
  <si>
    <t>p</t>
    <phoneticPr fontId="4" type="noConversion"/>
  </si>
  <si>
    <t>day22</t>
    <phoneticPr fontId="4" type="noConversion"/>
  </si>
  <si>
    <t>day26</t>
    <phoneticPr fontId="4" type="noConversion"/>
  </si>
  <si>
    <t>a, s</t>
    <phoneticPr fontId="4" type="noConversion"/>
  </si>
  <si>
    <t>day29</t>
    <phoneticPr fontId="4" type="noConversion"/>
  </si>
  <si>
    <t>R(1)</t>
    <phoneticPr fontId="4" type="noConversion"/>
  </si>
  <si>
    <t>R(1)</t>
  </si>
  <si>
    <t>L(1), R(1)</t>
    <phoneticPr fontId="4" type="noConversion"/>
  </si>
  <si>
    <t>L(1)</t>
    <phoneticPr fontId="4" type="noConversion"/>
  </si>
  <si>
    <t>L(1), R(1)</t>
  </si>
  <si>
    <t>day33</t>
    <phoneticPr fontId="4" type="noConversion"/>
  </si>
  <si>
    <t>day36</t>
    <phoneticPr fontId="4" type="noConversion"/>
  </si>
  <si>
    <t>a</t>
    <phoneticPr fontId="4" type="noConversion"/>
  </si>
  <si>
    <t>day40</t>
    <phoneticPr fontId="4" type="noConversion"/>
  </si>
  <si>
    <t>day43</t>
    <phoneticPr fontId="4" type="noConversion"/>
  </si>
  <si>
    <t>day47</t>
    <phoneticPr fontId="4" type="noConversion"/>
  </si>
  <si>
    <t>#35</t>
  </si>
  <si>
    <t>#37</t>
  </si>
  <si>
    <t>#40</t>
  </si>
  <si>
    <t>#44</t>
    <phoneticPr fontId="4" type="noConversion"/>
  </si>
  <si>
    <t>#45</t>
  </si>
  <si>
    <t>#34</t>
  </si>
  <si>
    <t>#36</t>
  </si>
  <si>
    <t>#46</t>
  </si>
  <si>
    <t>#47</t>
    <phoneticPr fontId="4" type="noConversion"/>
  </si>
  <si>
    <r>
      <rPr>
        <b/>
        <sz val="10"/>
        <color theme="1"/>
        <rFont val="Arial"/>
        <family val="2"/>
      </rPr>
      <t>A20</t>
    </r>
    <r>
      <rPr>
        <b/>
        <sz val="10"/>
        <color rgb="FF0000FF"/>
        <rFont val="Arial"/>
        <family val="2"/>
      </rPr>
      <t xml:space="preserve"> + Cot CAR-T</t>
    </r>
    <r>
      <rPr>
        <b/>
        <sz val="10"/>
        <color rgb="FFC00000"/>
        <rFont val="Arial"/>
        <family val="2"/>
      </rPr>
      <t xml:space="preserve">                + C1C02-Cot                  </t>
    </r>
    <r>
      <rPr>
        <b/>
        <sz val="10"/>
        <color rgb="FF0000FF"/>
        <rFont val="Arial"/>
        <family val="2"/>
      </rPr>
      <t xml:space="preserve">   </t>
    </r>
    <r>
      <rPr>
        <b/>
        <sz val="10"/>
        <color theme="1"/>
        <rFont val="Arial"/>
        <family val="2"/>
      </rPr>
      <t>(untreated)</t>
    </r>
    <phoneticPr fontId="4" type="noConversion"/>
  </si>
  <si>
    <r>
      <rPr>
        <b/>
        <sz val="10"/>
        <color theme="1"/>
        <rFont val="Arial"/>
        <family val="2"/>
      </rPr>
      <t xml:space="preserve">A20 </t>
    </r>
    <r>
      <rPr>
        <b/>
        <sz val="10"/>
        <color rgb="FF0000FF"/>
        <rFont val="Arial"/>
        <family val="2"/>
      </rPr>
      <t xml:space="preserve">+ Cot CAR-T                </t>
    </r>
    <r>
      <rPr>
        <b/>
        <sz val="10"/>
        <color rgb="FFC00000"/>
        <rFont val="Arial"/>
        <family val="2"/>
      </rPr>
      <t xml:space="preserve">+ C1C02-Cot     </t>
    </r>
    <r>
      <rPr>
        <b/>
        <sz val="10"/>
        <color rgb="FF0000FF"/>
        <rFont val="Arial"/>
        <family val="2"/>
      </rPr>
      <t xml:space="preserve">                       </t>
    </r>
    <r>
      <rPr>
        <b/>
        <sz val="10"/>
        <color rgb="FF00B050"/>
        <rFont val="Arial"/>
        <family val="2"/>
      </rPr>
      <t>+                                       Cot-saporin                 (0.5ug/EA as saporin)</t>
    </r>
    <phoneticPr fontId="4" type="noConversion"/>
  </si>
  <si>
    <t>(day24)</t>
    <phoneticPr fontId="3" type="noConversion"/>
  </si>
  <si>
    <t>(day42)</t>
    <phoneticPr fontId="3" type="noConversion"/>
  </si>
  <si>
    <t>(day49)</t>
    <phoneticPr fontId="3" type="noConversion"/>
  </si>
  <si>
    <t>day35</t>
  </si>
  <si>
    <t>(day35)</t>
    <phoneticPr fontId="3" type="noConversion"/>
  </si>
  <si>
    <t>day42</t>
  </si>
  <si>
    <t>67.21 ?10.27 N=5</t>
  </si>
  <si>
    <t xml:space="preserve">Column B </t>
    <phoneticPr fontId="3" type="noConversion"/>
  </si>
  <si>
    <r>
      <t>A20</t>
    </r>
    <r>
      <rPr>
        <b/>
        <sz val="10"/>
        <color rgb="FF0000FF"/>
        <rFont val="Arial"/>
        <family val="2"/>
      </rPr>
      <t>+Cot CAR-T</t>
    </r>
    <r>
      <rPr>
        <b/>
        <sz val="10"/>
        <color rgb="FFC00000"/>
        <rFont val="Arial"/>
        <family val="2"/>
      </rPr>
      <t xml:space="preserve">+C1C02-Cot </t>
    </r>
    <phoneticPr fontId="3" type="noConversion"/>
  </si>
  <si>
    <r>
      <t>A20</t>
    </r>
    <r>
      <rPr>
        <b/>
        <sz val="10"/>
        <color rgb="FF0000FF"/>
        <rFont val="Arial"/>
        <family val="2"/>
      </rPr>
      <t>+Cot CAR-T</t>
    </r>
    <r>
      <rPr>
        <b/>
        <sz val="10"/>
        <color rgb="FFC00000"/>
        <rFont val="Arial"/>
        <family val="2"/>
      </rPr>
      <t>+C1C02-Cot</t>
    </r>
    <r>
      <rPr>
        <b/>
        <sz val="10"/>
        <color rgb="FF00B050"/>
        <rFont val="Arial"/>
        <family val="2"/>
      </rPr>
      <t>+Cot-saporin</t>
    </r>
    <phoneticPr fontId="3" type="noConversion"/>
  </si>
  <si>
    <t>day49</t>
  </si>
  <si>
    <t>#35</t>
    <phoneticPr fontId="4" type="noConversion"/>
  </si>
  <si>
    <t>#37</t>
    <phoneticPr fontId="4" type="noConversion"/>
  </si>
  <si>
    <t>#40</t>
    <phoneticPr fontId="4" type="noConversion"/>
  </si>
  <si>
    <t>#45</t>
    <phoneticPr fontId="4" type="noConversion"/>
  </si>
  <si>
    <t>#34</t>
    <phoneticPr fontId="4" type="noConversion"/>
  </si>
  <si>
    <t>#36</t>
    <phoneticPr fontId="4" type="noConversion"/>
  </si>
  <si>
    <t>#43</t>
    <phoneticPr fontId="4" type="noConversion"/>
  </si>
  <si>
    <t>#46</t>
    <phoneticPr fontId="4" type="noConversion"/>
  </si>
  <si>
    <t>mild</t>
    <phoneticPr fontId="4" type="noConversion"/>
  </si>
  <si>
    <t>a, s</t>
  </si>
  <si>
    <t>day36</t>
  </si>
  <si>
    <t>f, p</t>
    <phoneticPr fontId="4" type="noConversion"/>
  </si>
  <si>
    <t>f, p</t>
  </si>
  <si>
    <t>day43</t>
  </si>
  <si>
    <t>day47</t>
  </si>
  <si>
    <t>f, p, a</t>
    <phoneticPr fontId="4" type="noConversion"/>
  </si>
  <si>
    <t>f, p, a</t>
  </si>
  <si>
    <t>day50</t>
  </si>
  <si>
    <t>day50</t>
    <phoneticPr fontId="4" type="noConversion"/>
  </si>
  <si>
    <t>day57</t>
  </si>
  <si>
    <t>day57</t>
    <phoneticPr fontId="4" type="noConversion"/>
  </si>
  <si>
    <t>day61</t>
    <phoneticPr fontId="4" type="noConversion"/>
  </si>
  <si>
    <t>day64</t>
    <phoneticPr fontId="4" type="noConversion"/>
  </si>
  <si>
    <t>day68</t>
    <phoneticPr fontId="4" type="noConversion"/>
  </si>
  <si>
    <t>t=2.611 df=8</t>
  </si>
  <si>
    <t>3.600 ?1.077 N=5</t>
  </si>
  <si>
    <t>0.6000 ?0.4000 N=5_x000F_</t>
  </si>
  <si>
    <t>3.000 ?1.149＀</t>
  </si>
  <si>
    <t>0.3506 to 5.649</t>
  </si>
  <si>
    <t>7.250, 4, 4</t>
  </si>
  <si>
    <t>t=2.525 df=8</t>
  </si>
  <si>
    <t>4.600 ?0.4000 N=5</t>
  </si>
  <si>
    <t>2.600 ?1.030琀</t>
  </si>
  <si>
    <t>0.2258 to 4.974</t>
  </si>
  <si>
    <t>5.625, 4, 4</t>
  </si>
  <si>
    <t>t=3.301 df=8</t>
  </si>
  <si>
    <t>5.200 ?0.3742 N=5</t>
  </si>
  <si>
    <t>2.000 ?0.8944 N=5</t>
  </si>
  <si>
    <t>3.200 ?0.9695汲</t>
  </si>
  <si>
    <t>0.9642 to 5.436</t>
  </si>
  <si>
    <t>5.714, 4, 4</t>
  </si>
  <si>
    <t>t=3.720 df=8</t>
  </si>
  <si>
    <t>5.000 ?0.6325 N=5</t>
  </si>
  <si>
    <t>1.800 ?0.5831 N=5</t>
  </si>
  <si>
    <t>3.200 ?0.8602汲</t>
  </si>
  <si>
    <t>1.216 to 5.184</t>
  </si>
  <si>
    <t>1.176, 4, 4</t>
  </si>
  <si>
    <t>t=4.131 df=8</t>
  </si>
  <si>
    <t>4.800 ?0.5831 N=5</t>
  </si>
  <si>
    <t>1.600 ?0.5099 N=5</t>
  </si>
  <si>
    <t>3.200 ?0.7746汲</t>
  </si>
  <si>
    <t>1.414 to 4.986</t>
  </si>
  <si>
    <t>1.308, 4, 4</t>
  </si>
  <si>
    <t>t=2.704 df=8</t>
  </si>
  <si>
    <t>4.400 ?1.122 N=55</t>
  </si>
  <si>
    <t>1.200 ?0.3742 N=55</t>
  </si>
  <si>
    <t>3.200 ?1.183＀</t>
  </si>
  <si>
    <t>0.4715 to 5.928</t>
  </si>
  <si>
    <t>9.000, 4, 4</t>
  </si>
  <si>
    <t>1000nM</t>
    <phoneticPr fontId="5" type="noConversion"/>
  </si>
  <si>
    <t>100nM</t>
    <phoneticPr fontId="5" type="noConversion"/>
  </si>
  <si>
    <t>10nM</t>
    <phoneticPr fontId="5" type="noConversion"/>
  </si>
  <si>
    <t>1nM</t>
    <phoneticPr fontId="5" type="noConversion"/>
  </si>
  <si>
    <t>0.1nM</t>
    <phoneticPr fontId="5" type="noConversion"/>
  </si>
  <si>
    <t>0.01nM</t>
    <phoneticPr fontId="5" type="noConversion"/>
  </si>
  <si>
    <t>0.001nM</t>
    <phoneticPr fontId="5" type="noConversion"/>
  </si>
  <si>
    <t>0.0001nM</t>
    <phoneticPr fontId="5" type="noConversion"/>
  </si>
  <si>
    <t xml:space="preserve">C1C02-hCk </t>
    <phoneticPr fontId="5" type="noConversion"/>
  </si>
  <si>
    <t xml:space="preserve">8A9-hCk </t>
    <phoneticPr fontId="5" type="noConversion"/>
  </si>
  <si>
    <t xml:space="preserve">Standard curve (O.D.&lt;0.679) : y = 0.001273x + 0.066428 (r2=0.9991) </t>
    <phoneticPr fontId="5" type="noConversion"/>
  </si>
  <si>
    <t>splenic DC</t>
    <phoneticPr fontId="5" type="noConversion"/>
  </si>
  <si>
    <t>t=6.146 df=4</t>
  </si>
  <si>
    <t>108.6 ?13.70 N=3</t>
  </si>
  <si>
    <t>236.4 ?15.64 N=3y</t>
  </si>
  <si>
    <t>-127.8 ?20.79</t>
  </si>
  <si>
    <t>-185.5 to -70.07</t>
  </si>
  <si>
    <t>1.304, 2, 2</t>
  </si>
  <si>
    <r>
      <t>splenic DC+</t>
    </r>
    <r>
      <rPr>
        <b/>
        <sz val="10"/>
        <color rgb="FFFF0000"/>
        <rFont val="Arial"/>
        <family val="2"/>
      </rPr>
      <t>CD40 CAR-T</t>
    </r>
    <phoneticPr fontId="3" type="noConversion"/>
  </si>
  <si>
    <t>&lt; In vitro coculture &gt;-suppl Fig data</t>
    <phoneticPr fontId="4" type="noConversion"/>
  </si>
  <si>
    <t>&lt; C1C02-Ck binding to recombinant mouse CD40 protein &gt;-suppl Fig data</t>
    <phoneticPr fontId="4" type="noConversion"/>
  </si>
  <si>
    <t>&lt; survival data &gt;-suppl Fig data</t>
    <phoneticPr fontId="4" type="noConversion"/>
  </si>
  <si>
    <t>&lt; raw data&gt;</t>
    <phoneticPr fontId="3" type="noConversion"/>
  </si>
  <si>
    <r>
      <t>CD40 CAR-T</t>
    </r>
    <r>
      <rPr>
        <sz val="10"/>
        <color rgb="FF0000FF"/>
        <rFont val="Arial"/>
        <family val="2"/>
      </rPr>
      <t>+anti-IL-6</t>
    </r>
    <phoneticPr fontId="3" type="noConversion"/>
  </si>
  <si>
    <r>
      <t>CD40 CAR-T</t>
    </r>
    <r>
      <rPr>
        <sz val="10"/>
        <color rgb="FF0000FF"/>
        <rFont val="Arial"/>
        <family val="2"/>
      </rPr>
      <t>+anti-IL-6</t>
    </r>
    <r>
      <rPr>
        <sz val="10"/>
        <color rgb="FF00B050"/>
        <rFont val="Arial"/>
        <family val="2"/>
      </rPr>
      <t>+anakinra</t>
    </r>
    <phoneticPr fontId="3" type="noConversion"/>
  </si>
  <si>
    <r>
      <t>CD40 CAR-T</t>
    </r>
    <r>
      <rPr>
        <sz val="10"/>
        <color rgb="FF00B050"/>
        <rFont val="Arial"/>
        <family val="2"/>
      </rPr>
      <t>+anakinra</t>
    </r>
    <phoneticPr fontId="3" type="noConversion"/>
  </si>
  <si>
    <r>
      <t>CD40 CAR-T</t>
    </r>
    <r>
      <rPr>
        <sz val="10"/>
        <color theme="1"/>
        <rFont val="Arial"/>
        <family val="2"/>
      </rPr>
      <t>+clodronate</t>
    </r>
    <phoneticPr fontId="3" type="noConversion"/>
  </si>
  <si>
    <t>&lt;test2: raw data&gt;</t>
    <phoneticPr fontId="3" type="noConversion"/>
  </si>
  <si>
    <t>&lt;test1: raw data&gt;</t>
    <phoneticPr fontId="3" type="noConversion"/>
  </si>
  <si>
    <t>Well</t>
  </si>
  <si>
    <t>Fluor</t>
  </si>
  <si>
    <t>Target</t>
  </si>
  <si>
    <t>Content</t>
  </si>
  <si>
    <t>Sample</t>
  </si>
  <si>
    <t>Biological Set Name</t>
  </si>
  <si>
    <t>Cq</t>
  </si>
  <si>
    <t>Cq Mean</t>
  </si>
  <si>
    <t>Cq Std. Dev</t>
  </si>
  <si>
    <t>Starting Quantity (SQ)</t>
  </si>
  <si>
    <t>Log Starting Quantity</t>
  </si>
  <si>
    <t>SQ Mean</t>
  </si>
  <si>
    <t>SQ Std. Dev</t>
  </si>
  <si>
    <t>Set Point</t>
  </si>
  <si>
    <t>Well Note</t>
  </si>
  <si>
    <t>A01</t>
  </si>
  <si>
    <t>SYBR</t>
  </si>
  <si>
    <t/>
  </si>
  <si>
    <t>Unkn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</si>
  <si>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</si>
  <si>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</si>
  <si>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</si>
  <si>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</si>
  <si>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</si>
  <si>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</si>
  <si>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</si>
  <si>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</si>
  <si>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</si>
  <si>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</si>
  <si>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</si>
  <si>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</si>
  <si>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</si>
  <si>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</si>
  <si>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</si>
  <si>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</si>
  <si>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</si>
  <si>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</si>
  <si>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</si>
  <si>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</si>
  <si>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</si>
  <si>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</si>
  <si>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</si>
  <si>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</si>
  <si>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</si>
  <si>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</si>
  <si>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</si>
  <si>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</si>
  <si>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</si>
  <si>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</si>
  <si>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</si>
  <si>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</si>
  <si>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</si>
  <si>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</si>
  <si>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</si>
  <si>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ΔCt</t>
    <phoneticPr fontId="5" type="noConversion"/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</si>
  <si>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</si>
  <si>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</si>
  <si>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</si>
  <si>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</si>
  <si>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</si>
  <si>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</si>
  <si>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</si>
  <si>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</si>
  <si>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</si>
  <si>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</si>
  <si>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</si>
  <si>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</si>
  <si>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</si>
  <si>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</si>
  <si>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</si>
  <si>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</si>
  <si>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</si>
  <si>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</si>
  <si>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</si>
  <si>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</si>
  <si>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</si>
  <si>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</si>
  <si>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</si>
  <si>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</si>
  <si>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</si>
  <si>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</si>
  <si>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</si>
  <si>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</si>
  <si>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</si>
  <si>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</si>
  <si>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</si>
  <si>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</si>
  <si>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</si>
  <si>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</si>
  <si>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</si>
  <si>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</si>
  <si>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</si>
  <si>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</si>
  <si>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</si>
  <si>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</si>
  <si>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</si>
  <si>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</si>
  <si>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</si>
  <si>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</si>
  <si>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</si>
  <si>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</si>
  <si>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</si>
  <si>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</si>
  <si>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</si>
  <si>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</si>
  <si>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</si>
  <si>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</si>
  <si>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</si>
  <si>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</si>
  <si>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</si>
  <si>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</si>
  <si>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</si>
  <si>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</si>
  <si>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</si>
  <si>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</si>
  <si>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&lt; qRT-PCR raw data &amp; analysis &gt;-suppl Fig data</t>
    <phoneticPr fontId="4" type="noConversion"/>
  </si>
  <si>
    <t>ΔΔCt(liver)</t>
    <phoneticPr fontId="5" type="noConversion"/>
  </si>
  <si>
    <t>mCD40</t>
    <phoneticPr fontId="3" type="noConversion"/>
  </si>
  <si>
    <t>Raji</t>
    <phoneticPr fontId="4" type="noConversion"/>
  </si>
  <si>
    <t>free-rituximab</t>
    <phoneticPr fontId="3" type="noConversion"/>
  </si>
  <si>
    <t>free-rituximab</t>
    <phoneticPr fontId="4" type="noConversion"/>
  </si>
  <si>
    <t>&lt; cytotoxicity assay analysis (6hrs) &gt;-suppl Fig data</t>
    <phoneticPr fontId="4" type="noConversion"/>
  </si>
  <si>
    <t>rituximab-Cot</t>
    <phoneticPr fontId="4" type="noConversion"/>
  </si>
  <si>
    <t>viable Raji cell count</t>
    <phoneticPr fontId="4" type="noConversion"/>
  </si>
  <si>
    <t>viable Raji cell count/tube</t>
    <phoneticPr fontId="4" type="noConversion"/>
  </si>
  <si>
    <t>beads count : viable Raji cell count=10,000 : x</t>
    <phoneticPr fontId="4" type="noConversion"/>
  </si>
  <si>
    <t>AU565</t>
    <phoneticPr fontId="4" type="noConversion"/>
  </si>
  <si>
    <t>viable AU565 cell count</t>
    <phoneticPr fontId="4" type="noConversion"/>
  </si>
  <si>
    <t>viable AU565 cell count/tube</t>
    <phoneticPr fontId="4" type="noConversion"/>
  </si>
  <si>
    <t>beads count : viable AU565 cell count=10,000 : x</t>
    <phoneticPr fontId="4" type="noConversion"/>
  </si>
  <si>
    <t>free-trastuzumab</t>
    <phoneticPr fontId="4" type="noConversion"/>
  </si>
  <si>
    <t>trastuzumab-Cot</t>
    <phoneticPr fontId="4" type="noConversion"/>
  </si>
  <si>
    <t>&lt; In vitro CAR-T activation &gt;-suppl Fig data</t>
    <phoneticPr fontId="4" type="noConversion"/>
  </si>
  <si>
    <t xml:space="preserve">Standard curve (O.D.&lt;1.022) : y = 0.000486x + 0.051913 (r2=0.9982) </t>
    <phoneticPr fontId="5" type="noConversion"/>
  </si>
  <si>
    <t>Raji</t>
    <phoneticPr fontId="5" type="noConversion"/>
  </si>
  <si>
    <t>rituximab-Cot</t>
    <phoneticPr fontId="3" type="noConversion"/>
  </si>
  <si>
    <t>1/2 dilution</t>
    <phoneticPr fontId="5" type="noConversion"/>
  </si>
  <si>
    <t>t=29.99 df=4</t>
  </si>
  <si>
    <t>41.51 ?6.288 N=3</t>
  </si>
  <si>
    <t>Mean ± SEM of column C</t>
  </si>
  <si>
    <t>-2252 ?75.11琀</t>
  </si>
  <si>
    <t>-2461 to -2044</t>
  </si>
  <si>
    <t>141.7, 2, 2</t>
  </si>
  <si>
    <r>
      <t>Raji</t>
    </r>
    <r>
      <rPr>
        <b/>
        <sz val="10"/>
        <color rgb="FF0000FF"/>
        <rFont val="Arial"/>
        <family val="2"/>
      </rPr>
      <t>+Cot CAR-T</t>
    </r>
    <r>
      <rPr>
        <b/>
        <sz val="10"/>
        <rFont val="Arial"/>
        <family val="2"/>
      </rPr>
      <t>+free-rituximab</t>
    </r>
    <phoneticPr fontId="3" type="noConversion"/>
  </si>
  <si>
    <r>
      <t>Raji</t>
    </r>
    <r>
      <rPr>
        <b/>
        <sz val="10"/>
        <color rgb="FF0000FF"/>
        <rFont val="Arial"/>
        <family val="2"/>
      </rPr>
      <t>+Cot CAR-T</t>
    </r>
    <r>
      <rPr>
        <b/>
        <sz val="10"/>
        <color rgb="FFC00000"/>
        <rFont val="Arial"/>
        <family val="2"/>
      </rPr>
      <t>+rituximab-Cot</t>
    </r>
    <phoneticPr fontId="3" type="noConversion"/>
  </si>
  <si>
    <t xml:space="preserve">Standard curve (O.D.&lt;1.119) : y = 0.000555x + 0.072689 (r2=0.9939) </t>
    <phoneticPr fontId="5" type="noConversion"/>
  </si>
  <si>
    <t>1/10 dilution</t>
    <phoneticPr fontId="5" type="noConversion"/>
  </si>
  <si>
    <t>AU565</t>
    <phoneticPr fontId="5" type="noConversion"/>
  </si>
  <si>
    <t>free-trastuzumab</t>
    <phoneticPr fontId="3" type="noConversion"/>
  </si>
  <si>
    <t>trastuzumab-Cot</t>
    <phoneticPr fontId="3" type="noConversion"/>
  </si>
  <si>
    <t>t=15.25 df=4</t>
  </si>
  <si>
    <t>29.95 ?5.505 N=3</t>
  </si>
  <si>
    <t>8840 ?577.5 N=3r</t>
  </si>
  <si>
    <t>-8810 ?577.6＀</t>
  </si>
  <si>
    <t>-10410 to -7207</t>
  </si>
  <si>
    <t>11010, 2, 2</t>
  </si>
  <si>
    <r>
      <t>AU565</t>
    </r>
    <r>
      <rPr>
        <b/>
        <sz val="10"/>
        <color rgb="FF0000FF"/>
        <rFont val="Arial"/>
        <family val="2"/>
      </rPr>
      <t>+Cot CAR-T</t>
    </r>
    <r>
      <rPr>
        <b/>
        <sz val="10"/>
        <rFont val="Arial"/>
        <family val="2"/>
      </rPr>
      <t>+free-trastuzumab</t>
    </r>
    <phoneticPr fontId="3" type="noConversion"/>
  </si>
  <si>
    <r>
      <t>AU565</t>
    </r>
    <r>
      <rPr>
        <b/>
        <sz val="10"/>
        <color rgb="FF0000FF"/>
        <rFont val="Arial"/>
        <family val="2"/>
      </rPr>
      <t>+Cot CAR-T</t>
    </r>
    <r>
      <rPr>
        <b/>
        <sz val="10"/>
        <color rgb="FFC00000"/>
        <rFont val="Arial"/>
        <family val="2"/>
      </rPr>
      <t>+trastuzumab-Cot</t>
    </r>
    <phoneticPr fontId="3" type="noConversion"/>
  </si>
  <si>
    <t xml:space="preserve">2B-1-hCk </t>
    <phoneticPr fontId="5" type="noConversion"/>
  </si>
  <si>
    <t>&lt; 2B1-Ck binding to recombinant human CD40 protein &gt;-suppl Fig data</t>
    <phoneticPr fontId="4" type="noConversion"/>
  </si>
  <si>
    <t xml:space="preserve">y = -26.58779x+16.76704 (r2=0.9725) </t>
  </si>
  <si>
    <t>LD50=0.281nM</t>
    <phoneticPr fontId="4" type="noConversion"/>
  </si>
  <si>
    <t>t=1.189 df=4</t>
  </si>
  <si>
    <t>97.00 ?3.464 N=3y</t>
  </si>
  <si>
    <t>91.67 ?2.848 N=3y</t>
  </si>
  <si>
    <t>5.333 ?4.485＀</t>
  </si>
  <si>
    <t>-7.116 to 17.78</t>
  </si>
  <si>
    <t>1.479, 2, 2</t>
  </si>
  <si>
    <t>hCot CAR-T-0.005nM</t>
    <phoneticPr fontId="3" type="noConversion"/>
  </si>
  <si>
    <t>t=35.50 df=4</t>
  </si>
  <si>
    <t>Mean ± SEM of column Ea</t>
  </si>
  <si>
    <t>102.0 ?0.5774 N=3</t>
  </si>
  <si>
    <t>Mean ± SEM of column Fހ</t>
  </si>
  <si>
    <t>78.33 ?0.3333 N=3</t>
  </si>
  <si>
    <t>23.67 ?0.6667汲</t>
  </si>
  <si>
    <t>21.82 to 25.52</t>
  </si>
  <si>
    <t>3.000, 2, 2</t>
  </si>
  <si>
    <t>hConT-0.005nM</t>
    <phoneticPr fontId="3" type="noConversion"/>
  </si>
  <si>
    <t>hConT-0.05nM</t>
    <phoneticPr fontId="3" type="noConversion"/>
  </si>
  <si>
    <t>hCot CAR-T-0.05nM</t>
    <phoneticPr fontId="3" type="noConversion"/>
  </si>
  <si>
    <t>hControl T</t>
    <phoneticPr fontId="4" type="noConversion"/>
  </si>
  <si>
    <t>t=21.71 df=4</t>
  </si>
  <si>
    <t>Mean ± SEM of column Gހ</t>
  </si>
  <si>
    <t>99.67 ?2.603 N=3y</t>
  </si>
  <si>
    <t>Mean ± SEM of column Hހ</t>
  </si>
  <si>
    <t>41.33 ?0.6667 N=3</t>
  </si>
  <si>
    <t>58.33 ?2.687琀</t>
  </si>
  <si>
    <t>50.87 to 65.79</t>
  </si>
  <si>
    <t>15.25, 2, 2</t>
  </si>
  <si>
    <t>hConT-0.5nM</t>
    <phoneticPr fontId="3" type="noConversion"/>
  </si>
  <si>
    <t>hCot CAR-T-0.5nM</t>
    <phoneticPr fontId="3" type="noConversion"/>
  </si>
  <si>
    <t>t=45.61 df=4</t>
  </si>
  <si>
    <t>Mean ± SEM of column I</t>
  </si>
  <si>
    <t>Mean ± SEM of column Jހ</t>
  </si>
  <si>
    <t>15.33 ?0.3333 N=3</t>
  </si>
  <si>
    <t>86.00 ?1.886＀</t>
  </si>
  <si>
    <t>80.77 to 91.23</t>
  </si>
  <si>
    <t>31.00, 2, 2</t>
  </si>
  <si>
    <t>hConT-5nM</t>
    <phoneticPr fontId="3" type="noConversion"/>
  </si>
  <si>
    <t>hCot CAR-T-5nM</t>
    <phoneticPr fontId="3" type="noConversion"/>
  </si>
  <si>
    <t>t=44.13 df=4</t>
  </si>
  <si>
    <t>Mean ± SEM of column Kހ</t>
  </si>
  <si>
    <t>89.67 ?1.667 N=3</t>
  </si>
  <si>
    <t>Mean ± SEM of column L</t>
  </si>
  <si>
    <t>75.00 ?1.700＀</t>
  </si>
  <si>
    <t>70.28 to 79.72</t>
  </si>
  <si>
    <t>25.00, 2, 2</t>
  </si>
  <si>
    <t>hConT-50nM</t>
    <phoneticPr fontId="3" type="noConversion"/>
  </si>
  <si>
    <t>hCot CAR-T-50nM</t>
    <phoneticPr fontId="3" type="noConversion"/>
  </si>
  <si>
    <t>&lt; Body weight &gt;-suppl Fig data</t>
    <phoneticPr fontId="4" type="noConversion"/>
  </si>
  <si>
    <t>#28</t>
    <phoneticPr fontId="4" type="noConversion"/>
  </si>
  <si>
    <t>#29</t>
    <phoneticPr fontId="4" type="noConversion"/>
  </si>
  <si>
    <t>death (day27)</t>
    <phoneticPr fontId="4" type="noConversion"/>
  </si>
  <si>
    <t>#30</t>
    <phoneticPr fontId="4" type="noConversion"/>
  </si>
  <si>
    <t>#31</t>
    <phoneticPr fontId="4" type="noConversion"/>
  </si>
  <si>
    <t>#32</t>
    <phoneticPr fontId="4" type="noConversion"/>
  </si>
  <si>
    <r>
      <t xml:space="preserve">A20                           </t>
    </r>
    <r>
      <rPr>
        <b/>
        <sz val="10"/>
        <color rgb="FF0000FF"/>
        <rFont val="Arial"/>
        <family val="2"/>
      </rPr>
      <t xml:space="preserve">+Cot CAR T                  </t>
    </r>
    <r>
      <rPr>
        <b/>
        <sz val="10"/>
        <color rgb="FFC00000"/>
        <rFont val="Arial"/>
        <family val="2"/>
      </rPr>
      <t>+C1C02-Cot</t>
    </r>
    <phoneticPr fontId="3" type="noConversion"/>
  </si>
  <si>
    <r>
      <t xml:space="preserve">A20                           </t>
    </r>
    <r>
      <rPr>
        <b/>
        <sz val="10"/>
        <color rgb="FF0000FF"/>
        <rFont val="Arial"/>
        <family val="2"/>
      </rPr>
      <t xml:space="preserve">+Cot CAR T                  </t>
    </r>
    <r>
      <rPr>
        <b/>
        <sz val="10"/>
        <color rgb="FFC00000"/>
        <rFont val="Arial"/>
        <family val="2"/>
      </rPr>
      <t xml:space="preserve">+C1C02-Cot           </t>
    </r>
    <r>
      <rPr>
        <b/>
        <sz val="10"/>
        <color rgb="FF00B050"/>
        <rFont val="Arial"/>
        <family val="2"/>
      </rPr>
      <t>+Cot-saporin</t>
    </r>
    <phoneticPr fontId="3" type="noConversion"/>
  </si>
  <si>
    <t>day 31</t>
    <phoneticPr fontId="5" type="noConversion"/>
  </si>
  <si>
    <t>day 50</t>
    <phoneticPr fontId="5" type="noConversion"/>
  </si>
  <si>
    <t>day 54</t>
    <phoneticPr fontId="5" type="noConversion"/>
  </si>
  <si>
    <t>day 57</t>
    <phoneticPr fontId="5" type="noConversion"/>
  </si>
  <si>
    <t>day 61</t>
    <phoneticPr fontId="5" type="noConversion"/>
  </si>
  <si>
    <t>day 64</t>
    <phoneticPr fontId="5" type="noConversion"/>
  </si>
  <si>
    <t>day 68</t>
    <phoneticPr fontId="5" type="noConversion"/>
  </si>
  <si>
    <t>&lt;raw data&gt;</t>
    <phoneticPr fontId="3" type="noConversion"/>
  </si>
  <si>
    <t>day 1</t>
    <phoneticPr fontId="4" type="noConversion"/>
  </si>
  <si>
    <t>day 2</t>
    <phoneticPr fontId="4" type="noConversion"/>
  </si>
  <si>
    <t>day 3</t>
    <phoneticPr fontId="4" type="noConversion"/>
  </si>
  <si>
    <t>day 4</t>
    <phoneticPr fontId="4" type="noConversion"/>
  </si>
  <si>
    <t>day 5</t>
    <phoneticPr fontId="4" type="noConversion"/>
  </si>
  <si>
    <t>day 8</t>
    <phoneticPr fontId="4" type="noConversion"/>
  </si>
  <si>
    <t>day 12</t>
    <phoneticPr fontId="4" type="noConversion"/>
  </si>
  <si>
    <t>day 15</t>
    <phoneticPr fontId="4" type="noConversion"/>
  </si>
  <si>
    <t>day 19</t>
    <phoneticPr fontId="4" type="noConversion"/>
  </si>
  <si>
    <t>#336</t>
    <phoneticPr fontId="4" type="noConversion"/>
  </si>
  <si>
    <t>#345</t>
  </si>
  <si>
    <t>#346</t>
  </si>
  <si>
    <t>#347</t>
  </si>
  <si>
    <t>#348</t>
  </si>
  <si>
    <t>#349</t>
  </si>
  <si>
    <t>#350</t>
  </si>
  <si>
    <t>#351</t>
  </si>
  <si>
    <t>#352</t>
  </si>
  <si>
    <t>#353</t>
  </si>
  <si>
    <t>#354</t>
  </si>
  <si>
    <t>#355</t>
  </si>
  <si>
    <t>#356</t>
  </si>
  <si>
    <t>death (day6)</t>
    <phoneticPr fontId="4" type="noConversion"/>
  </si>
  <si>
    <t>#357</t>
  </si>
  <si>
    <t>#358</t>
  </si>
  <si>
    <t>#359</t>
  </si>
  <si>
    <t>#360</t>
  </si>
  <si>
    <r>
      <rPr>
        <b/>
        <sz val="10"/>
        <color rgb="FF00B0F0"/>
        <rFont val="Arial"/>
        <family val="2"/>
      </rPr>
      <t xml:space="preserve">  </t>
    </r>
    <r>
      <rPr>
        <b/>
        <sz val="10"/>
        <color rgb="FFFF0000"/>
        <rFont val="Arial"/>
        <family val="2"/>
      </rPr>
      <t xml:space="preserve">CD40 CAR-T     </t>
    </r>
    <r>
      <rPr>
        <b/>
        <sz val="10"/>
        <color rgb="FF00B0F0"/>
        <rFont val="Arial"/>
        <family val="2"/>
      </rPr>
      <t xml:space="preserve">          </t>
    </r>
    <r>
      <rPr>
        <b/>
        <sz val="10"/>
        <color rgb="FF6600FF"/>
        <rFont val="Arial"/>
        <family val="2"/>
      </rPr>
      <t xml:space="preserve">     </t>
    </r>
    <r>
      <rPr>
        <b/>
        <sz val="10"/>
        <color theme="1"/>
        <rFont val="Arial"/>
        <family val="2"/>
      </rPr>
      <t xml:space="preserve">       +                                                   anti-IL-12</t>
    </r>
    <phoneticPr fontId="4" type="noConversion"/>
  </si>
  <si>
    <t xml:space="preserve">  Control T</t>
    <phoneticPr fontId="4" type="noConversion"/>
  </si>
  <si>
    <r>
      <rPr>
        <b/>
        <sz val="10"/>
        <color rgb="FF00B0F0"/>
        <rFont val="Arial"/>
        <family val="2"/>
      </rPr>
      <t xml:space="preserve">  </t>
    </r>
    <r>
      <rPr>
        <b/>
        <sz val="10"/>
        <color rgb="FFFF0000"/>
        <rFont val="Arial"/>
        <family val="2"/>
      </rPr>
      <t xml:space="preserve">CD40 CAR-T     </t>
    </r>
    <r>
      <rPr>
        <b/>
        <sz val="10"/>
        <color rgb="FF00B0F0"/>
        <rFont val="Arial"/>
        <family val="2"/>
      </rPr>
      <t xml:space="preserve">          </t>
    </r>
    <r>
      <rPr>
        <b/>
        <sz val="10"/>
        <color rgb="FF6600FF"/>
        <rFont val="Arial"/>
        <family val="2"/>
      </rPr>
      <t xml:space="preserve">     </t>
    </r>
    <phoneticPr fontId="4" type="noConversion"/>
  </si>
  <si>
    <r>
      <rPr>
        <b/>
        <sz val="10"/>
        <color rgb="FF00B0F0"/>
        <rFont val="Arial"/>
        <family val="2"/>
      </rPr>
      <t xml:space="preserve">  </t>
    </r>
    <r>
      <rPr>
        <b/>
        <sz val="10"/>
        <color rgb="FFFF0000"/>
        <rFont val="Arial"/>
        <family val="2"/>
      </rPr>
      <t xml:space="preserve">CD40 CAR-T     </t>
    </r>
    <r>
      <rPr>
        <b/>
        <sz val="10"/>
        <color rgb="FF00B0F0"/>
        <rFont val="Arial"/>
        <family val="2"/>
      </rPr>
      <t xml:space="preserve">          </t>
    </r>
    <r>
      <rPr>
        <b/>
        <sz val="10"/>
        <color rgb="FF6600FF"/>
        <rFont val="Arial"/>
        <family val="2"/>
      </rPr>
      <t xml:space="preserve">     </t>
    </r>
    <r>
      <rPr>
        <b/>
        <sz val="10"/>
        <color rgb="FF0000FF"/>
        <rFont val="Arial"/>
        <family val="2"/>
      </rPr>
      <t xml:space="preserve">+                                                        anti-IL-6 </t>
    </r>
    <r>
      <rPr>
        <b/>
        <sz val="10"/>
        <color rgb="FF00B050"/>
        <rFont val="Arial"/>
        <family val="2"/>
      </rPr>
      <t>+ anakinra</t>
    </r>
    <r>
      <rPr>
        <b/>
        <sz val="10"/>
        <color theme="1"/>
        <rFont val="Arial"/>
        <family val="2"/>
      </rPr>
      <t xml:space="preserve">                </t>
    </r>
    <phoneticPr fontId="4" type="noConversion"/>
  </si>
  <si>
    <r>
      <rPr>
        <b/>
        <sz val="10"/>
        <color rgb="FF00B0F0"/>
        <rFont val="Arial"/>
        <family val="2"/>
      </rPr>
      <t xml:space="preserve">  </t>
    </r>
    <r>
      <rPr>
        <b/>
        <sz val="10"/>
        <color rgb="FFFF0000"/>
        <rFont val="Arial"/>
        <family val="2"/>
      </rPr>
      <t xml:space="preserve">CD40 CAR-T     </t>
    </r>
    <r>
      <rPr>
        <b/>
        <sz val="10"/>
        <color rgb="FF00B0F0"/>
        <rFont val="Arial"/>
        <family val="2"/>
      </rPr>
      <t xml:space="preserve">          </t>
    </r>
    <r>
      <rPr>
        <b/>
        <sz val="10"/>
        <color rgb="FF6600FF"/>
        <rFont val="Arial"/>
        <family val="2"/>
      </rPr>
      <t xml:space="preserve">     </t>
    </r>
    <r>
      <rPr>
        <b/>
        <sz val="10"/>
        <color rgb="FF0000FF"/>
        <rFont val="Arial"/>
        <family val="2"/>
      </rPr>
      <t xml:space="preserve">+                                                        anti-IL-6 </t>
    </r>
    <r>
      <rPr>
        <b/>
        <sz val="10"/>
        <color rgb="FF00B050"/>
        <rFont val="Arial"/>
        <family val="2"/>
      </rPr>
      <t>+ anakinra</t>
    </r>
    <r>
      <rPr>
        <b/>
        <sz val="10"/>
        <color theme="1"/>
        <rFont val="Arial"/>
        <family val="2"/>
      </rPr>
      <t xml:space="preserve">                +                                                   anti-IL-12</t>
    </r>
    <phoneticPr fontId="4" type="noConversion"/>
  </si>
  <si>
    <t>#311</t>
    <phoneticPr fontId="4" type="noConversion"/>
  </si>
  <si>
    <t>#313</t>
  </si>
  <si>
    <t>#314</t>
  </si>
  <si>
    <t>#315</t>
  </si>
  <si>
    <t>#316</t>
  </si>
  <si>
    <t>#317</t>
  </si>
  <si>
    <t>#322</t>
    <phoneticPr fontId="4" type="noConversion"/>
  </si>
  <si>
    <t>#312</t>
    <phoneticPr fontId="4" type="noConversion"/>
  </si>
  <si>
    <t>day2</t>
  </si>
  <si>
    <t>-13.81 to -5.197</t>
  </si>
  <si>
    <t>-8.911 to -0.2934</t>
  </si>
  <si>
    <t>CD40 CAR-T vs CD40 CAR-T+anti-IL12</t>
  </si>
  <si>
    <t>-7.205 to 1.413</t>
  </si>
  <si>
    <t>CD40 CAR-T vs CD40 CAR-T+anti-IL6+anakinra+I</t>
  </si>
  <si>
    <t>-7.783 to 0.8346</t>
  </si>
  <si>
    <t>day3</t>
  </si>
  <si>
    <t>-10.45 to -3.588</t>
  </si>
  <si>
    <t>-7.800 to -0.9395</t>
  </si>
  <si>
    <t>-5.306 to 1.554</t>
  </si>
  <si>
    <t>-7.486 to -0.6255</t>
  </si>
  <si>
    <t>day 6</t>
    <phoneticPr fontId="4" type="noConversion"/>
  </si>
  <si>
    <t>day 9</t>
    <phoneticPr fontId="4" type="noConversion"/>
  </si>
  <si>
    <t>day 13</t>
    <phoneticPr fontId="4" type="noConversion"/>
  </si>
  <si>
    <t>day 16</t>
    <phoneticPr fontId="4" type="noConversion"/>
  </si>
  <si>
    <t>day 20</t>
    <phoneticPr fontId="4" type="noConversion"/>
  </si>
  <si>
    <t>day 24</t>
    <phoneticPr fontId="4" type="noConversion"/>
  </si>
  <si>
    <t>day 27</t>
    <phoneticPr fontId="4" type="noConversion"/>
  </si>
  <si>
    <t>euthanasia (day60)</t>
    <phoneticPr fontId="4" type="noConversion"/>
  </si>
  <si>
    <t>death (day44)</t>
    <phoneticPr fontId="4" type="noConversion"/>
  </si>
  <si>
    <t>#122</t>
    <phoneticPr fontId="4" type="noConversion"/>
  </si>
  <si>
    <t>#123</t>
  </si>
  <si>
    <t>#124</t>
  </si>
  <si>
    <t>#125</t>
  </si>
  <si>
    <t>#126</t>
  </si>
  <si>
    <t>#127</t>
  </si>
  <si>
    <t>#128</t>
  </si>
  <si>
    <t>#129</t>
  </si>
  <si>
    <t xml:space="preserve">EL4-mCD40                             </t>
    <phoneticPr fontId="4" type="noConversion"/>
  </si>
  <si>
    <r>
      <t xml:space="preserve">EL4-mCD40  </t>
    </r>
    <r>
      <rPr>
        <b/>
        <sz val="10"/>
        <color rgb="FF0000FF"/>
        <rFont val="Arial"/>
        <family val="2"/>
      </rPr>
      <t xml:space="preserve">          </t>
    </r>
    <r>
      <rPr>
        <b/>
        <sz val="10"/>
        <color theme="1"/>
        <rFont val="Arial"/>
        <family val="2"/>
      </rPr>
      <t xml:space="preserve">              </t>
    </r>
    <r>
      <rPr>
        <b/>
        <sz val="10"/>
        <color rgb="FFFF0000"/>
        <rFont val="Arial"/>
        <family val="2"/>
      </rPr>
      <t>+                                    CD40 CAR-T</t>
    </r>
    <phoneticPr fontId="4" type="noConversion"/>
  </si>
  <si>
    <t>B6 WT (n=10)</t>
    <phoneticPr fontId="3" type="noConversion"/>
  </si>
  <si>
    <r>
      <t>B6 CD40 null</t>
    </r>
    <r>
      <rPr>
        <sz val="10"/>
        <color theme="1"/>
        <rFont val="Arial"/>
        <family val="2"/>
      </rPr>
      <t xml:space="preserve"> (n=10)</t>
    </r>
    <phoneticPr fontId="3" type="noConversion"/>
  </si>
  <si>
    <t>viable Daudi cell count</t>
    <phoneticPr fontId="4" type="noConversion"/>
  </si>
  <si>
    <t>viable Daudi cell count/tube</t>
    <phoneticPr fontId="4" type="noConversion"/>
  </si>
  <si>
    <t>&lt; in vitro mCot-CAR T killing assay Co-saporin &gt;-main Fig data</t>
    <phoneticPr fontId="4" type="noConversion"/>
  </si>
  <si>
    <t>(% compared to on day6)</t>
    <phoneticPr fontId="3" type="noConversion"/>
  </si>
  <si>
    <t>(% compared to on day19)</t>
    <phoneticPr fontId="3" type="noConversion"/>
  </si>
  <si>
    <r>
      <t xml:space="preserve">A20                           </t>
    </r>
    <r>
      <rPr>
        <b/>
        <sz val="10"/>
        <color rgb="FF0000FF"/>
        <rFont val="Arial"/>
        <family val="2"/>
      </rPr>
      <t xml:space="preserve">+Cot CAR T                  </t>
    </r>
    <r>
      <rPr>
        <b/>
        <sz val="10"/>
        <color rgb="FFC00000"/>
        <rFont val="Arial"/>
        <family val="2"/>
      </rPr>
      <t xml:space="preserve">+C1C02-Cot </t>
    </r>
    <r>
      <rPr>
        <b/>
        <sz val="10"/>
        <color rgb="FF00B050"/>
        <rFont val="Arial"/>
        <family val="2"/>
      </rPr>
      <t>+Cot-saporin</t>
    </r>
    <phoneticPr fontId="3" type="noConversion"/>
  </si>
  <si>
    <t>(O.D=450nm)</t>
    <phoneticPr fontId="3" type="noConversion"/>
  </si>
  <si>
    <t>6000pg/ml</t>
    <phoneticPr fontId="5" type="noConversion"/>
  </si>
  <si>
    <t>3000pg/ml</t>
    <phoneticPr fontId="5" type="noConversion"/>
  </si>
  <si>
    <t>1500pg/ml</t>
    <phoneticPr fontId="5" type="noConversion"/>
  </si>
  <si>
    <t>750pg/ml</t>
    <phoneticPr fontId="5" type="noConversion"/>
  </si>
  <si>
    <t>375pg/ml</t>
    <phoneticPr fontId="5" type="noConversion"/>
  </si>
  <si>
    <t>187.5pg/ml</t>
    <phoneticPr fontId="5" type="noConversion"/>
  </si>
  <si>
    <t>93.75pg/ml</t>
    <phoneticPr fontId="5" type="noConversion"/>
  </si>
  <si>
    <t xml:space="preserve">Standard curve (O.D.&lt;0.136) : y = 0.000053x + 0.058671 (r2=0.9961) </t>
    <phoneticPr fontId="5" type="noConversion"/>
  </si>
  <si>
    <r>
      <t>&lt; IL-1</t>
    </r>
    <r>
      <rPr>
        <b/>
        <sz val="10"/>
        <rFont val="Symbol"/>
        <family val="1"/>
        <charset val="2"/>
      </rPr>
      <t>b</t>
    </r>
    <r>
      <rPr>
        <b/>
        <sz val="10"/>
        <rFont val="Arial"/>
        <family val="2"/>
      </rPr>
      <t xml:space="preserve"> standard &gt;</t>
    </r>
    <phoneticPr fontId="5" type="noConversion"/>
  </si>
  <si>
    <r>
      <t>&lt; IL-1</t>
    </r>
    <r>
      <rPr>
        <b/>
        <sz val="10"/>
        <rFont val="Symbol"/>
        <family val="1"/>
        <charset val="2"/>
      </rPr>
      <t>b</t>
    </r>
    <r>
      <rPr>
        <b/>
        <sz val="10"/>
        <rFont val="Arial"/>
        <family val="2"/>
      </rPr>
      <t xml:space="preserve"> (pg/ml) &gt;</t>
    </r>
    <phoneticPr fontId="5" type="noConversion"/>
  </si>
  <si>
    <t>&lt; survival data - 2 experiments data pooling &gt;-suppl Fig data</t>
    <phoneticPr fontId="4" type="noConversion"/>
  </si>
  <si>
    <r>
      <t>2</t>
    </r>
    <r>
      <rPr>
        <b/>
        <vertAlign val="superscript"/>
        <sz val="10"/>
        <color rgb="FF0000FF"/>
        <rFont val="Arial"/>
        <family val="2"/>
      </rPr>
      <t>-ΔΔCt</t>
    </r>
    <r>
      <rPr>
        <b/>
        <sz val="10"/>
        <color rgb="FF0000FF"/>
        <rFont val="Arial"/>
        <family val="2"/>
      </rPr>
      <t>(liver)</t>
    </r>
    <phoneticPr fontId="5" type="noConversion"/>
  </si>
  <si>
    <r>
      <rPr>
        <b/>
        <sz val="10"/>
        <rFont val="Symbol"/>
        <family val="1"/>
        <charset val="2"/>
      </rPr>
      <t>b</t>
    </r>
    <r>
      <rPr>
        <b/>
        <sz val="10"/>
        <rFont val="Arial"/>
        <family val="2"/>
      </rPr>
      <t>-actin</t>
    </r>
    <phoneticPr fontId="3" type="noConversion"/>
  </si>
  <si>
    <t>(O.D=450nM)</t>
    <phoneticPr fontId="3" type="noConversion"/>
  </si>
  <si>
    <t>&lt; in vitro hCot-CAR T killing assay by Cot-saporin &gt;-suppl Fig data</t>
    <phoneticPr fontId="4" type="noConversion"/>
  </si>
  <si>
    <t>E:T ratio</t>
    <phoneticPr fontId="12" type="noConversion"/>
  </si>
  <si>
    <t>beads count</t>
    <phoneticPr fontId="12" type="noConversion"/>
  </si>
  <si>
    <t>viable A20 cell count</t>
    <phoneticPr fontId="12" type="noConversion"/>
  </si>
  <si>
    <t>viability</t>
    <phoneticPr fontId="12" type="noConversion"/>
  </si>
  <si>
    <t>target</t>
    <phoneticPr fontId="12" type="noConversion"/>
  </si>
  <si>
    <t>A20</t>
    <phoneticPr fontId="12" type="noConversion"/>
  </si>
  <si>
    <t>CAR T</t>
    <phoneticPr fontId="12" type="noConversion"/>
  </si>
  <si>
    <t>0:1</t>
    <phoneticPr fontId="12" type="noConversion"/>
  </si>
  <si>
    <t>adaptor</t>
    <phoneticPr fontId="12" type="noConversion"/>
  </si>
  <si>
    <t>C1C02-Cot (0.1ug/1x10^5)</t>
    <phoneticPr fontId="12" type="noConversion"/>
  </si>
  <si>
    <t>C1C02-Cot (1ug/1x10^5)</t>
    <phoneticPr fontId="12" type="noConversion"/>
  </si>
  <si>
    <t>C1C02-Cot (10ug/1x10^5)</t>
    <phoneticPr fontId="12" type="noConversion"/>
  </si>
  <si>
    <t>beads count : viable A20 cell count=10,000 : x</t>
    <phoneticPr fontId="12" type="noConversion"/>
  </si>
  <si>
    <t>Macrophage</t>
    <phoneticPr fontId="12" type="noConversion"/>
  </si>
  <si>
    <r>
      <t>viable M</t>
    </r>
    <r>
      <rPr>
        <b/>
        <sz val="10"/>
        <color theme="1"/>
        <rFont val="Symbol"/>
        <family val="1"/>
        <charset val="2"/>
      </rPr>
      <t>j</t>
    </r>
    <r>
      <rPr>
        <b/>
        <sz val="10"/>
        <color theme="1"/>
        <rFont val="Arial"/>
        <family val="2"/>
      </rPr>
      <t xml:space="preserve"> cell count</t>
    </r>
    <phoneticPr fontId="12" type="noConversion"/>
  </si>
  <si>
    <r>
      <t>viable M</t>
    </r>
    <r>
      <rPr>
        <b/>
        <sz val="10"/>
        <color theme="1"/>
        <rFont val="Symbol"/>
        <family val="1"/>
        <charset val="2"/>
      </rPr>
      <t>j</t>
    </r>
    <r>
      <rPr>
        <b/>
        <sz val="10"/>
        <color theme="1"/>
        <rFont val="Arial"/>
        <family val="2"/>
      </rPr>
      <t xml:space="preserve"> cell count/tube</t>
    </r>
    <phoneticPr fontId="4" type="noConversion"/>
  </si>
  <si>
    <r>
      <t>beads count : viable M</t>
    </r>
    <r>
      <rPr>
        <b/>
        <sz val="10"/>
        <color theme="1"/>
        <rFont val="Symbol"/>
        <family val="1"/>
        <charset val="2"/>
      </rPr>
      <t>j</t>
    </r>
    <r>
      <rPr>
        <b/>
        <sz val="10"/>
        <color theme="1"/>
        <rFont val="Arial"/>
        <family val="2"/>
      </rPr>
      <t xml:space="preserve"> cell count=10,000 : x</t>
    </r>
    <phoneticPr fontId="12" type="noConversion"/>
  </si>
  <si>
    <t>splenic DC</t>
    <phoneticPr fontId="12" type="noConversion"/>
  </si>
  <si>
    <t>splenic DC</t>
  </si>
  <si>
    <t>viable DCcell count</t>
    <phoneticPr fontId="12" type="noConversion"/>
  </si>
  <si>
    <t>viable DC cell count/tube</t>
    <phoneticPr fontId="4" type="noConversion"/>
  </si>
  <si>
    <t>beads count : viable DC cell count=10,000 : x</t>
    <phoneticPr fontId="12" type="noConversion"/>
  </si>
  <si>
    <t>&lt; splenic DC &amp; A20 cytotoxicity assay analysis (6hrs) &gt;-suppl Fig data</t>
    <phoneticPr fontId="4" type="noConversion"/>
  </si>
  <si>
    <t>&lt; macrophage &amp; A20 cytotoxicity assay analysis (6hrs) &gt;-suppl Fig data</t>
    <phoneticPr fontId="4" type="noConversion"/>
  </si>
  <si>
    <t>&lt; IVIS ROI bioluminescence raw data &gt;-suppl Fig data</t>
    <phoneticPr fontId="4" type="noConversion"/>
  </si>
  <si>
    <t>Image Number</t>
  </si>
  <si>
    <t>Image Layer</t>
  </si>
  <si>
    <t>Total Flux [p/s]</t>
  </si>
  <si>
    <t>Avg Radiance [p/s/cm²/sr]</t>
  </si>
  <si>
    <t>Stdev Radiance</t>
  </si>
  <si>
    <t>Min Radiance</t>
  </si>
  <si>
    <t>Max Radiance</t>
  </si>
  <si>
    <t>PKI20240424112918_001</t>
  </si>
  <si>
    <t>Overlay</t>
  </si>
  <si>
    <t>PKI20240424113429_001</t>
  </si>
  <si>
    <t xml:space="preserve">CD40-deleted A20 </t>
    <phoneticPr fontId="4" type="noConversion"/>
  </si>
  <si>
    <t>#231</t>
    <phoneticPr fontId="4" type="noConversion"/>
  </si>
  <si>
    <t>#232</t>
  </si>
  <si>
    <t>#233</t>
  </si>
  <si>
    <t>#234</t>
  </si>
  <si>
    <t>#235</t>
  </si>
  <si>
    <t>#237</t>
  </si>
  <si>
    <t>#238</t>
  </si>
  <si>
    <t>#239</t>
  </si>
  <si>
    <t>#240</t>
  </si>
  <si>
    <t>&lt; raw data (day27) &gt;</t>
    <phoneticPr fontId="3" type="noConversion"/>
  </si>
  <si>
    <t>&lt; raw data (day35) &gt;</t>
    <phoneticPr fontId="3" type="noConversion"/>
  </si>
  <si>
    <t>&lt; raw data (day41) &gt;</t>
    <phoneticPr fontId="3" type="noConversion"/>
  </si>
  <si>
    <t>PKI20240430155605_001</t>
  </si>
  <si>
    <t>PKI20240430160216_001</t>
  </si>
  <si>
    <t>PKI20240508111003_001</t>
  </si>
  <si>
    <t>PKI20240508111516_001</t>
  </si>
  <si>
    <t>PKI20240514155351_001</t>
  </si>
  <si>
    <t>PKI20240514155856_001</t>
  </si>
  <si>
    <t>t=0.4329 df=7</t>
  </si>
  <si>
    <t>94450 ?83810 N=5</t>
  </si>
  <si>
    <t>51160 ?35450 N=4</t>
  </si>
  <si>
    <t>43290 ?100000＀</t>
  </si>
  <si>
    <t>-193200 to 279800</t>
  </si>
  <si>
    <t>6.987, 4, 3</t>
  </si>
  <si>
    <t>day21</t>
    <phoneticPr fontId="3" type="noConversion"/>
  </si>
  <si>
    <t xml:space="preserve">CD40-deleted A20 </t>
    <phoneticPr fontId="3" type="noConversion"/>
  </si>
  <si>
    <r>
      <t>CD40-deleted A20</t>
    </r>
    <r>
      <rPr>
        <b/>
        <sz val="10"/>
        <color rgb="FF0000FF"/>
        <rFont val="Arial"/>
        <family val="2"/>
      </rPr>
      <t>+Cot CAR-T</t>
    </r>
    <r>
      <rPr>
        <b/>
        <sz val="10"/>
        <color rgb="FFC00000"/>
        <rFont val="Arial"/>
        <family val="2"/>
      </rPr>
      <t xml:space="preserve">+C1C02-Cot </t>
    </r>
    <phoneticPr fontId="3" type="noConversion"/>
  </si>
  <si>
    <t>t=0.6139 df=7</t>
  </si>
  <si>
    <t>255900 ?122900 N=5_x0001_</t>
  </si>
  <si>
    <t>454800 ?333000 N=4_x000F_</t>
  </si>
  <si>
    <t>-198900 ?324000r</t>
  </si>
  <si>
    <t>-965100 to 567300</t>
  </si>
  <si>
    <t>5.876, 3, 4</t>
  </si>
  <si>
    <t>day27</t>
    <phoneticPr fontId="3" type="noConversion"/>
  </si>
  <si>
    <t>t=0.3952 df=7</t>
  </si>
  <si>
    <t>971000 ?570800 N=5_x000F_</t>
  </si>
  <si>
    <t>1407000 ?1016000 N=4餀</t>
  </si>
  <si>
    <t>-435500 ?1102000</t>
  </si>
  <si>
    <t>-3042000 to 2171000</t>
  </si>
  <si>
    <t>2.532, 3, 4</t>
  </si>
  <si>
    <t>day35</t>
    <phoneticPr fontId="3" type="noConversion"/>
  </si>
  <si>
    <t>t=0.8652 df=7</t>
  </si>
  <si>
    <t>4755000 ?2529000 N=5</t>
  </si>
  <si>
    <t>2109000 ?1212000 N=4餀</t>
  </si>
  <si>
    <t>2646000 ?3059000y</t>
  </si>
  <si>
    <t>-4588000 to 9880000</t>
  </si>
  <si>
    <t>5.443, 4, 3</t>
  </si>
  <si>
    <t>day41</t>
    <phoneticPr fontId="3" type="noConversion"/>
  </si>
  <si>
    <t>&lt; in vitro mCot-CAR T killing assay by Cot-drug conjugates &gt;-suppl Fig data</t>
    <phoneticPr fontId="4" type="noConversion"/>
  </si>
  <si>
    <t>Cot-duocarmycin</t>
    <phoneticPr fontId="4" type="noConversion"/>
  </si>
  <si>
    <t>mCot CAR-T</t>
    <phoneticPr fontId="4" type="noConversion"/>
  </si>
  <si>
    <t>mControl T</t>
    <phoneticPr fontId="4" type="noConversion"/>
  </si>
  <si>
    <r>
      <t>2</t>
    </r>
    <r>
      <rPr>
        <b/>
        <sz val="10"/>
        <color rgb="FF00B050"/>
        <rFont val="Symbol"/>
        <family val="1"/>
        <charset val="2"/>
      </rPr>
      <t>´</t>
    </r>
    <r>
      <rPr>
        <b/>
        <sz val="10"/>
        <color rgb="FF00B050"/>
        <rFont val="Arial"/>
        <family val="2"/>
      </rPr>
      <t>Cot-4</t>
    </r>
    <r>
      <rPr>
        <b/>
        <sz val="10"/>
        <color rgb="FF00B050"/>
        <rFont val="Symbol"/>
        <family val="1"/>
        <charset val="2"/>
      </rPr>
      <t>´</t>
    </r>
    <r>
      <rPr>
        <b/>
        <sz val="10"/>
        <color rgb="FF00B050"/>
        <rFont val="Arial"/>
        <family val="2"/>
      </rPr>
      <t>duocarmycin</t>
    </r>
    <phoneticPr fontId="4" type="noConversion"/>
  </si>
  <si>
    <r>
      <t>2</t>
    </r>
    <r>
      <rPr>
        <b/>
        <sz val="10"/>
        <color rgb="FF00B050"/>
        <rFont val="Symbol"/>
        <family val="1"/>
        <charset val="2"/>
      </rPr>
      <t>´</t>
    </r>
    <r>
      <rPr>
        <b/>
        <sz val="10"/>
        <color rgb="FF00B050"/>
        <rFont val="Arial"/>
        <family val="2"/>
      </rPr>
      <t>Cot-4</t>
    </r>
    <r>
      <rPr>
        <b/>
        <sz val="10"/>
        <color rgb="FF00B050"/>
        <rFont val="Symbol"/>
        <family val="1"/>
        <charset val="2"/>
      </rPr>
      <t>´</t>
    </r>
    <r>
      <rPr>
        <b/>
        <sz val="10"/>
        <color rgb="FF00B050"/>
        <rFont val="Arial"/>
        <family val="2"/>
      </rPr>
      <t>DM1</t>
    </r>
    <phoneticPr fontId="4" type="noConversion"/>
  </si>
  <si>
    <t>0</t>
  </si>
  <si>
    <t>0.1</t>
  </si>
  <si>
    <t>1</t>
  </si>
  <si>
    <t>10</t>
  </si>
  <si>
    <t>100</t>
  </si>
  <si>
    <t>1000</t>
  </si>
  <si>
    <t>LD50=137.40nM</t>
    <phoneticPr fontId="4" type="noConversion"/>
  </si>
  <si>
    <t>LD50=7.03nM</t>
    <phoneticPr fontId="4" type="noConversion"/>
  </si>
  <si>
    <t>LD50=13.61nM</t>
    <phoneticPr fontId="4" type="noConversion"/>
  </si>
  <si>
    <t>LD50=1.52nM</t>
    <phoneticPr fontId="4" type="noConversion"/>
  </si>
  <si>
    <t>LD50=69.18nM</t>
    <phoneticPr fontId="4" type="noConversion"/>
  </si>
  <si>
    <t>LD50=0.80nM</t>
    <phoneticPr fontId="4" type="noConversion"/>
  </si>
  <si>
    <t>&lt; in vitro hCot-CAR T killing assay by Cot-drug conjugates &gt;-suppl Fig data</t>
    <phoneticPr fontId="4" type="noConversion"/>
  </si>
  <si>
    <t>LD50=212.32nM</t>
    <phoneticPr fontId="4" type="noConversion"/>
  </si>
  <si>
    <t>LD50=6.38nM</t>
    <phoneticPr fontId="4" type="noConversion"/>
  </si>
  <si>
    <t>LD50=44.97nM</t>
    <phoneticPr fontId="4" type="noConversion"/>
  </si>
  <si>
    <t>LD50=1.80nM</t>
    <phoneticPr fontId="4" type="noConversion"/>
  </si>
  <si>
    <r>
      <t>LD50=</t>
    </r>
    <r>
      <rPr>
        <b/>
        <sz val="10"/>
        <color theme="1"/>
        <rFont val="Symbol"/>
        <family val="1"/>
        <charset val="2"/>
      </rPr>
      <t>¥</t>
    </r>
    <phoneticPr fontId="4" type="noConversion"/>
  </si>
  <si>
    <t>LD50=0.05nM</t>
    <phoneticPr fontId="4" type="noConversion"/>
  </si>
  <si>
    <r>
      <t>Total Flux (p/s/cm</t>
    </r>
    <r>
      <rPr>
        <vertAlign val="superscript"/>
        <sz val="10"/>
        <color theme="1"/>
        <rFont val="맑은 고딕"/>
        <family val="3"/>
        <charset val="129"/>
        <scheme val="minor"/>
      </rPr>
      <t>2</t>
    </r>
    <r>
      <rPr>
        <sz val="10"/>
        <color theme="1"/>
        <rFont val="맑은 고딕"/>
        <family val="3"/>
        <charset val="129"/>
        <scheme val="minor"/>
      </rPr>
      <t>/Sr)</t>
    </r>
    <phoneticPr fontId="3" type="noConversion"/>
  </si>
  <si>
    <r>
      <t>A20</t>
    </r>
    <r>
      <rPr>
        <b/>
        <sz val="10"/>
        <color rgb="FFC00000"/>
        <rFont val="맑은 고딕"/>
        <family val="3"/>
        <charset val="129"/>
        <scheme val="minor"/>
      </rPr>
      <t xml:space="preserve">+C1C02-Cot </t>
    </r>
    <phoneticPr fontId="4" type="noConversion"/>
  </si>
  <si>
    <r>
      <t>A20</t>
    </r>
    <r>
      <rPr>
        <b/>
        <sz val="10"/>
        <color rgb="FF0000FF"/>
        <rFont val="맑은 고딕"/>
        <family val="3"/>
        <charset val="129"/>
        <scheme val="minor"/>
      </rPr>
      <t>+Cot CAR-T</t>
    </r>
    <phoneticPr fontId="4" type="noConversion"/>
  </si>
  <si>
    <r>
      <t>A20</t>
    </r>
    <r>
      <rPr>
        <b/>
        <sz val="10"/>
        <color rgb="FF0000FF"/>
        <rFont val="맑은 고딕"/>
        <family val="3"/>
        <charset val="129"/>
        <scheme val="minor"/>
      </rPr>
      <t xml:space="preserve">+Cot CAR-T                            </t>
    </r>
    <r>
      <rPr>
        <b/>
        <sz val="10"/>
        <color rgb="FFC00000"/>
        <rFont val="맑은 고딕"/>
        <family val="3"/>
        <charset val="129"/>
        <scheme val="minor"/>
      </rPr>
      <t>+                     C1C02-Cot</t>
    </r>
    <phoneticPr fontId="4" type="noConversion"/>
  </si>
  <si>
    <r>
      <t>Daudi</t>
    </r>
    <r>
      <rPr>
        <b/>
        <sz val="10"/>
        <color rgb="FFC00000"/>
        <rFont val="맑은 고딕"/>
        <family val="3"/>
        <charset val="129"/>
        <scheme val="minor"/>
      </rPr>
      <t xml:space="preserve">+2B1-Cot </t>
    </r>
    <phoneticPr fontId="4" type="noConversion"/>
  </si>
  <si>
    <r>
      <t>Daudi</t>
    </r>
    <r>
      <rPr>
        <b/>
        <sz val="10"/>
        <color rgb="FF0000FF"/>
        <rFont val="맑은 고딕"/>
        <family val="3"/>
        <charset val="129"/>
        <scheme val="minor"/>
      </rPr>
      <t>+hCot CAR-T</t>
    </r>
    <phoneticPr fontId="4" type="noConversion"/>
  </si>
  <si>
    <r>
      <t>Daudi</t>
    </r>
    <r>
      <rPr>
        <b/>
        <sz val="10"/>
        <color rgb="FF0000FF"/>
        <rFont val="맑은 고딕"/>
        <family val="3"/>
        <charset val="129"/>
        <scheme val="minor"/>
      </rPr>
      <t xml:space="preserve">+hCot CAR-T                            </t>
    </r>
    <r>
      <rPr>
        <b/>
        <sz val="10"/>
        <color rgb="FFC00000"/>
        <rFont val="맑은 고딕"/>
        <family val="3"/>
        <charset val="129"/>
        <scheme val="minor"/>
      </rPr>
      <t>+                       2B1-Cot</t>
    </r>
    <phoneticPr fontId="4" type="noConversion"/>
  </si>
  <si>
    <r>
      <t xml:space="preserve">CD40-deleted A20 </t>
    </r>
    <r>
      <rPr>
        <b/>
        <sz val="10"/>
        <color rgb="FF0000FF"/>
        <rFont val="맑은 고딕"/>
        <family val="3"/>
        <charset val="129"/>
        <scheme val="minor"/>
      </rPr>
      <t xml:space="preserve">+Cot CAR-T  </t>
    </r>
    <r>
      <rPr>
        <b/>
        <sz val="10"/>
        <color rgb="FFC00000"/>
        <rFont val="맑은 고딕"/>
        <family val="3"/>
        <charset val="129"/>
        <scheme val="minor"/>
      </rPr>
      <t xml:space="preserve">+C1C02-Cot </t>
    </r>
    <phoneticPr fontId="4" type="noConversion"/>
  </si>
  <si>
    <t>#43</t>
    <phoneticPr fontId="3" type="noConversion"/>
  </si>
  <si>
    <t>t=1.432 df=8</t>
  </si>
  <si>
    <t>68.46 ?14.22 N=5</t>
  </si>
  <si>
    <t>24.63 ?17.20＀</t>
  </si>
  <si>
    <t>-15.03 to 64.29</t>
  </si>
  <si>
    <t>2.159, 4, 4</t>
  </si>
  <si>
    <t>t=3.790 df=8</t>
  </si>
  <si>
    <t>23.20 ?5.415 N=5</t>
  </si>
  <si>
    <t>44.01 ?11.61＀</t>
  </si>
  <si>
    <t>17.23 to 70.79</t>
  </si>
  <si>
    <t>3.598, 4, 4</t>
  </si>
  <si>
    <t>t=4.705 df=8</t>
  </si>
  <si>
    <t>44.52 ?4.708 N=5y</t>
  </si>
  <si>
    <t>17.84 ?3.158 N=5y</t>
  </si>
  <si>
    <t>26.68 ?5.669e</t>
  </si>
  <si>
    <t>13.60 to 39.75</t>
  </si>
  <si>
    <t>2.223, 4, 4</t>
  </si>
  <si>
    <t>43.83 ?9.676 N=5</t>
  </si>
  <si>
    <r>
      <t>&lt;A20</t>
    </r>
    <r>
      <rPr>
        <b/>
        <sz val="10"/>
        <color rgb="FF0000FF"/>
        <rFont val="Arial"/>
        <family val="2"/>
      </rPr>
      <t>+Cot CAR-T</t>
    </r>
    <r>
      <rPr>
        <b/>
        <sz val="10"/>
        <color rgb="FFC00000"/>
        <rFont val="Arial"/>
        <family val="2"/>
      </rPr>
      <t xml:space="preserve">+C1C02-Cot </t>
    </r>
    <r>
      <rPr>
        <b/>
        <sz val="10"/>
        <color theme="1"/>
        <rFont val="Arial"/>
        <family val="2"/>
      </rPr>
      <t>vs A20</t>
    </r>
    <r>
      <rPr>
        <b/>
        <sz val="10"/>
        <color rgb="FF0000FF"/>
        <rFont val="Arial"/>
        <family val="2"/>
      </rPr>
      <t>+Cot CAR-T</t>
    </r>
    <r>
      <rPr>
        <b/>
        <sz val="10"/>
        <color rgb="FFC00000"/>
        <rFont val="Arial"/>
        <family val="2"/>
      </rPr>
      <t>+C1C02-Cot</t>
    </r>
    <r>
      <rPr>
        <b/>
        <sz val="10"/>
        <color rgb="FF00B050"/>
        <rFont val="Arial"/>
        <family val="2"/>
      </rPr>
      <t>+Cot-saporin</t>
    </r>
    <r>
      <rPr>
        <b/>
        <sz val="10"/>
        <color theme="1"/>
        <rFont val="Arial"/>
        <family val="2"/>
      </rPr>
      <t xml:space="preserve">&gt; </t>
    </r>
    <phoneticPr fontId="3" type="noConversion"/>
  </si>
  <si>
    <t>IL-6</t>
    <phoneticPr fontId="3" type="noConversion"/>
  </si>
  <si>
    <t>Data Set-A</t>
  </si>
  <si>
    <t>Data Set-C</t>
  </si>
  <si>
    <t>3.008 to 50.95</t>
  </si>
  <si>
    <t>Data Set-D</t>
  </si>
  <si>
    <t>5.411 to 81.00</t>
  </si>
  <si>
    <t>#646</t>
    <phoneticPr fontId="4" type="noConversion"/>
  </si>
  <si>
    <t>#651</t>
    <phoneticPr fontId="4" type="noConversion"/>
  </si>
  <si>
    <t>#989</t>
    <phoneticPr fontId="4" type="noConversion"/>
  </si>
  <si>
    <t>#662</t>
  </si>
  <si>
    <t>#663</t>
  </si>
  <si>
    <t>#664</t>
  </si>
  <si>
    <t>#665</t>
  </si>
  <si>
    <t xml:space="preserve">EL4-mCD40        </t>
    <phoneticPr fontId="4" type="noConversion"/>
  </si>
  <si>
    <r>
      <t xml:space="preserve">EL4-mCD40                     </t>
    </r>
    <r>
      <rPr>
        <b/>
        <sz val="10"/>
        <color rgb="FF0000FF"/>
        <rFont val="맑은 고딕"/>
        <family val="3"/>
        <charset val="129"/>
        <scheme val="minor"/>
      </rPr>
      <t xml:space="preserve">+                                           Cot-Rm28Z T   </t>
    </r>
    <r>
      <rPr>
        <b/>
        <sz val="10"/>
        <color theme="1"/>
        <rFont val="맑은 고딕"/>
        <family val="3"/>
        <charset val="129"/>
        <scheme val="minor"/>
      </rPr>
      <t xml:space="preserve">         </t>
    </r>
    <phoneticPr fontId="4" type="noConversion"/>
  </si>
  <si>
    <r>
      <t xml:space="preserve">EL4-mCD40                     </t>
    </r>
    <r>
      <rPr>
        <b/>
        <sz val="10"/>
        <color rgb="FF0000FF"/>
        <rFont val="맑은 고딕"/>
        <family val="3"/>
        <charset val="129"/>
        <scheme val="minor"/>
      </rPr>
      <t xml:space="preserve">+                                           Cot-Rm28Z T                              </t>
    </r>
    <r>
      <rPr>
        <b/>
        <sz val="10"/>
        <color rgb="FFC00000"/>
        <rFont val="맑은 고딕"/>
        <family val="3"/>
        <charset val="129"/>
        <scheme val="minor"/>
      </rPr>
      <t xml:space="preserve">+                                          C1C02-Cot     </t>
    </r>
    <r>
      <rPr>
        <b/>
        <sz val="10"/>
        <color theme="9" tint="-0.499984740745262"/>
        <rFont val="맑은 고딕"/>
        <family val="3"/>
        <charset val="129"/>
        <scheme val="minor"/>
      </rPr>
      <t xml:space="preserve">   </t>
    </r>
    <r>
      <rPr>
        <b/>
        <sz val="10"/>
        <color theme="9" tint="-0.249977111117893"/>
        <rFont val="맑은 고딕"/>
        <family val="3"/>
        <charset val="129"/>
        <scheme val="minor"/>
      </rPr>
      <t xml:space="preserve">      </t>
    </r>
    <phoneticPr fontId="4" type="noConversion"/>
  </si>
  <si>
    <t>day 7</t>
    <phoneticPr fontId="4" type="noConversion"/>
  </si>
  <si>
    <t>day 10</t>
    <phoneticPr fontId="4" type="noConversion"/>
  </si>
  <si>
    <t>day 14</t>
    <phoneticPr fontId="4" type="noConversion"/>
  </si>
  <si>
    <t>day 17</t>
    <phoneticPr fontId="4" type="noConversion"/>
  </si>
  <si>
    <t>PKI20240527102646_001</t>
  </si>
  <si>
    <t>PKI20240527103731_001</t>
  </si>
  <si>
    <t>PKI20240527104546_001</t>
  </si>
  <si>
    <t>PKI20240603171117_001</t>
  </si>
  <si>
    <t>&lt; raw data (day13) &gt;</t>
    <phoneticPr fontId="3" type="noConversion"/>
  </si>
  <si>
    <t>&lt; raw data (day20) &gt;</t>
    <phoneticPr fontId="3" type="noConversion"/>
  </si>
  <si>
    <t>PKI20240603172134_001</t>
  </si>
  <si>
    <t>PKI20240603172644_001</t>
  </si>
  <si>
    <t>PKI20240610103540_001</t>
  </si>
  <si>
    <t>PKI20240610104600_001</t>
  </si>
  <si>
    <t>PKI20240610105115_001</t>
  </si>
  <si>
    <t>Column A vs Column C</t>
    <phoneticPr fontId="3" type="noConversion"/>
  </si>
  <si>
    <t>Column B vs Column C</t>
    <phoneticPr fontId="3" type="noConversion"/>
  </si>
  <si>
    <t>day20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</si>
</sst>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_ "/>
    <numFmt numFmtId="177" formatCode="0.00_ "/>
    <numFmt numFmtId="178" formatCode="0.00_);[Red]\(0.00\)"/>
    <numFmt numFmtId="179" formatCode="0_);[Red]\(0\)"/>
    <numFmt numFmtId="180" formatCode="###0.00;\-###0.00"/>
    <numFmt numFmtId="181" formatCode="###0.000;\-###0.000"/>
    <numFmt numFmtId="182" formatCode="###0.00000;\-###0.00000"/>
    <numFmt numFmtId="183" formatCode="###0.0;\-###0.0"/>
    <numFmt numFmtId="184" formatCode="0.00000_);[Red]\(0.00000\)"/>
    <numFmt numFmtId="185" formatCode="0.00000_ ;[Red]\-0.00000\ "/>
  </numFmts>
  <fonts count="51" x14ac:knownFonts="1">
    <font>
      <sz val="11"/>
      <color theme="1"/>
      <name val="맑은 고딕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sz val="10"/>
      <color rgb="FFC00000"/>
      <name val="Arial"/>
      <family val="2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indexed="8"/>
      <name val="Arial"/>
      <family val="2"/>
    </font>
    <font>
      <b/>
      <sz val="10"/>
      <color rgb="FF00B050"/>
      <name val="Arial"/>
      <family val="2"/>
    </font>
    <font>
      <b/>
      <sz val="10"/>
      <color rgb="FF00B0F0"/>
      <name val="Arial"/>
      <family val="2"/>
    </font>
    <font>
      <b/>
      <sz val="10"/>
      <color rgb="FF6600FF"/>
      <name val="Arial"/>
      <family val="2"/>
    </font>
    <font>
      <b/>
      <sz val="10"/>
      <color rgb="FF008000"/>
      <name val="Arial"/>
      <family val="2"/>
    </font>
    <font>
      <sz val="11"/>
      <color rgb="FFFF0000"/>
      <name val="Arial"/>
      <family val="2"/>
    </font>
    <font>
      <sz val="11"/>
      <color indexed="8"/>
      <name val="Arial"/>
      <family val="2"/>
    </font>
    <font>
      <sz val="10"/>
      <color rgb="FF00B050"/>
      <name val="Arial"/>
      <family val="2"/>
    </font>
    <font>
      <sz val="8.25"/>
      <name val="Microsoft Sans Serif"/>
      <family val="2"/>
    </font>
    <font>
      <b/>
      <sz val="10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0"/>
      <color rgb="FFFF9933"/>
      <name val="Arial"/>
      <family val="2"/>
    </font>
    <font>
      <b/>
      <sz val="10"/>
      <color indexed="12"/>
      <name val="Arial"/>
      <family val="2"/>
    </font>
    <font>
      <sz val="10"/>
      <color theme="1"/>
      <name val="맑은 고딕"/>
      <family val="2"/>
      <scheme val="minor"/>
    </font>
    <font>
      <b/>
      <sz val="10"/>
      <name val="Symbol"/>
      <family val="1"/>
      <charset val="2"/>
    </font>
    <font>
      <b/>
      <vertAlign val="superscript"/>
      <sz val="10"/>
      <color rgb="FF0000FF"/>
      <name val="Arial"/>
      <family val="2"/>
    </font>
    <font>
      <b/>
      <sz val="10"/>
      <name val="Arial"/>
      <family val="1"/>
      <charset val="2"/>
    </font>
    <font>
      <b/>
      <sz val="10"/>
      <color rgb="FF00B05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color theme="0" tint="-0.34998626667073579"/>
      <name val="Arial"/>
      <family val="2"/>
    </font>
    <font>
      <b/>
      <sz val="10"/>
      <color rgb="FFFF00FF"/>
      <name val="Arial"/>
      <family val="2"/>
    </font>
    <font>
      <b/>
      <sz val="10"/>
      <color theme="1"/>
      <name val="Symbol"/>
      <family val="1"/>
      <charset val="2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B050"/>
      <name val="Symbol"/>
      <family val="1"/>
      <charset val="2"/>
    </font>
    <font>
      <vertAlign val="superscript"/>
      <sz val="10"/>
      <color theme="1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0"/>
      <color rgb="FFC00000"/>
      <name val="맑은 고딕"/>
      <family val="3"/>
      <charset val="129"/>
      <scheme val="minor"/>
    </font>
    <font>
      <b/>
      <sz val="10"/>
      <color theme="9" tint="-0.499984740745262"/>
      <name val="맑은 고딕"/>
      <family val="3"/>
      <charset val="129"/>
      <scheme val="minor"/>
    </font>
    <font>
      <b/>
      <sz val="10"/>
      <color theme="9" tint="-0.249977111117893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3DCE9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9" fillId="0" borderId="0">
      <alignment vertical="top"/>
      <protection locked="0"/>
    </xf>
  </cellStyleXfs>
  <cellXfs count="40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76" fontId="17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0" xfId="0" applyFont="1"/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7" fontId="1" fillId="8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8" fontId="1" fillId="0" borderId="11" xfId="0" applyNumberFormat="1" applyFont="1" applyBorder="1" applyAlignment="1">
      <alignment horizontal="center"/>
    </xf>
    <xf numFmtId="177" fontId="1" fillId="5" borderId="1" xfId="0" applyNumberFormat="1" applyFont="1" applyFill="1" applyBorder="1" applyAlignment="1">
      <alignment horizontal="center" vertical="center"/>
    </xf>
    <xf numFmtId="178" fontId="1" fillId="5" borderId="11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177" fontId="2" fillId="3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/>
    </xf>
    <xf numFmtId="177" fontId="15" fillId="0" borderId="1" xfId="0" applyNumberFormat="1" applyFont="1" applyBorder="1" applyAlignment="1">
      <alignment vertical="center"/>
    </xf>
    <xf numFmtId="177" fontId="15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77" fontId="2" fillId="8" borderId="10" xfId="0" applyNumberFormat="1" applyFont="1" applyFill="1" applyBorder="1" applyAlignment="1">
      <alignment horizontal="center" vertical="center"/>
    </xf>
    <xf numFmtId="178" fontId="2" fillId="0" borderId="12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center"/>
    </xf>
    <xf numFmtId="177" fontId="2" fillId="5" borderId="1" xfId="0" applyNumberFormat="1" applyFont="1" applyFill="1" applyBorder="1" applyAlignment="1">
      <alignment horizontal="center" vertical="center"/>
    </xf>
    <xf numFmtId="177" fontId="15" fillId="5" borderId="1" xfId="0" applyNumberFormat="1" applyFont="1" applyFill="1" applyBorder="1" applyAlignment="1">
      <alignment horizontal="left" vertical="center"/>
    </xf>
    <xf numFmtId="178" fontId="2" fillId="5" borderId="11" xfId="0" applyNumberFormat="1" applyFont="1" applyFill="1" applyBorder="1" applyAlignment="1">
      <alignment horizontal="center"/>
    </xf>
    <xf numFmtId="177" fontId="15" fillId="5" borderId="8" xfId="0" applyNumberFormat="1" applyFont="1" applyFill="1" applyBorder="1" applyAlignment="1">
      <alignment horizontal="left" vertical="center"/>
    </xf>
    <xf numFmtId="178" fontId="2" fillId="5" borderId="12" xfId="0" applyNumberFormat="1" applyFont="1" applyFill="1" applyBorder="1" applyAlignment="1">
      <alignment horizontal="center"/>
    </xf>
    <xf numFmtId="178" fontId="15" fillId="5" borderId="12" xfId="0" applyNumberFormat="1" applyFont="1" applyFill="1" applyBorder="1" applyAlignment="1">
      <alignment horizontal="left"/>
    </xf>
    <xf numFmtId="178" fontId="15" fillId="5" borderId="11" xfId="0" applyNumberFormat="1" applyFont="1" applyFill="1" applyBorder="1" applyAlignment="1">
      <alignment horizontal="left"/>
    </xf>
    <xf numFmtId="177" fontId="2" fillId="8" borderId="1" xfId="0" applyNumberFormat="1" applyFont="1" applyFill="1" applyBorder="1" applyAlignment="1">
      <alignment horizontal="center" vertical="center"/>
    </xf>
    <xf numFmtId="178" fontId="2" fillId="5" borderId="1" xfId="0" applyNumberFormat="1" applyFont="1" applyFill="1" applyBorder="1" applyAlignment="1">
      <alignment horizontal="center"/>
    </xf>
    <xf numFmtId="178" fontId="15" fillId="5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77" fontId="2" fillId="5" borderId="8" xfId="0" applyNumberFormat="1" applyFont="1" applyFill="1" applyBorder="1" applyAlignment="1">
      <alignment horizontal="center" vertical="center"/>
    </xf>
    <xf numFmtId="177" fontId="15" fillId="5" borderId="1" xfId="0" applyNumberFormat="1" applyFont="1" applyFill="1" applyBorder="1" applyAlignment="1">
      <alignment vertical="center"/>
    </xf>
    <xf numFmtId="178" fontId="15" fillId="5" borderId="12" xfId="0" applyNumberFormat="1" applyFont="1" applyFill="1" applyBorder="1"/>
    <xf numFmtId="178" fontId="15" fillId="5" borderId="11" xfId="0" applyNumberFormat="1" applyFont="1" applyFill="1" applyBorder="1"/>
    <xf numFmtId="178" fontId="15" fillId="5" borderId="12" xfId="0" applyNumberFormat="1" applyFont="1" applyFill="1" applyBorder="1" applyAlignment="1">
      <alignment horizontal="center"/>
    </xf>
    <xf numFmtId="178" fontId="15" fillId="5" borderId="11" xfId="0" applyNumberFormat="1" applyFont="1" applyFill="1" applyBorder="1" applyAlignment="1">
      <alignment horizontal="center"/>
    </xf>
    <xf numFmtId="177" fontId="2" fillId="3" borderId="10" xfId="0" applyNumberFormat="1" applyFont="1" applyFill="1" applyBorder="1" applyAlignment="1">
      <alignment horizontal="center" vertical="center"/>
    </xf>
    <xf numFmtId="178" fontId="2" fillId="0" borderId="10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177" fontId="2" fillId="5" borderId="1" xfId="0" applyNumberFormat="1" applyFont="1" applyFill="1" applyBorder="1" applyAlignment="1">
      <alignment horizontal="left" vertical="center"/>
    </xf>
    <xf numFmtId="177" fontId="2" fillId="8" borderId="4" xfId="0" applyNumberFormat="1" applyFont="1" applyFill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178" fontId="2" fillId="0" borderId="5" xfId="0" applyNumberFormat="1" applyFont="1" applyBorder="1" applyAlignment="1">
      <alignment horizontal="center"/>
    </xf>
    <xf numFmtId="0" fontId="17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11" fontId="17" fillId="0" borderId="0" xfId="0" applyNumberFormat="1" applyFont="1" applyAlignment="1">
      <alignment vertical="center"/>
    </xf>
    <xf numFmtId="178" fontId="2" fillId="5" borderId="10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8" fillId="0" borderId="0" xfId="1" applyFont="1" applyAlignment="1" applyProtection="1">
      <alignment vertical="center"/>
    </xf>
    <xf numFmtId="49" fontId="18" fillId="0" borderId="0" xfId="1" applyNumberFormat="1" applyFont="1" applyAlignment="1" applyProtection="1">
      <alignment vertical="center"/>
    </xf>
    <xf numFmtId="180" fontId="18" fillId="0" borderId="0" xfId="1" applyNumberFormat="1" applyFont="1" applyAlignment="1" applyProtection="1">
      <alignment vertical="center"/>
    </xf>
    <xf numFmtId="181" fontId="18" fillId="0" borderId="0" xfId="1" applyNumberFormat="1" applyFont="1" applyAlignment="1" applyProtection="1">
      <alignment vertical="center"/>
    </xf>
    <xf numFmtId="182" fontId="18" fillId="0" borderId="0" xfId="1" applyNumberFormat="1" applyFont="1" applyAlignment="1" applyProtection="1">
      <alignment vertical="center"/>
    </xf>
    <xf numFmtId="183" fontId="18" fillId="0" borderId="0" xfId="1" applyNumberFormat="1" applyFont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178" fontId="2" fillId="3" borderId="1" xfId="0" applyNumberFormat="1" applyFont="1" applyFill="1" applyBorder="1" applyAlignment="1">
      <alignment horizontal="center" vertical="center"/>
    </xf>
    <xf numFmtId="178" fontId="2" fillId="8" borderId="1" xfId="0" applyNumberFormat="1" applyFont="1" applyFill="1" applyBorder="1" applyAlignment="1">
      <alignment horizontal="center" vertical="center"/>
    </xf>
    <xf numFmtId="178" fontId="2" fillId="12" borderId="11" xfId="0" applyNumberFormat="1" applyFont="1" applyFill="1" applyBorder="1" applyAlignment="1">
      <alignment horizontal="center"/>
    </xf>
    <xf numFmtId="177" fontId="15" fillId="12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/>
    </xf>
    <xf numFmtId="178" fontId="7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5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9" fontId="2" fillId="0" borderId="13" xfId="0" applyNumberFormat="1" applyFont="1" applyBorder="1" applyAlignment="1">
      <alignment vertical="center"/>
    </xf>
    <xf numFmtId="0" fontId="32" fillId="0" borderId="6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9" fontId="2" fillId="0" borderId="14" xfId="0" applyNumberFormat="1" applyFont="1" applyBorder="1" applyAlignment="1">
      <alignment vertical="center"/>
    </xf>
    <xf numFmtId="49" fontId="2" fillId="11" borderId="9" xfId="0" applyNumberFormat="1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11" borderId="6" xfId="0" applyFont="1" applyFill="1" applyBorder="1" applyAlignment="1">
      <alignment vertical="center"/>
    </xf>
    <xf numFmtId="176" fontId="2" fillId="11" borderId="9" xfId="0" applyNumberFormat="1" applyFont="1" applyFill="1" applyBorder="1" applyAlignment="1">
      <alignment vertical="center"/>
    </xf>
    <xf numFmtId="176" fontId="2" fillId="11" borderId="14" xfId="0" applyNumberFormat="1" applyFont="1" applyFill="1" applyBorder="1" applyAlignment="1">
      <alignment vertical="center"/>
    </xf>
    <xf numFmtId="179" fontId="2" fillId="11" borderId="14" xfId="0" applyNumberFormat="1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33" fillId="2" borderId="0" xfId="0" applyFont="1" applyFill="1"/>
    <xf numFmtId="0" fontId="2" fillId="2" borderId="0" xfId="0" applyFont="1" applyFill="1"/>
    <xf numFmtId="0" fontId="2" fillId="10" borderId="0" xfId="0" applyFont="1" applyFill="1"/>
    <xf numFmtId="0" fontId="11" fillId="0" borderId="6" xfId="0" applyFont="1" applyBorder="1" applyAlignment="1">
      <alignment horizontal="center" vertical="center"/>
    </xf>
    <xf numFmtId="0" fontId="33" fillId="0" borderId="0" xfId="0" applyFont="1"/>
    <xf numFmtId="0" fontId="7" fillId="0" borderId="5" xfId="0" applyFont="1" applyBorder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9" fontId="2" fillId="0" borderId="15" xfId="0" applyNumberFormat="1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9" fontId="2" fillId="11" borderId="6" xfId="0" applyNumberFormat="1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vertical="center"/>
    </xf>
    <xf numFmtId="0" fontId="2" fillId="11" borderId="14" xfId="0" applyFont="1" applyFill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9" fontId="2" fillId="12" borderId="6" xfId="0" applyNumberFormat="1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vertical="center"/>
    </xf>
    <xf numFmtId="176" fontId="2" fillId="12" borderId="9" xfId="0" applyNumberFormat="1" applyFont="1" applyFill="1" applyBorder="1" applyAlignment="1">
      <alignment vertical="center"/>
    </xf>
    <xf numFmtId="176" fontId="2" fillId="12" borderId="14" xfId="0" applyNumberFormat="1" applyFont="1" applyFill="1" applyBorder="1" applyAlignment="1">
      <alignment vertical="center"/>
    </xf>
    <xf numFmtId="0" fontId="2" fillId="12" borderId="14" xfId="0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left" vertical="center"/>
    </xf>
    <xf numFmtId="0" fontId="34" fillId="0" borderId="1" xfId="0" applyFont="1" applyBorder="1"/>
    <xf numFmtId="0" fontId="15" fillId="0" borderId="9" xfId="0" applyFont="1" applyBorder="1" applyAlignment="1">
      <alignment horizontal="center"/>
    </xf>
    <xf numFmtId="0" fontId="1" fillId="0" borderId="0" xfId="1" applyFont="1" applyAlignment="1">
      <alignment horizontal="center" vertical="center"/>
      <protection locked="0"/>
    </xf>
    <xf numFmtId="0" fontId="1" fillId="13" borderId="10" xfId="1" applyFont="1" applyFill="1" applyBorder="1" applyAlignment="1">
      <alignment horizontal="center" vertical="center" wrapText="1"/>
      <protection locked="0"/>
    </xf>
    <xf numFmtId="0" fontId="1" fillId="13" borderId="12" xfId="1" applyFont="1" applyFill="1" applyBorder="1" applyAlignment="1">
      <alignment horizontal="center" vertical="center" wrapText="1"/>
      <protection locked="0"/>
    </xf>
    <xf numFmtId="0" fontId="1" fillId="13" borderId="11" xfId="1" applyFont="1" applyFill="1" applyBorder="1" applyAlignment="1">
      <alignment horizontal="center" vertical="center" wrapText="1"/>
      <protection locked="0"/>
    </xf>
    <xf numFmtId="0" fontId="1" fillId="13" borderId="0" xfId="1" applyFont="1" applyFill="1" applyAlignment="1">
      <alignment horizontal="center" vertical="center" wrapText="1"/>
      <protection locked="0"/>
    </xf>
    <xf numFmtId="0" fontId="1" fillId="13" borderId="0" xfId="1" applyFont="1" applyFill="1" applyAlignment="1">
      <alignment horizontal="center" vertical="center"/>
      <protection locked="0"/>
    </xf>
    <xf numFmtId="0" fontId="1" fillId="0" borderId="0" xfId="1" applyFont="1" applyAlignment="1" applyProtection="1">
      <alignment vertical="center"/>
    </xf>
    <xf numFmtId="49" fontId="1" fillId="3" borderId="6" xfId="1" applyNumberFormat="1" applyFont="1" applyFill="1" applyBorder="1" applyAlignment="1" applyProtection="1">
      <alignment vertical="center"/>
    </xf>
    <xf numFmtId="49" fontId="1" fillId="3" borderId="0" xfId="1" applyNumberFormat="1" applyFont="1" applyFill="1" applyAlignment="1" applyProtection="1">
      <alignment vertical="center"/>
    </xf>
    <xf numFmtId="180" fontId="1" fillId="3" borderId="0" xfId="1" applyNumberFormat="1" applyFont="1" applyFill="1" applyAlignment="1" applyProtection="1">
      <alignment vertical="center"/>
    </xf>
    <xf numFmtId="181" fontId="1" fillId="3" borderId="14" xfId="1" applyNumberFormat="1" applyFont="1" applyFill="1" applyBorder="1" applyAlignment="1" applyProtection="1">
      <alignment vertical="center"/>
    </xf>
    <xf numFmtId="182" fontId="1" fillId="3" borderId="0" xfId="1" applyNumberFormat="1" applyFont="1" applyFill="1" applyAlignment="1" applyProtection="1">
      <alignment vertical="center"/>
    </xf>
    <xf numFmtId="181" fontId="1" fillId="3" borderId="0" xfId="1" applyNumberFormat="1" applyFont="1" applyFill="1" applyAlignment="1" applyProtection="1">
      <alignment vertical="center"/>
    </xf>
    <xf numFmtId="183" fontId="1" fillId="3" borderId="0" xfId="1" applyNumberFormat="1" applyFont="1" applyFill="1" applyAlignment="1" applyProtection="1">
      <alignment vertical="center"/>
    </xf>
    <xf numFmtId="184" fontId="1" fillId="3" borderId="0" xfId="1" applyNumberFormat="1" applyFont="1" applyFill="1" applyAlignment="1" applyProtection="1">
      <alignment vertical="center"/>
    </xf>
    <xf numFmtId="0" fontId="1" fillId="3" borderId="0" xfId="1" applyFont="1" applyFill="1" applyAlignment="1" applyProtection="1">
      <alignment vertical="center"/>
    </xf>
    <xf numFmtId="49" fontId="1" fillId="3" borderId="4" xfId="1" applyNumberFormat="1" applyFont="1" applyFill="1" applyBorder="1" applyAlignment="1" applyProtection="1">
      <alignment vertical="center"/>
    </xf>
    <xf numFmtId="49" fontId="1" fillId="3" borderId="5" xfId="1" applyNumberFormat="1" applyFont="1" applyFill="1" applyBorder="1" applyAlignment="1" applyProtection="1">
      <alignment vertical="center"/>
    </xf>
    <xf numFmtId="180" fontId="1" fillId="3" borderId="5" xfId="1" applyNumberFormat="1" applyFont="1" applyFill="1" applyBorder="1" applyAlignment="1" applyProtection="1">
      <alignment vertical="center"/>
    </xf>
    <xf numFmtId="181" fontId="1" fillId="3" borderId="15" xfId="1" applyNumberFormat="1" applyFont="1" applyFill="1" applyBorder="1" applyAlignment="1" applyProtection="1">
      <alignment vertical="center"/>
    </xf>
    <xf numFmtId="182" fontId="1" fillId="3" borderId="5" xfId="1" applyNumberFormat="1" applyFont="1" applyFill="1" applyBorder="1" applyAlignment="1" applyProtection="1">
      <alignment vertical="center"/>
    </xf>
    <xf numFmtId="181" fontId="1" fillId="3" borderId="5" xfId="1" applyNumberFormat="1" applyFont="1" applyFill="1" applyBorder="1" applyAlignment="1" applyProtection="1">
      <alignment vertical="center"/>
    </xf>
    <xf numFmtId="183" fontId="1" fillId="3" borderId="5" xfId="1" applyNumberFormat="1" applyFont="1" applyFill="1" applyBorder="1" applyAlignment="1" applyProtection="1">
      <alignment vertical="center"/>
    </xf>
    <xf numFmtId="0" fontId="1" fillId="3" borderId="5" xfId="1" applyFont="1" applyFill="1" applyBorder="1" applyAlignment="1" applyProtection="1">
      <alignment vertical="center"/>
    </xf>
    <xf numFmtId="49" fontId="1" fillId="14" borderId="6" xfId="1" applyNumberFormat="1" applyFont="1" applyFill="1" applyBorder="1" applyAlignment="1" applyProtection="1">
      <alignment vertical="center"/>
    </xf>
    <xf numFmtId="49" fontId="1" fillId="14" borderId="0" xfId="1" applyNumberFormat="1" applyFont="1" applyFill="1" applyAlignment="1" applyProtection="1">
      <alignment vertical="center"/>
    </xf>
    <xf numFmtId="180" fontId="1" fillId="14" borderId="0" xfId="1" applyNumberFormat="1" applyFont="1" applyFill="1" applyAlignment="1" applyProtection="1">
      <alignment vertical="center"/>
    </xf>
    <xf numFmtId="181" fontId="1" fillId="14" borderId="14" xfId="1" applyNumberFormat="1" applyFont="1" applyFill="1" applyBorder="1" applyAlignment="1" applyProtection="1">
      <alignment vertical="center"/>
    </xf>
    <xf numFmtId="182" fontId="1" fillId="14" borderId="0" xfId="1" applyNumberFormat="1" applyFont="1" applyFill="1" applyAlignment="1" applyProtection="1">
      <alignment vertical="center"/>
    </xf>
    <xf numFmtId="181" fontId="1" fillId="14" borderId="0" xfId="1" applyNumberFormat="1" applyFont="1" applyFill="1" applyAlignment="1" applyProtection="1">
      <alignment vertical="center"/>
    </xf>
    <xf numFmtId="183" fontId="1" fillId="14" borderId="0" xfId="1" applyNumberFormat="1" applyFont="1" applyFill="1" applyAlignment="1" applyProtection="1">
      <alignment vertical="center"/>
    </xf>
    <xf numFmtId="0" fontId="1" fillId="14" borderId="0" xfId="1" applyFont="1" applyFill="1" applyAlignment="1" applyProtection="1">
      <alignment vertical="center"/>
    </xf>
    <xf numFmtId="185" fontId="1" fillId="0" borderId="0" xfId="1" applyNumberFormat="1" applyFont="1" applyAlignment="1" applyProtection="1">
      <alignment vertical="center"/>
    </xf>
    <xf numFmtId="185" fontId="1" fillId="15" borderId="0" xfId="1" applyNumberFormat="1" applyFont="1" applyFill="1" applyAlignment="1" applyProtection="1">
      <alignment vertical="center"/>
    </xf>
    <xf numFmtId="49" fontId="1" fillId="14" borderId="4" xfId="1" applyNumberFormat="1" applyFont="1" applyFill="1" applyBorder="1" applyAlignment="1" applyProtection="1">
      <alignment vertical="center"/>
    </xf>
    <xf numFmtId="49" fontId="1" fillId="14" borderId="5" xfId="1" applyNumberFormat="1" applyFont="1" applyFill="1" applyBorder="1" applyAlignment="1" applyProtection="1">
      <alignment vertical="center"/>
    </xf>
    <xf numFmtId="180" fontId="1" fillId="14" borderId="5" xfId="1" applyNumberFormat="1" applyFont="1" applyFill="1" applyBorder="1" applyAlignment="1" applyProtection="1">
      <alignment vertical="center"/>
    </xf>
    <xf numFmtId="181" fontId="1" fillId="14" borderId="15" xfId="1" applyNumberFormat="1" applyFont="1" applyFill="1" applyBorder="1" applyAlignment="1" applyProtection="1">
      <alignment vertical="center"/>
    </xf>
    <xf numFmtId="49" fontId="1" fillId="0" borderId="0" xfId="1" applyNumberFormat="1" applyFont="1" applyAlignment="1" applyProtection="1">
      <alignment vertical="center"/>
    </xf>
    <xf numFmtId="180" fontId="1" fillId="0" borderId="0" xfId="1" applyNumberFormat="1" applyFont="1" applyAlignment="1" applyProtection="1">
      <alignment vertical="center"/>
    </xf>
    <xf numFmtId="181" fontId="1" fillId="0" borderId="0" xfId="1" applyNumberFormat="1" applyFont="1" applyAlignment="1" applyProtection="1">
      <alignment vertical="center"/>
    </xf>
    <xf numFmtId="182" fontId="1" fillId="0" borderId="0" xfId="1" applyNumberFormat="1" applyFont="1" applyAlignment="1" applyProtection="1">
      <alignment vertical="center"/>
    </xf>
    <xf numFmtId="183" fontId="1" fillId="0" borderId="0" xfId="1" applyNumberFormat="1" applyFont="1" applyAlignment="1" applyProtection="1">
      <alignment vertical="center"/>
    </xf>
    <xf numFmtId="0" fontId="7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vertical="center"/>
    </xf>
    <xf numFmtId="0" fontId="2" fillId="0" borderId="1" xfId="0" applyFont="1" applyBorder="1"/>
    <xf numFmtId="0" fontId="10" fillId="0" borderId="3" xfId="0" applyFont="1" applyBorder="1" applyAlignment="1">
      <alignment horizontal="center" vertical="center"/>
    </xf>
    <xf numFmtId="49" fontId="34" fillId="0" borderId="2" xfId="0" applyNumberFormat="1" applyFont="1" applyBorder="1" applyAlignment="1">
      <alignment horizontal="center" vertical="center"/>
    </xf>
    <xf numFmtId="0" fontId="34" fillId="0" borderId="7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176" fontId="34" fillId="0" borderId="7" xfId="0" applyNumberFormat="1" applyFont="1" applyBorder="1" applyAlignment="1">
      <alignment vertical="center"/>
    </xf>
    <xf numFmtId="176" fontId="34" fillId="0" borderId="3" xfId="0" applyNumberFormat="1" applyFont="1" applyBorder="1" applyAlignment="1">
      <alignment vertical="center"/>
    </xf>
    <xf numFmtId="176" fontId="34" fillId="0" borderId="13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34" fillId="0" borderId="6" xfId="0" applyNumberFormat="1" applyFont="1" applyBorder="1" applyAlignment="1">
      <alignment horizontal="center" vertical="center"/>
    </xf>
    <xf numFmtId="0" fontId="34" fillId="0" borderId="9" xfId="0" applyFont="1" applyBorder="1" applyAlignment="1">
      <alignment vertical="center"/>
    </xf>
    <xf numFmtId="176" fontId="34" fillId="0" borderId="9" xfId="0" applyNumberFormat="1" applyFont="1" applyBorder="1" applyAlignment="1">
      <alignment vertical="center"/>
    </xf>
    <xf numFmtId="176" fontId="34" fillId="0" borderId="0" xfId="0" applyNumberFormat="1" applyFont="1" applyAlignment="1">
      <alignment vertical="center"/>
    </xf>
    <xf numFmtId="176" fontId="34" fillId="0" borderId="14" xfId="0" applyNumberFormat="1" applyFont="1" applyBorder="1" applyAlignment="1">
      <alignment vertical="center"/>
    </xf>
    <xf numFmtId="0" fontId="34" fillId="0" borderId="0" xfId="0" applyFont="1"/>
    <xf numFmtId="0" fontId="38" fillId="0" borderId="0" xfId="0" applyFont="1" applyAlignment="1">
      <alignment vertical="center"/>
    </xf>
    <xf numFmtId="49" fontId="34" fillId="0" borderId="4" xfId="0" applyNumberFormat="1" applyFont="1" applyBorder="1" applyAlignment="1">
      <alignment horizontal="center" vertical="center"/>
    </xf>
    <xf numFmtId="0" fontId="34" fillId="0" borderId="8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176" fontId="34" fillId="0" borderId="8" xfId="0" applyNumberFormat="1" applyFont="1" applyBorder="1" applyAlignment="1">
      <alignment vertical="center"/>
    </xf>
    <xf numFmtId="176" fontId="34" fillId="0" borderId="5" xfId="0" applyNumberFormat="1" applyFont="1" applyBorder="1" applyAlignment="1">
      <alignment vertical="center"/>
    </xf>
    <xf numFmtId="176" fontId="34" fillId="0" borderId="15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1" fontId="34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178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7" fillId="16" borderId="5" xfId="1" applyFont="1" applyFill="1" applyBorder="1" applyAlignment="1" applyProtection="1">
      <alignment horizontal="center" vertical="center"/>
    </xf>
    <xf numFmtId="0" fontId="1" fillId="16" borderId="5" xfId="1" applyFont="1" applyFill="1" applyBorder="1" applyAlignment="1" applyProtection="1">
      <alignment vertical="center"/>
    </xf>
    <xf numFmtId="0" fontId="10" fillId="16" borderId="5" xfId="1" applyFont="1" applyFill="1" applyBorder="1" applyAlignment="1" applyProtection="1">
      <alignment vertical="center"/>
    </xf>
    <xf numFmtId="49" fontId="1" fillId="0" borderId="5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 readingOrder="1"/>
    </xf>
    <xf numFmtId="0" fontId="11" fillId="0" borderId="9" xfId="0" applyFont="1" applyBorder="1" applyAlignment="1">
      <alignment horizontal="center" vertical="center" readingOrder="1"/>
    </xf>
    <xf numFmtId="0" fontId="41" fillId="0" borderId="9" xfId="0" applyFont="1" applyBorder="1" applyAlignment="1">
      <alignment horizontal="center" vertical="center" readingOrder="1"/>
    </xf>
    <xf numFmtId="49" fontId="1" fillId="11" borderId="3" xfId="0" applyNumberFormat="1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vertical="center"/>
    </xf>
    <xf numFmtId="0" fontId="2" fillId="11" borderId="3" xfId="0" applyFont="1" applyFill="1" applyBorder="1" applyAlignment="1">
      <alignment vertical="center"/>
    </xf>
    <xf numFmtId="176" fontId="2" fillId="11" borderId="7" xfId="0" applyNumberFormat="1" applyFont="1" applyFill="1" applyBorder="1" applyAlignment="1">
      <alignment vertical="center"/>
    </xf>
    <xf numFmtId="176" fontId="2" fillId="11" borderId="3" xfId="0" applyNumberFormat="1" applyFont="1" applyFill="1" applyBorder="1" applyAlignment="1">
      <alignment vertical="center"/>
    </xf>
    <xf numFmtId="49" fontId="1" fillId="11" borderId="0" xfId="0" applyNumberFormat="1" applyFont="1" applyFill="1" applyAlignment="1">
      <alignment horizontal="center" vertical="center"/>
    </xf>
    <xf numFmtId="176" fontId="2" fillId="11" borderId="0" xfId="0" applyNumberFormat="1" applyFont="1" applyFill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11" borderId="2" xfId="0" applyNumberFormat="1" applyFont="1" applyFill="1" applyBorder="1" applyAlignment="1">
      <alignment horizontal="center" vertical="center"/>
    </xf>
    <xf numFmtId="49" fontId="1" fillId="11" borderId="6" xfId="0" applyNumberFormat="1" applyFont="1" applyFill="1" applyBorder="1" applyAlignment="1">
      <alignment horizontal="center" vertical="center"/>
    </xf>
    <xf numFmtId="0" fontId="34" fillId="11" borderId="7" xfId="0" applyFont="1" applyFill="1" applyBorder="1" applyAlignment="1">
      <alignment vertical="center"/>
    </xf>
    <xf numFmtId="0" fontId="34" fillId="11" borderId="3" xfId="0" applyFont="1" applyFill="1" applyBorder="1" applyAlignment="1">
      <alignment vertical="center"/>
    </xf>
    <xf numFmtId="176" fontId="34" fillId="11" borderId="7" xfId="0" applyNumberFormat="1" applyFont="1" applyFill="1" applyBorder="1" applyAlignment="1">
      <alignment vertical="center"/>
    </xf>
    <xf numFmtId="176" fontId="34" fillId="11" borderId="13" xfId="0" applyNumberFormat="1" applyFont="1" applyFill="1" applyBorder="1" applyAlignment="1">
      <alignment vertical="center"/>
    </xf>
    <xf numFmtId="0" fontId="34" fillId="11" borderId="9" xfId="0" applyFont="1" applyFill="1" applyBorder="1" applyAlignment="1">
      <alignment vertical="center"/>
    </xf>
    <xf numFmtId="0" fontId="34" fillId="11" borderId="0" xfId="0" applyFont="1" applyFill="1" applyAlignment="1">
      <alignment vertical="center"/>
    </xf>
    <xf numFmtId="176" fontId="34" fillId="11" borderId="9" xfId="0" applyNumberFormat="1" applyFont="1" applyFill="1" applyBorder="1" applyAlignment="1">
      <alignment vertical="center"/>
    </xf>
    <xf numFmtId="176" fontId="34" fillId="11" borderId="14" xfId="0" applyNumberFormat="1" applyFont="1" applyFill="1" applyBorder="1" applyAlignment="1">
      <alignment vertical="center"/>
    </xf>
    <xf numFmtId="22" fontId="13" fillId="0" borderId="0" xfId="0" applyNumberFormat="1" applyFont="1" applyAlignment="1">
      <alignment horizontal="center" vertical="center"/>
    </xf>
    <xf numFmtId="22" fontId="0" fillId="0" borderId="0" xfId="0" applyNumberFormat="1" applyAlignment="1">
      <alignment vertical="center"/>
    </xf>
    <xf numFmtId="22" fontId="13" fillId="0" borderId="0" xfId="0" applyNumberFormat="1" applyFont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76" fontId="2" fillId="5" borderId="3" xfId="0" applyNumberFormat="1" applyFont="1" applyFill="1" applyBorder="1" applyAlignment="1">
      <alignment vertical="center"/>
    </xf>
    <xf numFmtId="176" fontId="2" fillId="15" borderId="13" xfId="0" applyNumberFormat="1" applyFont="1" applyFill="1" applyBorder="1" applyAlignment="1">
      <alignment vertical="center"/>
    </xf>
    <xf numFmtId="176" fontId="2" fillId="5" borderId="0" xfId="0" applyNumberFormat="1" applyFont="1" applyFill="1" applyAlignment="1">
      <alignment vertical="center"/>
    </xf>
    <xf numFmtId="176" fontId="2" fillId="15" borderId="14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76" fontId="2" fillId="5" borderId="5" xfId="0" applyNumberFormat="1" applyFont="1" applyFill="1" applyBorder="1" applyAlignment="1">
      <alignment vertical="center"/>
    </xf>
    <xf numFmtId="176" fontId="2" fillId="15" borderId="15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2" fillId="7" borderId="7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10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1" fontId="44" fillId="0" borderId="1" xfId="0" applyNumberFormat="1" applyFont="1" applyBorder="1" applyAlignment="1">
      <alignment horizontal="center" vertical="center"/>
    </xf>
    <xf numFmtId="22" fontId="44" fillId="0" borderId="1" xfId="0" applyNumberFormat="1" applyFont="1" applyBorder="1" applyAlignment="1">
      <alignment horizontal="center" vertical="center"/>
    </xf>
    <xf numFmtId="0" fontId="47" fillId="0" borderId="0" xfId="0" applyFont="1"/>
    <xf numFmtId="0" fontId="34" fillId="0" borderId="1" xfId="0" applyFont="1" applyBorder="1" applyAlignment="1">
      <alignment horizontal="center" vertical="center"/>
    </xf>
    <xf numFmtId="11" fontId="34" fillId="0" borderId="1" xfId="0" applyNumberFormat="1" applyFont="1" applyBorder="1" applyAlignment="1">
      <alignment vertical="center"/>
    </xf>
    <xf numFmtId="22" fontId="34" fillId="0" borderId="1" xfId="0" applyNumberFormat="1" applyFont="1" applyBorder="1" applyAlignment="1">
      <alignment vertical="center"/>
    </xf>
    <xf numFmtId="11" fontId="2" fillId="0" borderId="1" xfId="0" applyNumberFormat="1" applyFont="1" applyBorder="1" applyAlignment="1">
      <alignment vertical="center"/>
    </xf>
    <xf numFmtId="0" fontId="30" fillId="0" borderId="0" xfId="0" applyFont="1"/>
    <xf numFmtId="11" fontId="44" fillId="0" borderId="1" xfId="0" applyNumberFormat="1" applyFont="1" applyBorder="1" applyAlignment="1">
      <alignment vertical="center"/>
    </xf>
    <xf numFmtId="22" fontId="44" fillId="0" borderId="1" xfId="0" applyNumberFormat="1" applyFont="1" applyBorder="1" applyAlignment="1">
      <alignment vertical="center"/>
    </xf>
    <xf numFmtId="0" fontId="44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76" fontId="2" fillId="5" borderId="7" xfId="0" applyNumberFormat="1" applyFont="1" applyFill="1" applyBorder="1" applyAlignment="1">
      <alignment vertical="center"/>
    </xf>
    <xf numFmtId="176" fontId="2" fillId="5" borderId="9" xfId="0" applyNumberFormat="1" applyFont="1" applyFill="1" applyBorder="1" applyAlignment="1">
      <alignment vertical="center"/>
    </xf>
    <xf numFmtId="176" fontId="2" fillId="5" borderId="8" xfId="0" applyNumberFormat="1" applyFont="1" applyFill="1" applyBorder="1" applyAlignment="1">
      <alignment vertical="center"/>
    </xf>
    <xf numFmtId="176" fontId="2" fillId="15" borderId="7" xfId="0" applyNumberFormat="1" applyFont="1" applyFill="1" applyBorder="1" applyAlignment="1">
      <alignment vertical="center"/>
    </xf>
    <xf numFmtId="176" fontId="2" fillId="15" borderId="9" xfId="0" applyNumberFormat="1" applyFont="1" applyFill="1" applyBorder="1" applyAlignment="1">
      <alignment vertical="center"/>
    </xf>
    <xf numFmtId="176" fontId="2" fillId="15" borderId="8" xfId="0" applyNumberFormat="1" applyFont="1" applyFill="1" applyBorder="1" applyAlignment="1">
      <alignment vertical="center"/>
    </xf>
    <xf numFmtId="0" fontId="2" fillId="5" borderId="11" xfId="0" applyFont="1" applyFill="1" applyBorder="1"/>
    <xf numFmtId="0" fontId="2" fillId="12" borderId="11" xfId="0" applyFont="1" applyFill="1" applyBorder="1"/>
    <xf numFmtId="22" fontId="44" fillId="0" borderId="0" xfId="0" applyNumberFormat="1" applyFont="1" applyAlignment="1">
      <alignment horizontal="center" vertical="center"/>
    </xf>
    <xf numFmtId="11" fontId="34" fillId="0" borderId="1" xfId="0" applyNumberFormat="1" applyFont="1" applyBorder="1"/>
    <xf numFmtId="22" fontId="34" fillId="0" borderId="0" xfId="0" applyNumberFormat="1" applyFont="1" applyAlignment="1">
      <alignment vertical="center"/>
    </xf>
    <xf numFmtId="11" fontId="2" fillId="0" borderId="1" xfId="0" applyNumberFormat="1" applyFont="1" applyBorder="1"/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/>
    <xf numFmtId="11" fontId="2" fillId="12" borderId="1" xfId="0" applyNumberFormat="1" applyFont="1" applyFill="1" applyBorder="1"/>
    <xf numFmtId="0" fontId="15" fillId="0" borderId="6" xfId="0" applyFont="1" applyBorder="1" applyAlignment="1">
      <alignment horizontal="center" vertical="center"/>
    </xf>
    <xf numFmtId="177" fontId="7" fillId="5" borderId="10" xfId="0" applyNumberFormat="1" applyFont="1" applyFill="1" applyBorder="1" applyAlignment="1">
      <alignment horizontal="center" vertical="center"/>
    </xf>
    <xf numFmtId="177" fontId="7" fillId="5" borderId="1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10" borderId="7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7" fillId="3" borderId="7" xfId="1" applyFont="1" applyFill="1" applyBorder="1" applyAlignment="1" applyProtection="1">
      <alignment horizontal="center" vertical="center"/>
    </xf>
    <xf numFmtId="0" fontId="7" fillId="3" borderId="9" xfId="1" applyFont="1" applyFill="1" applyBorder="1" applyAlignment="1" applyProtection="1">
      <alignment horizontal="center" vertical="center"/>
    </xf>
    <xf numFmtId="0" fontId="7" fillId="3" borderId="8" xfId="1" applyFont="1" applyFill="1" applyBorder="1" applyAlignment="1" applyProtection="1">
      <alignment horizontal="center" vertical="center"/>
    </xf>
    <xf numFmtId="0" fontId="7" fillId="14" borderId="7" xfId="1" applyFont="1" applyFill="1" applyBorder="1" applyAlignment="1" applyProtection="1">
      <alignment horizontal="center" vertical="center"/>
    </xf>
    <xf numFmtId="0" fontId="7" fillId="14" borderId="9" xfId="1" applyFont="1" applyFill="1" applyBorder="1" applyAlignment="1" applyProtection="1">
      <alignment horizontal="center" vertical="center"/>
    </xf>
    <xf numFmtId="0" fontId="7" fillId="14" borderId="8" xfId="1" applyFont="1" applyFill="1" applyBorder="1" applyAlignment="1" applyProtection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</cellXfs>
  <cellStyles count="2">
    <cellStyle name="Normal" xfId="1" xr:uid="{95671EB0-2A71-4DB7-8939-E017A38A1410}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A033-CF66-49DB-BD30-3F9EF02AB7CF}">
  <dimension ref="B2:I49"/>
  <sheetViews>
    <sheetView tabSelected="1" zoomScale="90" zoomScaleNormal="90" workbookViewId="0">
      <selection activeCell="E31" sqref="E31"/>
    </sheetView>
  </sheetViews>
  <sheetFormatPr defaultColWidth="9" defaultRowHeight="14" x14ac:dyDescent="0.45"/>
  <cols>
    <col min="1" max="1" width="9" style="14"/>
    <col min="2" max="2" width="9" style="13"/>
    <col min="3" max="3" width="15.25" style="23" customWidth="1"/>
    <col min="4" max="4" width="9" style="14"/>
    <col min="5" max="5" width="11.08203125" style="14" bestFit="1" customWidth="1"/>
    <col min="6" max="6" width="18.83203125" style="14" customWidth="1"/>
    <col min="7" max="7" width="25.25" style="14" customWidth="1"/>
    <col min="8" max="8" width="11.5" style="14" customWidth="1"/>
    <col min="9" max="9" width="10.5" style="14" bestFit="1" customWidth="1"/>
    <col min="10" max="16384" width="9" style="14"/>
  </cols>
  <sheetData>
    <row r="2" spans="2:9" s="101" customFormat="1" ht="13" x14ac:dyDescent="0.45">
      <c r="B2" s="13"/>
      <c r="C2" s="100" t="s">
        <v>17</v>
      </c>
    </row>
    <row r="3" spans="2:9" s="101" customFormat="1" ht="13" x14ac:dyDescent="0.45">
      <c r="B3" s="13"/>
      <c r="C3" s="13"/>
    </row>
    <row r="4" spans="2:9" s="102" customFormat="1" ht="13" x14ac:dyDescent="0.45">
      <c r="B4" s="15"/>
      <c r="C4" s="17"/>
      <c r="D4" s="16" t="s">
        <v>2</v>
      </c>
      <c r="E4" s="17" t="s">
        <v>3</v>
      </c>
      <c r="F4" s="16" t="s">
        <v>4</v>
      </c>
      <c r="G4" s="17" t="s">
        <v>854</v>
      </c>
      <c r="H4" s="16" t="s">
        <v>5</v>
      </c>
      <c r="I4" s="17" t="s">
        <v>6</v>
      </c>
    </row>
    <row r="5" spans="2:9" s="102" customFormat="1" ht="13" x14ac:dyDescent="0.45">
      <c r="B5" s="18"/>
      <c r="C5" s="20"/>
      <c r="D5" s="19"/>
      <c r="E5" s="20"/>
      <c r="F5" s="19"/>
      <c r="G5" s="20" t="s">
        <v>797</v>
      </c>
      <c r="H5" s="104"/>
      <c r="I5" s="20"/>
    </row>
    <row r="6" spans="2:9" s="101" customFormat="1" ht="13" x14ac:dyDescent="0.45">
      <c r="B6" s="15" t="s">
        <v>7</v>
      </c>
      <c r="C6" s="17" t="s">
        <v>8</v>
      </c>
      <c r="D6" s="308" t="s">
        <v>9</v>
      </c>
      <c r="E6" s="156">
        <v>2007</v>
      </c>
      <c r="F6" s="106">
        <v>17030</v>
      </c>
      <c r="G6" s="108">
        <f>10000*F6/E6</f>
        <v>84853.014449427006</v>
      </c>
      <c r="H6" s="229">
        <f>G6/84853*100</f>
        <v>100.00001702877566</v>
      </c>
      <c r="I6" s="156">
        <v>0</v>
      </c>
    </row>
    <row r="7" spans="2:9" s="101" customFormat="1" ht="13" x14ac:dyDescent="0.45">
      <c r="B7" s="351" t="s">
        <v>10</v>
      </c>
      <c r="C7" s="309"/>
      <c r="D7" s="259" t="s">
        <v>11</v>
      </c>
      <c r="E7" s="162">
        <v>2011</v>
      </c>
      <c r="F7" s="101">
        <v>16592</v>
      </c>
      <c r="G7" s="114">
        <f t="shared" ref="G7:G9" si="0">10000*F7/E7</f>
        <v>82506.21581302835</v>
      </c>
      <c r="H7" s="231">
        <f t="shared" ref="H7:H9" si="1">G7/84853*100</f>
        <v>97.234294383260874</v>
      </c>
      <c r="I7" s="162">
        <v>3</v>
      </c>
    </row>
    <row r="8" spans="2:9" s="101" customFormat="1" ht="13" x14ac:dyDescent="0.45">
      <c r="B8" s="351"/>
      <c r="C8" s="68"/>
      <c r="D8" s="259" t="s">
        <v>12</v>
      </c>
      <c r="E8" s="162">
        <v>2008</v>
      </c>
      <c r="F8" s="101">
        <v>17155</v>
      </c>
      <c r="G8" s="114">
        <f t="shared" si="0"/>
        <v>85433.266932270912</v>
      </c>
      <c r="H8" s="231">
        <f t="shared" si="1"/>
        <v>100.68384963674933</v>
      </c>
      <c r="I8" s="162">
        <v>0</v>
      </c>
    </row>
    <row r="9" spans="2:9" s="101" customFormat="1" ht="13" x14ac:dyDescent="0.45">
      <c r="B9" s="18" t="s">
        <v>13</v>
      </c>
      <c r="C9" s="20" t="s">
        <v>16</v>
      </c>
      <c r="D9" s="310" t="s">
        <v>14</v>
      </c>
      <c r="E9" s="165">
        <v>2002</v>
      </c>
      <c r="F9" s="137">
        <v>14862</v>
      </c>
      <c r="G9" s="139">
        <f t="shared" si="0"/>
        <v>74235.764235764233</v>
      </c>
      <c r="H9" s="234">
        <f t="shared" si="1"/>
        <v>87.487495121874574</v>
      </c>
      <c r="I9" s="165">
        <v>13</v>
      </c>
    </row>
    <row r="10" spans="2:9" s="101" customFormat="1" ht="13" x14ac:dyDescent="0.45">
      <c r="B10" s="15" t="s">
        <v>7</v>
      </c>
      <c r="C10" s="17" t="s">
        <v>8</v>
      </c>
      <c r="D10" s="308" t="s">
        <v>9</v>
      </c>
      <c r="E10" s="156">
        <v>1538</v>
      </c>
      <c r="F10" s="106">
        <v>11104</v>
      </c>
      <c r="G10" s="108">
        <f t="shared" ref="G10:G13" si="2">10000*F10/E10</f>
        <v>72197.659297789331</v>
      </c>
      <c r="H10" s="229">
        <f>G10/72198*100</f>
        <v>99.999528100209602</v>
      </c>
      <c r="I10" s="156">
        <v>0</v>
      </c>
    </row>
    <row r="11" spans="2:9" s="101" customFormat="1" ht="13" x14ac:dyDescent="0.45">
      <c r="B11" s="351" t="s">
        <v>10</v>
      </c>
      <c r="C11" s="68"/>
      <c r="D11" s="259" t="s">
        <v>11</v>
      </c>
      <c r="E11" s="162">
        <v>1504</v>
      </c>
      <c r="F11" s="101">
        <v>1961</v>
      </c>
      <c r="G11" s="114">
        <f t="shared" si="2"/>
        <v>13038.563829787234</v>
      </c>
      <c r="H11" s="231">
        <f t="shared" ref="H11:H13" si="3">G11/72198*100</f>
        <v>18.059452934689652</v>
      </c>
      <c r="I11" s="162">
        <v>82</v>
      </c>
    </row>
    <row r="12" spans="2:9" s="101" customFormat="1" ht="13" x14ac:dyDescent="0.45">
      <c r="B12" s="351"/>
      <c r="C12" s="311"/>
      <c r="D12" s="259" t="s">
        <v>12</v>
      </c>
      <c r="E12" s="162">
        <v>1491</v>
      </c>
      <c r="F12" s="101">
        <v>217</v>
      </c>
      <c r="G12" s="114">
        <f t="shared" si="2"/>
        <v>1455.3990610328638</v>
      </c>
      <c r="H12" s="231">
        <f t="shared" si="3"/>
        <v>2.0158440137301086</v>
      </c>
      <c r="I12" s="162">
        <v>98</v>
      </c>
    </row>
    <row r="13" spans="2:9" s="101" customFormat="1" ht="13" x14ac:dyDescent="0.45">
      <c r="B13" s="18" t="s">
        <v>13</v>
      </c>
      <c r="C13" s="272" t="s">
        <v>18</v>
      </c>
      <c r="D13" s="310" t="s">
        <v>14</v>
      </c>
      <c r="E13" s="165">
        <v>1488</v>
      </c>
      <c r="F13" s="137">
        <v>424</v>
      </c>
      <c r="G13" s="139">
        <f t="shared" si="2"/>
        <v>2849.4623655913979</v>
      </c>
      <c r="H13" s="234">
        <f t="shared" si="3"/>
        <v>3.9467331028441204</v>
      </c>
      <c r="I13" s="165">
        <v>96</v>
      </c>
    </row>
    <row r="14" spans="2:9" s="101" customFormat="1" ht="13" x14ac:dyDescent="0.45">
      <c r="B14" s="13"/>
      <c r="C14" s="13"/>
      <c r="D14" s="102"/>
    </row>
    <row r="15" spans="2:9" s="101" customFormat="1" ht="13" x14ac:dyDescent="0.45">
      <c r="B15" s="13"/>
      <c r="C15" s="13"/>
      <c r="G15" s="24" t="s">
        <v>15</v>
      </c>
    </row>
    <row r="16" spans="2:9" s="101" customFormat="1" ht="13" x14ac:dyDescent="0.45">
      <c r="B16" s="13"/>
      <c r="C16" s="13"/>
      <c r="G16" s="24"/>
    </row>
    <row r="17" spans="2:9" s="101" customFormat="1" ht="13" x14ac:dyDescent="0.45">
      <c r="B17" s="13"/>
      <c r="C17" s="13" t="s">
        <v>20</v>
      </c>
    </row>
    <row r="18" spans="2:9" s="101" customFormat="1" ht="13" x14ac:dyDescent="0.45">
      <c r="H18" s="24"/>
    </row>
    <row r="19" spans="2:9" s="101" customFormat="1" ht="13" x14ac:dyDescent="0.45">
      <c r="B19" s="15"/>
      <c r="C19" s="17"/>
      <c r="D19" s="16" t="s">
        <v>2</v>
      </c>
      <c r="E19" s="17" t="s">
        <v>3</v>
      </c>
      <c r="F19" s="16" t="s">
        <v>4</v>
      </c>
      <c r="G19" s="17" t="s">
        <v>854</v>
      </c>
      <c r="H19" s="16" t="s">
        <v>5</v>
      </c>
      <c r="I19" s="17" t="s">
        <v>6</v>
      </c>
    </row>
    <row r="20" spans="2:9" s="101" customFormat="1" ht="13" x14ac:dyDescent="0.45">
      <c r="B20" s="18"/>
      <c r="C20" s="20"/>
      <c r="D20" s="19"/>
      <c r="E20" s="20"/>
      <c r="F20" s="19"/>
      <c r="G20" s="20" t="s">
        <v>797</v>
      </c>
      <c r="H20" s="104"/>
      <c r="I20" s="20"/>
    </row>
    <row r="21" spans="2:9" s="101" customFormat="1" ht="13" x14ac:dyDescent="0.45">
      <c r="B21" s="15" t="s">
        <v>7</v>
      </c>
      <c r="C21" s="17" t="s">
        <v>8</v>
      </c>
      <c r="D21" s="155" t="s">
        <v>9</v>
      </c>
      <c r="E21" s="156">
        <v>2064</v>
      </c>
      <c r="F21" s="106">
        <v>14368</v>
      </c>
      <c r="G21" s="108">
        <f>10000*F21/E21</f>
        <v>69612.403100775191</v>
      </c>
      <c r="H21" s="229">
        <f>G21/69612*100</f>
        <v>100.00057906794115</v>
      </c>
      <c r="I21" s="156">
        <v>0</v>
      </c>
    </row>
    <row r="22" spans="2:9" s="101" customFormat="1" ht="13" x14ac:dyDescent="0.45">
      <c r="B22" s="351" t="s">
        <v>10</v>
      </c>
      <c r="C22" s="309"/>
      <c r="D22" s="161" t="s">
        <v>11</v>
      </c>
      <c r="E22" s="162">
        <v>2055</v>
      </c>
      <c r="F22" s="101">
        <v>14082</v>
      </c>
      <c r="G22" s="114">
        <f t="shared" ref="G22:G28" si="4">10000*F22/E22</f>
        <v>68525.547445255477</v>
      </c>
      <c r="H22" s="231">
        <f t="shared" ref="H22:H24" si="5">G22/69612*100</f>
        <v>98.439274040762342</v>
      </c>
      <c r="I22" s="162">
        <v>2</v>
      </c>
    </row>
    <row r="23" spans="2:9" s="101" customFormat="1" ht="13" x14ac:dyDescent="0.45">
      <c r="B23" s="351"/>
      <c r="C23" s="68"/>
      <c r="D23" s="161" t="s">
        <v>12</v>
      </c>
      <c r="E23" s="162">
        <v>2067</v>
      </c>
      <c r="F23" s="101">
        <v>13940</v>
      </c>
      <c r="G23" s="114">
        <f t="shared" si="4"/>
        <v>67440.735365263667</v>
      </c>
      <c r="H23" s="231">
        <f t="shared" si="5"/>
        <v>96.880904679169774</v>
      </c>
      <c r="I23" s="162">
        <v>3</v>
      </c>
    </row>
    <row r="24" spans="2:9" s="101" customFormat="1" ht="13" x14ac:dyDescent="0.45">
      <c r="B24" s="18" t="s">
        <v>13</v>
      </c>
      <c r="C24" s="20" t="s">
        <v>16</v>
      </c>
      <c r="D24" s="164" t="s">
        <v>14</v>
      </c>
      <c r="E24" s="165">
        <v>2049</v>
      </c>
      <c r="F24" s="137">
        <v>12274</v>
      </c>
      <c r="G24" s="139">
        <f t="shared" si="4"/>
        <v>59902.391410444121</v>
      </c>
      <c r="H24" s="234">
        <f t="shared" si="5"/>
        <v>86.051817805039533</v>
      </c>
      <c r="I24" s="165">
        <v>14</v>
      </c>
    </row>
    <row r="25" spans="2:9" s="101" customFormat="1" ht="13" x14ac:dyDescent="0.45">
      <c r="B25" s="15" t="s">
        <v>7</v>
      </c>
      <c r="C25" s="17" t="s">
        <v>8</v>
      </c>
      <c r="D25" s="161" t="s">
        <v>9</v>
      </c>
      <c r="E25" s="162">
        <v>2146</v>
      </c>
      <c r="F25" s="101">
        <v>15857</v>
      </c>
      <c r="G25" s="114">
        <f t="shared" si="4"/>
        <v>73890.959925442687</v>
      </c>
      <c r="H25" s="231">
        <f>G25/73891*100</f>
        <v>99.999945765306592</v>
      </c>
      <c r="I25" s="162">
        <v>0</v>
      </c>
    </row>
    <row r="26" spans="2:9" s="101" customFormat="1" ht="13" x14ac:dyDescent="0.45">
      <c r="B26" s="351" t="s">
        <v>10</v>
      </c>
      <c r="C26" s="68"/>
      <c r="D26" s="161" t="s">
        <v>11</v>
      </c>
      <c r="E26" s="162">
        <v>2091</v>
      </c>
      <c r="F26" s="101">
        <v>5268</v>
      </c>
      <c r="G26" s="114">
        <f t="shared" si="4"/>
        <v>25193.687230989955</v>
      </c>
      <c r="H26" s="231">
        <f t="shared" ref="H26:H28" si="6">G26/73891*100</f>
        <v>34.0957453965841</v>
      </c>
      <c r="I26" s="162">
        <v>66</v>
      </c>
    </row>
    <row r="27" spans="2:9" s="101" customFormat="1" ht="13" x14ac:dyDescent="0.45">
      <c r="B27" s="351"/>
      <c r="C27" s="311"/>
      <c r="D27" s="161" t="s">
        <v>12</v>
      </c>
      <c r="E27" s="162">
        <v>2046</v>
      </c>
      <c r="F27" s="101">
        <v>560</v>
      </c>
      <c r="G27" s="114">
        <f t="shared" si="4"/>
        <v>2737.0478983382209</v>
      </c>
      <c r="H27" s="231">
        <f t="shared" si="6"/>
        <v>3.7041695177196425</v>
      </c>
      <c r="I27" s="162">
        <v>96</v>
      </c>
    </row>
    <row r="28" spans="2:9" s="101" customFormat="1" ht="13" x14ac:dyDescent="0.45">
      <c r="B28" s="18" t="s">
        <v>13</v>
      </c>
      <c r="C28" s="272" t="s">
        <v>18</v>
      </c>
      <c r="D28" s="164" t="s">
        <v>14</v>
      </c>
      <c r="E28" s="165">
        <v>2029</v>
      </c>
      <c r="F28" s="137">
        <v>217</v>
      </c>
      <c r="G28" s="139">
        <f t="shared" si="4"/>
        <v>1069.4923607688515</v>
      </c>
      <c r="H28" s="234">
        <f t="shared" si="6"/>
        <v>1.4473919161587359</v>
      </c>
      <c r="I28" s="165">
        <v>99</v>
      </c>
    </row>
    <row r="29" spans="2:9" s="101" customFormat="1" ht="13" x14ac:dyDescent="0.45">
      <c r="B29" s="13"/>
      <c r="C29" s="13"/>
    </row>
    <row r="30" spans="2:9" s="101" customFormat="1" ht="13" x14ac:dyDescent="0.45">
      <c r="B30" s="13"/>
      <c r="C30" s="13"/>
    </row>
    <row r="31" spans="2:9" s="101" customFormat="1" ht="13" x14ac:dyDescent="0.45">
      <c r="B31" s="13"/>
      <c r="C31" s="13" t="s">
        <v>19</v>
      </c>
    </row>
    <row r="32" spans="2:9" s="101" customFormat="1" ht="13" x14ac:dyDescent="0.45">
      <c r="H32" s="24"/>
    </row>
    <row r="33" spans="2:9" s="101" customFormat="1" ht="13" x14ac:dyDescent="0.45">
      <c r="B33" s="15"/>
      <c r="C33" s="17"/>
      <c r="D33" s="16" t="s">
        <v>2</v>
      </c>
      <c r="E33" s="17" t="s">
        <v>3</v>
      </c>
      <c r="F33" s="16" t="s">
        <v>4</v>
      </c>
      <c r="G33" s="17" t="s">
        <v>854</v>
      </c>
      <c r="H33" s="16" t="s">
        <v>5</v>
      </c>
      <c r="I33" s="17" t="s">
        <v>6</v>
      </c>
    </row>
    <row r="34" spans="2:9" s="101" customFormat="1" ht="13" x14ac:dyDescent="0.45">
      <c r="B34" s="18"/>
      <c r="C34" s="20"/>
      <c r="D34" s="19"/>
      <c r="E34" s="20"/>
      <c r="F34" s="19"/>
      <c r="G34" s="20" t="s">
        <v>797</v>
      </c>
      <c r="H34" s="104"/>
      <c r="I34" s="20"/>
    </row>
    <row r="35" spans="2:9" s="101" customFormat="1" ht="13" x14ac:dyDescent="0.45">
      <c r="B35" s="15" t="s">
        <v>7</v>
      </c>
      <c r="C35" s="17" t="s">
        <v>8</v>
      </c>
      <c r="D35" s="155" t="s">
        <v>9</v>
      </c>
      <c r="E35" s="156">
        <v>2033</v>
      </c>
      <c r="F35" s="106">
        <v>13177</v>
      </c>
      <c r="G35" s="108">
        <f>10000*F35/E35</f>
        <v>64815.543531726515</v>
      </c>
      <c r="H35" s="229">
        <f>G35/64816*100</f>
        <v>99.999295747541524</v>
      </c>
      <c r="I35" s="156">
        <v>0</v>
      </c>
    </row>
    <row r="36" spans="2:9" s="101" customFormat="1" ht="13" x14ac:dyDescent="0.45">
      <c r="B36" s="351" t="s">
        <v>10</v>
      </c>
      <c r="C36" s="309"/>
      <c r="D36" s="161" t="s">
        <v>11</v>
      </c>
      <c r="E36" s="162">
        <v>2030</v>
      </c>
      <c r="F36" s="101">
        <v>13765</v>
      </c>
      <c r="G36" s="114">
        <f t="shared" ref="G36:G42" si="7">10000*F36/E36</f>
        <v>67807.881773399014</v>
      </c>
      <c r="H36" s="231">
        <f t="shared" ref="H36:H38" si="8">G36/64816*100</f>
        <v>104.61596175851489</v>
      </c>
      <c r="I36" s="162">
        <v>0</v>
      </c>
    </row>
    <row r="37" spans="2:9" s="101" customFormat="1" ht="13" x14ac:dyDescent="0.45">
      <c r="B37" s="351"/>
      <c r="C37" s="68"/>
      <c r="D37" s="161" t="s">
        <v>12</v>
      </c>
      <c r="E37" s="162">
        <v>2018</v>
      </c>
      <c r="F37" s="101">
        <v>13877</v>
      </c>
      <c r="G37" s="114">
        <f t="shared" si="7"/>
        <v>68766.105054509419</v>
      </c>
      <c r="H37" s="231">
        <f t="shared" si="8"/>
        <v>106.09433635909254</v>
      </c>
      <c r="I37" s="162">
        <v>0</v>
      </c>
    </row>
    <row r="38" spans="2:9" s="101" customFormat="1" ht="13" x14ac:dyDescent="0.45">
      <c r="B38" s="18" t="s">
        <v>13</v>
      </c>
      <c r="C38" s="20" t="s">
        <v>16</v>
      </c>
      <c r="D38" s="164" t="s">
        <v>14</v>
      </c>
      <c r="E38" s="165">
        <v>2004</v>
      </c>
      <c r="F38" s="137">
        <v>12179</v>
      </c>
      <c r="G38" s="139">
        <f t="shared" si="7"/>
        <v>60773.453093812372</v>
      </c>
      <c r="H38" s="234">
        <f t="shared" si="8"/>
        <v>93.763041677691277</v>
      </c>
      <c r="I38" s="165">
        <v>6</v>
      </c>
    </row>
    <row r="39" spans="2:9" s="101" customFormat="1" ht="13" x14ac:dyDescent="0.45">
      <c r="B39" s="15" t="s">
        <v>7</v>
      </c>
      <c r="C39" s="17" t="s">
        <v>8</v>
      </c>
      <c r="D39" s="161" t="s">
        <v>9</v>
      </c>
      <c r="E39" s="162">
        <v>2070</v>
      </c>
      <c r="F39" s="101">
        <v>12148</v>
      </c>
      <c r="G39" s="114">
        <f t="shared" si="7"/>
        <v>58685.990338164251</v>
      </c>
      <c r="H39" s="231">
        <f>G39/58686*100</f>
        <v>99.999983536387305</v>
      </c>
      <c r="I39" s="162">
        <v>0</v>
      </c>
    </row>
    <row r="40" spans="2:9" s="101" customFormat="1" ht="13" x14ac:dyDescent="0.45">
      <c r="B40" s="351" t="s">
        <v>10</v>
      </c>
      <c r="C40" s="68"/>
      <c r="D40" s="161" t="s">
        <v>11</v>
      </c>
      <c r="E40" s="162">
        <v>2034</v>
      </c>
      <c r="F40" s="101">
        <v>4074</v>
      </c>
      <c r="G40" s="114">
        <f t="shared" si="7"/>
        <v>20029.498525073745</v>
      </c>
      <c r="H40" s="231">
        <f t="shared" ref="H40:H42" si="9">G40/58686*100</f>
        <v>34.129943300060908</v>
      </c>
      <c r="I40" s="162">
        <v>66</v>
      </c>
    </row>
    <row r="41" spans="2:9" s="101" customFormat="1" ht="13" x14ac:dyDescent="0.45">
      <c r="B41" s="351"/>
      <c r="C41" s="311"/>
      <c r="D41" s="161" t="s">
        <v>12</v>
      </c>
      <c r="E41" s="162">
        <v>2021</v>
      </c>
      <c r="F41" s="101">
        <v>627</v>
      </c>
      <c r="G41" s="114">
        <f t="shared" si="7"/>
        <v>3102.4245423057891</v>
      </c>
      <c r="H41" s="231">
        <f t="shared" si="9"/>
        <v>5.2864815157035565</v>
      </c>
      <c r="I41" s="162">
        <v>95</v>
      </c>
    </row>
    <row r="42" spans="2:9" s="101" customFormat="1" ht="13" x14ac:dyDescent="0.45">
      <c r="B42" s="18" t="s">
        <v>13</v>
      </c>
      <c r="C42" s="272" t="s">
        <v>18</v>
      </c>
      <c r="D42" s="164" t="s">
        <v>14</v>
      </c>
      <c r="E42" s="165">
        <v>2000</v>
      </c>
      <c r="F42" s="137">
        <v>455</v>
      </c>
      <c r="G42" s="139">
        <f t="shared" si="7"/>
        <v>2275</v>
      </c>
      <c r="H42" s="234">
        <f t="shared" si="9"/>
        <v>3.8765634052414546</v>
      </c>
      <c r="I42" s="165">
        <v>96</v>
      </c>
    </row>
    <row r="43" spans="2:9" s="101" customFormat="1" ht="13" x14ac:dyDescent="0.45">
      <c r="B43" s="13"/>
      <c r="C43" s="13"/>
    </row>
    <row r="44" spans="2:9" s="101" customFormat="1" ht="13" x14ac:dyDescent="0.45">
      <c r="B44" s="13"/>
      <c r="C44" s="13"/>
    </row>
    <row r="45" spans="2:9" s="101" customFormat="1" ht="12.5" x14ac:dyDescent="0.45"/>
    <row r="46" spans="2:9" s="101" customFormat="1" ht="12.5" x14ac:dyDescent="0.45"/>
    <row r="47" spans="2:9" s="101" customFormat="1" ht="12.5" x14ac:dyDescent="0.45"/>
    <row r="48" spans="2:9" s="101" customFormat="1" ht="13" x14ac:dyDescent="0.45">
      <c r="B48" s="13"/>
      <c r="C48" s="13"/>
    </row>
    <row r="49" s="14" customFormat="1" x14ac:dyDescent="0.45"/>
  </sheetData>
  <mergeCells count="6">
    <mergeCell ref="B40:B41"/>
    <mergeCell ref="B7:B8"/>
    <mergeCell ref="B11:B12"/>
    <mergeCell ref="B22:B23"/>
    <mergeCell ref="B26:B27"/>
    <mergeCell ref="B36:B37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BB5D-E297-4503-BD39-F26D120C1377}">
  <dimension ref="B2:AG37"/>
  <sheetViews>
    <sheetView zoomScale="90" zoomScaleNormal="90" workbookViewId="0">
      <selection activeCell="F37" sqref="F37"/>
    </sheetView>
  </sheetViews>
  <sheetFormatPr defaultColWidth="9" defaultRowHeight="14" x14ac:dyDescent="0.3"/>
  <cols>
    <col min="1" max="1" width="9" style="25"/>
    <col min="2" max="2" width="7.25" style="25" customWidth="1"/>
    <col min="3" max="3" width="12.33203125" style="25" bestFit="1" customWidth="1"/>
    <col min="4" max="4" width="18.08203125" style="25" bestFit="1" customWidth="1"/>
    <col min="5" max="5" width="8.25" style="25" customWidth="1"/>
    <col min="6" max="6" width="29" style="25" bestFit="1" customWidth="1"/>
    <col min="7" max="7" width="15.08203125" style="25" customWidth="1"/>
    <col min="8" max="8" width="9" style="25"/>
    <col min="9" max="9" width="15.25" style="37" customWidth="1"/>
    <col min="10" max="10" width="6.33203125" style="35" customWidth="1"/>
    <col min="11" max="12" width="6.5" style="36" customWidth="1"/>
    <col min="13" max="13" width="6.75" style="36" bestFit="1" customWidth="1"/>
    <col min="14" max="14" width="6.08203125" style="25" bestFit="1" customWidth="1"/>
    <col min="15" max="15" width="6.75" style="25" customWidth="1"/>
    <col min="16" max="16" width="6.08203125" style="25" bestFit="1" customWidth="1"/>
    <col min="17" max="17" width="6.75" style="25" bestFit="1" customWidth="1"/>
    <col min="18" max="18" width="6.08203125" style="25" bestFit="1" customWidth="1"/>
    <col min="19" max="19" width="6.75" style="25" customWidth="1"/>
    <col min="20" max="20" width="6.08203125" style="25" bestFit="1" customWidth="1"/>
    <col min="21" max="21" width="6.75" style="25" customWidth="1"/>
    <col min="22" max="22" width="6.08203125" style="25" bestFit="1" customWidth="1"/>
    <col min="23" max="23" width="6.75" style="25" customWidth="1"/>
    <col min="24" max="24" width="6.08203125" style="25" bestFit="1" customWidth="1"/>
    <col min="25" max="25" width="6.75" style="25" customWidth="1"/>
    <col min="26" max="26" width="5.75" style="25" customWidth="1"/>
    <col min="27" max="27" width="6.83203125" style="25" bestFit="1" customWidth="1"/>
    <col min="28" max="28" width="6.08203125" style="25" bestFit="1" customWidth="1"/>
    <col min="29" max="29" width="6.83203125" style="25" bestFit="1" customWidth="1"/>
    <col min="30" max="30" width="6.08203125" style="25" bestFit="1" customWidth="1"/>
    <col min="31" max="31" width="6.83203125" style="25" bestFit="1" customWidth="1"/>
    <col min="32" max="32" width="9" style="25"/>
    <col min="33" max="33" width="3.58203125" style="25" customWidth="1"/>
    <col min="34" max="16384" width="9" style="25"/>
  </cols>
  <sheetData>
    <row r="2" spans="2:33" s="95" customFormat="1" ht="13" x14ac:dyDescent="0.25">
      <c r="B2" s="100" t="s">
        <v>138</v>
      </c>
      <c r="J2" s="96"/>
      <c r="K2" s="101"/>
      <c r="L2" s="101"/>
    </row>
    <row r="3" spans="2:33" s="95" customFormat="1" ht="13" x14ac:dyDescent="0.3">
      <c r="I3" s="99" t="s">
        <v>148</v>
      </c>
      <c r="J3" s="100"/>
      <c r="K3" s="101"/>
      <c r="L3" s="101"/>
    </row>
    <row r="4" spans="2:33" s="95" customFormat="1" ht="12.5" x14ac:dyDescent="0.25">
      <c r="I4" s="4"/>
      <c r="J4" s="27" t="s">
        <v>72</v>
      </c>
      <c r="K4" s="27" t="s">
        <v>172</v>
      </c>
      <c r="L4" s="358" t="s">
        <v>173</v>
      </c>
      <c r="M4" s="359"/>
      <c r="N4" s="358" t="s">
        <v>174</v>
      </c>
      <c r="O4" s="359"/>
      <c r="P4" s="358" t="s">
        <v>103</v>
      </c>
      <c r="Q4" s="359"/>
      <c r="R4" s="358" t="s">
        <v>175</v>
      </c>
      <c r="S4" s="359"/>
      <c r="T4" s="358" t="s">
        <v>277</v>
      </c>
      <c r="U4" s="359"/>
      <c r="V4" s="358" t="s">
        <v>74</v>
      </c>
      <c r="W4" s="359"/>
      <c r="X4" s="358" t="s">
        <v>176</v>
      </c>
      <c r="Y4" s="359"/>
      <c r="Z4" s="358" t="s">
        <v>75</v>
      </c>
      <c r="AA4" s="359"/>
      <c r="AB4" s="358" t="s">
        <v>264</v>
      </c>
      <c r="AC4" s="359"/>
      <c r="AD4" s="358" t="s">
        <v>278</v>
      </c>
      <c r="AE4" s="359"/>
    </row>
    <row r="5" spans="2:33" s="95" customFormat="1" ht="13" x14ac:dyDescent="0.3">
      <c r="B5" s="4" t="s">
        <v>132</v>
      </c>
      <c r="C5" s="4" t="s">
        <v>1392</v>
      </c>
      <c r="D5" s="10" t="s">
        <v>1393</v>
      </c>
      <c r="E5" s="5"/>
      <c r="F5" s="103" t="s">
        <v>71</v>
      </c>
      <c r="I5" s="4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2:33" s="95" customFormat="1" ht="13" x14ac:dyDescent="0.3">
      <c r="B6" s="3">
        <v>3</v>
      </c>
      <c r="C6" s="3">
        <v>1</v>
      </c>
      <c r="D6" s="3"/>
      <c r="E6" s="1"/>
      <c r="I6" s="354" t="s">
        <v>859</v>
      </c>
      <c r="J6" s="44" t="s">
        <v>279</v>
      </c>
      <c r="K6" s="45">
        <v>24.65</v>
      </c>
      <c r="L6" s="40">
        <v>23.25</v>
      </c>
      <c r="M6" s="46">
        <f>L6/K6*100</f>
        <v>94.320486815415833</v>
      </c>
      <c r="N6" s="40">
        <v>22.07</v>
      </c>
      <c r="O6" s="46">
        <f>N6/K6*100</f>
        <v>89.533468559837743</v>
      </c>
      <c r="P6" s="40">
        <v>23.29</v>
      </c>
      <c r="Q6" s="46">
        <f>P6/K6*100</f>
        <v>94.482758620689651</v>
      </c>
      <c r="R6" s="40">
        <v>21.07</v>
      </c>
      <c r="S6" s="46">
        <f>R6/K6*100</f>
        <v>85.476673427991884</v>
      </c>
      <c r="T6" s="40">
        <v>20.29</v>
      </c>
      <c r="U6" s="46">
        <f>T6/K6*100</f>
        <v>82.312373225152129</v>
      </c>
      <c r="V6" s="40">
        <v>19.309999999999999</v>
      </c>
      <c r="W6" s="52">
        <f>V6/K6*100</f>
        <v>78.336713995943214</v>
      </c>
      <c r="X6" s="40">
        <v>18.45</v>
      </c>
      <c r="Y6" s="52">
        <f>X6/K6*100</f>
        <v>74.847870182555781</v>
      </c>
      <c r="Z6" s="40">
        <v>18.73</v>
      </c>
      <c r="AA6" s="52">
        <f>Z6/K6*100</f>
        <v>75.983772819472634</v>
      </c>
      <c r="AB6" s="40">
        <v>18.43</v>
      </c>
      <c r="AC6" s="52">
        <f>AB6/K6*100</f>
        <v>74.766734279918865</v>
      </c>
      <c r="AD6" s="40">
        <v>18.559999999999999</v>
      </c>
      <c r="AE6" s="50">
        <f>AD6/K6*100</f>
        <v>75.294117647058826</v>
      </c>
      <c r="AF6" s="49" t="s">
        <v>121</v>
      </c>
      <c r="AG6" s="54"/>
    </row>
    <row r="7" spans="2:33" s="95" customFormat="1" ht="13" x14ac:dyDescent="0.3">
      <c r="B7" s="3">
        <v>13</v>
      </c>
      <c r="C7" s="3">
        <v>1</v>
      </c>
      <c r="D7" s="3"/>
      <c r="E7" s="1"/>
      <c r="F7" s="7" t="s">
        <v>140</v>
      </c>
      <c r="G7" s="3"/>
      <c r="I7" s="354"/>
      <c r="J7" s="44" t="s">
        <v>280</v>
      </c>
      <c r="K7" s="45">
        <v>24.12</v>
      </c>
      <c r="L7" s="40">
        <v>22.53</v>
      </c>
      <c r="M7" s="46">
        <f t="shared" ref="M7:M15" si="0">L7/K7*100</f>
        <v>93.407960199004975</v>
      </c>
      <c r="N7" s="40">
        <v>20.440000000000001</v>
      </c>
      <c r="O7" s="46">
        <f t="shared" ref="O7:O15" si="1">N7/K7*100</f>
        <v>84.742951907131015</v>
      </c>
      <c r="P7" s="40">
        <v>21.96</v>
      </c>
      <c r="Q7" s="46">
        <f t="shared" ref="Q7:Q15" si="2">P7/K7*100</f>
        <v>91.044776119402982</v>
      </c>
      <c r="R7" s="40">
        <v>20.329999999999998</v>
      </c>
      <c r="S7" s="46">
        <f t="shared" ref="S7:S15" si="3">R7/K7*100</f>
        <v>84.286898839137635</v>
      </c>
      <c r="T7" s="40">
        <v>17.86</v>
      </c>
      <c r="U7" s="52">
        <f t="shared" ref="U7:U15" si="4">T7/K7*100</f>
        <v>74.04643449419568</v>
      </c>
      <c r="V7" s="40">
        <v>17.600000000000001</v>
      </c>
      <c r="W7" s="52">
        <f t="shared" ref="W7:W15" si="5">V7/K7*100</f>
        <v>72.968490878938638</v>
      </c>
      <c r="X7" s="40">
        <v>17.39</v>
      </c>
      <c r="Y7" s="52">
        <f t="shared" ref="Y7:Y15" si="6">X7/K7*100</f>
        <v>72.097844112769479</v>
      </c>
      <c r="Z7" s="49" t="s">
        <v>291</v>
      </c>
      <c r="AA7" s="53"/>
      <c r="AB7" s="48"/>
      <c r="AC7" s="53"/>
      <c r="AD7" s="48"/>
      <c r="AE7" s="54"/>
    </row>
    <row r="8" spans="2:33" s="95" customFormat="1" ht="13" x14ac:dyDescent="0.3">
      <c r="B8" s="3">
        <v>13</v>
      </c>
      <c r="C8" s="3">
        <v>1</v>
      </c>
      <c r="D8" s="3"/>
      <c r="E8" s="1"/>
      <c r="F8" s="2"/>
      <c r="G8" s="3"/>
      <c r="I8" s="354"/>
      <c r="J8" s="44" t="s">
        <v>281</v>
      </c>
      <c r="K8" s="45">
        <v>22.79</v>
      </c>
      <c r="L8" s="40">
        <v>21.15</v>
      </c>
      <c r="M8" s="46">
        <f t="shared" si="0"/>
        <v>92.803861342694162</v>
      </c>
      <c r="N8" s="40">
        <v>18.399999999999999</v>
      </c>
      <c r="O8" s="46">
        <f t="shared" si="1"/>
        <v>80.737165423431321</v>
      </c>
      <c r="P8" s="40">
        <v>19.68</v>
      </c>
      <c r="Q8" s="46">
        <f t="shared" si="2"/>
        <v>86.353663887670024</v>
      </c>
      <c r="R8" s="40">
        <v>17.29</v>
      </c>
      <c r="S8" s="52">
        <f t="shared" si="3"/>
        <v>75.866608161474318</v>
      </c>
      <c r="T8" s="48">
        <v>16.649999999999999</v>
      </c>
      <c r="U8" s="52">
        <f t="shared" si="4"/>
        <v>73.058358929354966</v>
      </c>
      <c r="V8" s="48">
        <v>15.87</v>
      </c>
      <c r="W8" s="52">
        <f t="shared" si="5"/>
        <v>69.635805177709514</v>
      </c>
      <c r="X8" s="48">
        <v>15.53</v>
      </c>
      <c r="Y8" s="52">
        <f t="shared" si="6"/>
        <v>68.143922773146116</v>
      </c>
      <c r="Z8" s="48">
        <v>15.1</v>
      </c>
      <c r="AA8" s="52">
        <f t="shared" ref="AA8:AA15" si="7">Z8/K8*100</f>
        <v>66.257130320315923</v>
      </c>
      <c r="AB8" s="48">
        <v>15.3</v>
      </c>
      <c r="AC8" s="52">
        <f t="shared" ref="AC8:AC9" si="8">AB8/K8*100</f>
        <v>67.134708205353235</v>
      </c>
      <c r="AD8" s="48">
        <v>15.85</v>
      </c>
      <c r="AE8" s="50">
        <f>AD8/K8*100</f>
        <v>69.548047389205792</v>
      </c>
      <c r="AF8" s="49" t="s">
        <v>292</v>
      </c>
      <c r="AG8" s="54"/>
    </row>
    <row r="9" spans="2:33" s="95" customFormat="1" ht="13" x14ac:dyDescent="0.3">
      <c r="B9" s="3">
        <v>14</v>
      </c>
      <c r="C9" s="3">
        <v>1</v>
      </c>
      <c r="D9" s="3"/>
      <c r="E9" s="1"/>
      <c r="F9" s="2" t="s">
        <v>141</v>
      </c>
      <c r="G9" s="3"/>
      <c r="I9" s="354"/>
      <c r="J9" s="44" t="s">
        <v>282</v>
      </c>
      <c r="K9" s="45">
        <v>22.44</v>
      </c>
      <c r="L9" s="40">
        <v>20.72</v>
      </c>
      <c r="M9" s="46">
        <f t="shared" si="0"/>
        <v>92.335115864527623</v>
      </c>
      <c r="N9" s="40">
        <v>17.68</v>
      </c>
      <c r="O9" s="52">
        <f t="shared" si="1"/>
        <v>78.787878787878782</v>
      </c>
      <c r="P9" s="40">
        <v>18.57</v>
      </c>
      <c r="Q9" s="46">
        <f t="shared" si="2"/>
        <v>82.754010695187162</v>
      </c>
      <c r="R9" s="40">
        <v>16.62</v>
      </c>
      <c r="S9" s="52">
        <f t="shared" si="3"/>
        <v>74.064171122994651</v>
      </c>
      <c r="T9" s="48">
        <v>16.02</v>
      </c>
      <c r="U9" s="52">
        <f t="shared" si="4"/>
        <v>71.390374331550802</v>
      </c>
      <c r="V9" s="48">
        <v>15.42</v>
      </c>
      <c r="W9" s="52">
        <f t="shared" si="5"/>
        <v>68.716577540106954</v>
      </c>
      <c r="X9" s="48">
        <v>14.88</v>
      </c>
      <c r="Y9" s="52">
        <f t="shared" si="6"/>
        <v>66.310160427807489</v>
      </c>
      <c r="Z9" s="48">
        <v>14.49</v>
      </c>
      <c r="AA9" s="52">
        <f t="shared" si="7"/>
        <v>64.572192513368989</v>
      </c>
      <c r="AB9" s="48">
        <v>13.96</v>
      </c>
      <c r="AC9" s="52">
        <f t="shared" si="8"/>
        <v>62.21033868092691</v>
      </c>
      <c r="AD9" s="49" t="s">
        <v>290</v>
      </c>
      <c r="AE9" s="54"/>
    </row>
    <row r="10" spans="2:33" s="95" customFormat="1" ht="13" x14ac:dyDescent="0.25">
      <c r="B10" s="3">
        <v>14</v>
      </c>
      <c r="C10" s="3">
        <v>1</v>
      </c>
      <c r="D10" s="3"/>
      <c r="E10" s="1"/>
      <c r="F10" s="2" t="s">
        <v>142</v>
      </c>
      <c r="G10" s="3">
        <v>21.92</v>
      </c>
      <c r="I10" s="354"/>
      <c r="J10" s="44" t="s">
        <v>283</v>
      </c>
      <c r="K10" s="45">
        <v>23.32</v>
      </c>
      <c r="L10" s="40">
        <v>22.62</v>
      </c>
      <c r="M10" s="46">
        <f t="shared" si="0"/>
        <v>96.99828473413379</v>
      </c>
      <c r="N10" s="40">
        <v>20.13</v>
      </c>
      <c r="O10" s="46">
        <f t="shared" si="1"/>
        <v>86.320754716981128</v>
      </c>
      <c r="P10" s="40">
        <v>21.92</v>
      </c>
      <c r="Q10" s="46">
        <f t="shared" si="2"/>
        <v>93.996569468267595</v>
      </c>
      <c r="R10" s="40">
        <v>18.760000000000002</v>
      </c>
      <c r="S10" s="46">
        <f t="shared" si="3"/>
        <v>80.445969125214418</v>
      </c>
      <c r="T10" s="40">
        <v>18.329999999999998</v>
      </c>
      <c r="U10" s="52">
        <f t="shared" si="4"/>
        <v>78.602058319039443</v>
      </c>
      <c r="V10" s="48">
        <v>16.940000000000001</v>
      </c>
      <c r="W10" s="52">
        <f t="shared" si="5"/>
        <v>72.64150943396227</v>
      </c>
      <c r="X10" s="48">
        <v>15.85</v>
      </c>
      <c r="Y10" s="52">
        <f t="shared" si="6"/>
        <v>67.967409948542027</v>
      </c>
      <c r="Z10" s="48">
        <v>14.65</v>
      </c>
      <c r="AA10" s="52">
        <f t="shared" si="7"/>
        <v>62.821612349914233</v>
      </c>
      <c r="AB10" s="49" t="s">
        <v>289</v>
      </c>
      <c r="AC10" s="52"/>
      <c r="AD10" s="48"/>
      <c r="AE10" s="50"/>
    </row>
    <row r="11" spans="2:33" s="95" customFormat="1" ht="12.5" x14ac:dyDescent="0.25">
      <c r="B11" s="3">
        <v>15</v>
      </c>
      <c r="C11" s="3">
        <v>1</v>
      </c>
      <c r="D11" s="3"/>
      <c r="E11" s="1"/>
      <c r="F11" s="2" t="s">
        <v>143</v>
      </c>
      <c r="G11" s="3">
        <v>1</v>
      </c>
      <c r="I11" s="354" t="s">
        <v>860</v>
      </c>
      <c r="J11" s="44" t="s">
        <v>284</v>
      </c>
      <c r="K11" s="45">
        <v>26.07</v>
      </c>
      <c r="L11" s="40">
        <v>26.24</v>
      </c>
      <c r="M11" s="46">
        <f t="shared" si="0"/>
        <v>100.65209052550823</v>
      </c>
      <c r="N11" s="40">
        <v>26.91</v>
      </c>
      <c r="O11" s="46">
        <f t="shared" si="1"/>
        <v>103.22209436133487</v>
      </c>
      <c r="P11" s="40">
        <v>27.03</v>
      </c>
      <c r="Q11" s="46">
        <f t="shared" si="2"/>
        <v>103.68239355581127</v>
      </c>
      <c r="R11" s="40">
        <v>28.16</v>
      </c>
      <c r="S11" s="46">
        <f t="shared" si="3"/>
        <v>108.01687763713079</v>
      </c>
      <c r="T11" s="40">
        <v>27.7</v>
      </c>
      <c r="U11" s="46">
        <f t="shared" si="4"/>
        <v>106.2523973916379</v>
      </c>
      <c r="V11" s="40">
        <v>28.17</v>
      </c>
      <c r="W11" s="46">
        <f t="shared" si="5"/>
        <v>108.05523590333716</v>
      </c>
      <c r="X11" s="40">
        <v>27.38</v>
      </c>
      <c r="Y11" s="46">
        <f t="shared" si="6"/>
        <v>105.02493287303413</v>
      </c>
      <c r="Z11" s="40">
        <v>28.4</v>
      </c>
      <c r="AA11" s="46">
        <f t="shared" si="7"/>
        <v>108.93747602608362</v>
      </c>
      <c r="AB11" s="40">
        <v>28.12</v>
      </c>
      <c r="AC11" s="46">
        <f t="shared" ref="AC11:AC15" si="9">AB11/K11*100</f>
        <v>107.86344457230534</v>
      </c>
      <c r="AD11" s="40">
        <v>28.78</v>
      </c>
      <c r="AE11" s="47">
        <f t="shared" ref="AE11:AE15" si="10">AD11/K11*100</f>
        <v>110.39509014192559</v>
      </c>
    </row>
    <row r="12" spans="2:33" s="95" customFormat="1" ht="13" x14ac:dyDescent="0.3">
      <c r="B12" s="3">
        <v>21</v>
      </c>
      <c r="C12" s="3">
        <v>1</v>
      </c>
      <c r="D12" s="3"/>
      <c r="E12" s="1"/>
      <c r="F12" s="7" t="s">
        <v>47</v>
      </c>
      <c r="G12" s="8" t="s">
        <v>48</v>
      </c>
      <c r="I12" s="354"/>
      <c r="J12" s="44" t="s">
        <v>285</v>
      </c>
      <c r="K12" s="45">
        <v>25.86</v>
      </c>
      <c r="L12" s="40">
        <v>25.01</v>
      </c>
      <c r="M12" s="46">
        <f t="shared" si="0"/>
        <v>96.713070378963664</v>
      </c>
      <c r="N12" s="40">
        <v>25.73</v>
      </c>
      <c r="O12" s="46">
        <f t="shared" si="1"/>
        <v>99.497293116782686</v>
      </c>
      <c r="P12" s="40">
        <v>25.38</v>
      </c>
      <c r="Q12" s="46">
        <f t="shared" si="2"/>
        <v>98.143851508120648</v>
      </c>
      <c r="R12" s="40">
        <v>26.1</v>
      </c>
      <c r="S12" s="46">
        <f t="shared" si="3"/>
        <v>100.92807424593968</v>
      </c>
      <c r="T12" s="40">
        <v>25.58</v>
      </c>
      <c r="U12" s="46">
        <f t="shared" si="4"/>
        <v>98.917246713070369</v>
      </c>
      <c r="V12" s="40">
        <v>25.01</v>
      </c>
      <c r="W12" s="46">
        <f t="shared" si="5"/>
        <v>96.713070378963664</v>
      </c>
      <c r="X12" s="40">
        <v>25.36</v>
      </c>
      <c r="Y12" s="46">
        <f t="shared" si="6"/>
        <v>98.066511987625688</v>
      </c>
      <c r="Z12" s="40">
        <v>25.97</v>
      </c>
      <c r="AA12" s="46">
        <f t="shared" si="7"/>
        <v>100.42536736272234</v>
      </c>
      <c r="AB12" s="40">
        <v>25.4</v>
      </c>
      <c r="AC12" s="46">
        <f t="shared" si="9"/>
        <v>98.221191028615621</v>
      </c>
      <c r="AD12" s="40">
        <v>25.79</v>
      </c>
      <c r="AE12" s="47">
        <f t="shared" si="10"/>
        <v>99.729311678267592</v>
      </c>
    </row>
    <row r="13" spans="2:33" s="95" customFormat="1" ht="13" x14ac:dyDescent="0.3">
      <c r="B13" s="3">
        <v>24</v>
      </c>
      <c r="C13" s="3">
        <v>1</v>
      </c>
      <c r="D13" s="3"/>
      <c r="E13" s="1"/>
      <c r="F13" s="7" t="s">
        <v>49</v>
      </c>
      <c r="G13" s="8" t="s">
        <v>50</v>
      </c>
      <c r="I13" s="354"/>
      <c r="J13" s="44" t="s">
        <v>286</v>
      </c>
      <c r="K13" s="45">
        <v>18.29</v>
      </c>
      <c r="L13" s="40">
        <v>18.07</v>
      </c>
      <c r="M13" s="46">
        <f t="shared" si="0"/>
        <v>98.797156916347745</v>
      </c>
      <c r="N13" s="40">
        <v>18.11</v>
      </c>
      <c r="O13" s="46">
        <f t="shared" si="1"/>
        <v>99.015855658829963</v>
      </c>
      <c r="P13" s="40">
        <v>18.260000000000002</v>
      </c>
      <c r="Q13" s="46">
        <f t="shared" si="2"/>
        <v>99.835975943138351</v>
      </c>
      <c r="R13" s="40">
        <v>18.72</v>
      </c>
      <c r="S13" s="46">
        <f t="shared" si="3"/>
        <v>102.35101148168397</v>
      </c>
      <c r="T13" s="40">
        <v>18.53</v>
      </c>
      <c r="U13" s="46">
        <f t="shared" si="4"/>
        <v>101.31219245489341</v>
      </c>
      <c r="V13" s="40">
        <v>18.75</v>
      </c>
      <c r="W13" s="46">
        <f t="shared" si="5"/>
        <v>102.51503553854566</v>
      </c>
      <c r="X13" s="40">
        <v>18.899999999999999</v>
      </c>
      <c r="Y13" s="46">
        <f t="shared" si="6"/>
        <v>103.33515582285402</v>
      </c>
      <c r="Z13" s="40">
        <v>19.28</v>
      </c>
      <c r="AA13" s="46">
        <f t="shared" si="7"/>
        <v>105.41279387643523</v>
      </c>
      <c r="AB13" s="40">
        <v>19.04</v>
      </c>
      <c r="AC13" s="46">
        <f t="shared" si="9"/>
        <v>104.10060142154182</v>
      </c>
      <c r="AD13" s="40">
        <v>19.23</v>
      </c>
      <c r="AE13" s="47">
        <f t="shared" si="10"/>
        <v>105.13942044833242</v>
      </c>
    </row>
    <row r="14" spans="2:33" s="95" customFormat="1" ht="12.5" x14ac:dyDescent="0.25">
      <c r="B14" s="3">
        <v>33</v>
      </c>
      <c r="C14" s="3">
        <v>1</v>
      </c>
      <c r="D14" s="3"/>
      <c r="E14" s="1"/>
      <c r="F14" s="2" t="s">
        <v>144</v>
      </c>
      <c r="G14" s="3" t="s">
        <v>52</v>
      </c>
      <c r="I14" s="354"/>
      <c r="J14" s="44" t="s">
        <v>287</v>
      </c>
      <c r="K14" s="45">
        <v>18.27</v>
      </c>
      <c r="L14" s="40">
        <v>18.149999999999999</v>
      </c>
      <c r="M14" s="46">
        <f t="shared" si="0"/>
        <v>99.343185550082097</v>
      </c>
      <c r="N14" s="40">
        <v>19.260000000000002</v>
      </c>
      <c r="O14" s="46">
        <f t="shared" si="1"/>
        <v>105.41871921182266</v>
      </c>
      <c r="P14" s="40">
        <v>18.28</v>
      </c>
      <c r="Q14" s="46">
        <f t="shared" si="2"/>
        <v>100.05473453749316</v>
      </c>
      <c r="R14" s="40">
        <v>19.36</v>
      </c>
      <c r="S14" s="46">
        <f t="shared" si="3"/>
        <v>105.96606458675424</v>
      </c>
      <c r="T14" s="40">
        <v>18.72</v>
      </c>
      <c r="U14" s="46">
        <f t="shared" si="4"/>
        <v>102.4630541871921</v>
      </c>
      <c r="V14" s="40">
        <v>18.89</v>
      </c>
      <c r="W14" s="46">
        <f t="shared" si="5"/>
        <v>103.39354132457581</v>
      </c>
      <c r="X14" s="40">
        <v>19.239999999999998</v>
      </c>
      <c r="Y14" s="46">
        <f t="shared" si="6"/>
        <v>105.30925013683634</v>
      </c>
      <c r="Z14" s="40">
        <v>19.809999999999999</v>
      </c>
      <c r="AA14" s="46">
        <f t="shared" si="7"/>
        <v>108.42911877394637</v>
      </c>
      <c r="AB14" s="40">
        <v>19.39</v>
      </c>
      <c r="AC14" s="46">
        <f t="shared" si="9"/>
        <v>106.13026819923373</v>
      </c>
      <c r="AD14" s="40">
        <v>19.559999999999999</v>
      </c>
      <c r="AE14" s="47">
        <f t="shared" si="10"/>
        <v>107.0607553366174</v>
      </c>
    </row>
    <row r="15" spans="2:33" s="95" customFormat="1" ht="12.5" x14ac:dyDescent="0.25">
      <c r="B15" s="3">
        <v>36</v>
      </c>
      <c r="C15" s="3">
        <v>1</v>
      </c>
      <c r="D15" s="3"/>
      <c r="E15" s="1"/>
      <c r="F15" s="2"/>
      <c r="G15" s="3"/>
      <c r="I15" s="354"/>
      <c r="J15" s="44" t="s">
        <v>288</v>
      </c>
      <c r="K15" s="45">
        <v>18.37</v>
      </c>
      <c r="L15" s="40">
        <v>18.809999999999999</v>
      </c>
      <c r="M15" s="46">
        <f t="shared" si="0"/>
        <v>102.39520958083833</v>
      </c>
      <c r="N15" s="40">
        <v>19.399999999999999</v>
      </c>
      <c r="O15" s="46">
        <f t="shared" si="1"/>
        <v>105.60696788241697</v>
      </c>
      <c r="P15" s="40">
        <v>17.91</v>
      </c>
      <c r="Q15" s="46">
        <f t="shared" si="2"/>
        <v>97.495917256396297</v>
      </c>
      <c r="R15" s="40">
        <v>19.78</v>
      </c>
      <c r="S15" s="46">
        <f t="shared" si="3"/>
        <v>107.67555797495918</v>
      </c>
      <c r="T15" s="40">
        <v>19.5</v>
      </c>
      <c r="U15" s="46">
        <f t="shared" si="4"/>
        <v>106.15133369624388</v>
      </c>
      <c r="V15" s="40">
        <v>19.010000000000002</v>
      </c>
      <c r="W15" s="46">
        <f t="shared" si="5"/>
        <v>103.48394120849211</v>
      </c>
      <c r="X15" s="40">
        <v>19.89</v>
      </c>
      <c r="Y15" s="46">
        <f t="shared" si="6"/>
        <v>108.27436037016875</v>
      </c>
      <c r="Z15" s="40">
        <v>19.86</v>
      </c>
      <c r="AA15" s="46">
        <f t="shared" si="7"/>
        <v>108.11105062602067</v>
      </c>
      <c r="AB15" s="40">
        <v>20.420000000000002</v>
      </c>
      <c r="AC15" s="46">
        <f t="shared" si="9"/>
        <v>111.15949918345129</v>
      </c>
      <c r="AD15" s="40">
        <v>20.260000000000002</v>
      </c>
      <c r="AE15" s="47">
        <f t="shared" si="10"/>
        <v>110.28851388132826</v>
      </c>
    </row>
    <row r="16" spans="2:33" s="95" customFormat="1" ht="13" x14ac:dyDescent="0.3">
      <c r="B16" s="3">
        <v>54</v>
      </c>
      <c r="C16" s="3"/>
      <c r="D16" s="3">
        <v>0</v>
      </c>
      <c r="E16" s="1"/>
      <c r="F16" s="2" t="s">
        <v>205</v>
      </c>
      <c r="G16" s="3"/>
      <c r="I16" s="5"/>
      <c r="J16" s="96"/>
      <c r="K16" s="97" t="s">
        <v>13</v>
      </c>
      <c r="L16" s="98"/>
      <c r="M16" s="98"/>
    </row>
    <row r="17" spans="2:31" s="95" customFormat="1" ht="13" x14ac:dyDescent="0.3">
      <c r="B17" s="3">
        <v>54</v>
      </c>
      <c r="C17" s="3"/>
      <c r="D17" s="3">
        <v>0</v>
      </c>
      <c r="E17" s="1"/>
      <c r="F17" s="2" t="s">
        <v>142</v>
      </c>
      <c r="G17" s="3">
        <v>18.14</v>
      </c>
      <c r="I17" s="5"/>
      <c r="J17" s="96"/>
      <c r="K17" s="26" t="s">
        <v>107</v>
      </c>
      <c r="L17" s="98"/>
      <c r="M17" s="98"/>
    </row>
    <row r="18" spans="2:31" s="95" customFormat="1" ht="12.5" x14ac:dyDescent="0.25">
      <c r="B18" s="3">
        <v>54</v>
      </c>
      <c r="C18" s="3"/>
      <c r="D18" s="3">
        <v>0</v>
      </c>
      <c r="E18" s="1"/>
      <c r="F18" s="2" t="s">
        <v>143</v>
      </c>
      <c r="G18" s="3">
        <v>1</v>
      </c>
      <c r="I18" s="5"/>
      <c r="J18" s="96"/>
      <c r="K18" s="98"/>
      <c r="L18" s="98"/>
      <c r="M18" s="98"/>
    </row>
    <row r="19" spans="2:31" s="95" customFormat="1" ht="12.5" x14ac:dyDescent="0.25">
      <c r="B19" s="3">
        <v>54</v>
      </c>
      <c r="C19" s="3"/>
      <c r="D19" s="3">
        <v>0</v>
      </c>
      <c r="E19" s="1"/>
      <c r="F19" s="2" t="s">
        <v>47</v>
      </c>
      <c r="G19" s="3" t="s">
        <v>48</v>
      </c>
      <c r="I19" s="5"/>
      <c r="J19" s="96"/>
      <c r="K19" s="98"/>
      <c r="L19" s="98"/>
      <c r="M19" s="98"/>
    </row>
    <row r="20" spans="2:31" s="95" customFormat="1" ht="13" x14ac:dyDescent="0.3">
      <c r="B20" s="3">
        <v>54</v>
      </c>
      <c r="C20" s="3"/>
      <c r="D20" s="3">
        <v>0</v>
      </c>
      <c r="E20" s="1"/>
      <c r="F20" s="2" t="s">
        <v>49</v>
      </c>
      <c r="G20" s="3" t="s">
        <v>50</v>
      </c>
      <c r="I20" s="99" t="s">
        <v>149</v>
      </c>
      <c r="J20" s="100"/>
      <c r="K20" s="101"/>
      <c r="L20" s="101"/>
    </row>
    <row r="21" spans="2:31" s="95" customFormat="1" ht="12.5" x14ac:dyDescent="0.25">
      <c r="B21" s="3">
        <v>54</v>
      </c>
      <c r="C21" s="3"/>
      <c r="D21" s="3">
        <v>0</v>
      </c>
      <c r="E21" s="1"/>
      <c r="F21" s="2" t="s">
        <v>144</v>
      </c>
      <c r="G21" s="3" t="s">
        <v>52</v>
      </c>
      <c r="I21" s="4"/>
      <c r="J21" s="27" t="s">
        <v>72</v>
      </c>
      <c r="K21" s="27" t="s">
        <v>172</v>
      </c>
      <c r="L21" s="357" t="s">
        <v>263</v>
      </c>
      <c r="M21" s="357"/>
      <c r="N21" s="357" t="s">
        <v>173</v>
      </c>
      <c r="O21" s="357"/>
      <c r="P21" s="357" t="s">
        <v>102</v>
      </c>
      <c r="Q21" s="357"/>
      <c r="R21" s="357" t="s">
        <v>174</v>
      </c>
      <c r="S21" s="357"/>
      <c r="T21" s="357" t="s">
        <v>103</v>
      </c>
      <c r="U21" s="357"/>
      <c r="V21" s="357" t="s">
        <v>175</v>
      </c>
      <c r="W21" s="357"/>
      <c r="X21" s="357" t="s">
        <v>74</v>
      </c>
      <c r="Y21" s="357"/>
      <c r="Z21" s="357" t="s">
        <v>176</v>
      </c>
      <c r="AA21" s="357"/>
      <c r="AB21" s="357" t="s">
        <v>75</v>
      </c>
      <c r="AC21" s="357"/>
      <c r="AD21" s="357" t="s">
        <v>264</v>
      </c>
      <c r="AE21" s="357"/>
    </row>
    <row r="22" spans="2:31" s="95" customFormat="1" ht="12.5" x14ac:dyDescent="0.25">
      <c r="B22" s="3">
        <v>54</v>
      </c>
      <c r="C22" s="3"/>
      <c r="D22" s="3">
        <v>0</v>
      </c>
      <c r="E22" s="1"/>
      <c r="F22" s="2"/>
      <c r="G22" s="3"/>
      <c r="I22" s="4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2:31" s="95" customFormat="1" ht="13" x14ac:dyDescent="0.25">
      <c r="B23" s="3">
        <v>54</v>
      </c>
      <c r="C23" s="3"/>
      <c r="D23" s="3">
        <v>0</v>
      </c>
      <c r="E23" s="1"/>
      <c r="F23" s="2" t="s">
        <v>206</v>
      </c>
      <c r="G23" s="3"/>
      <c r="I23" s="354" t="s">
        <v>859</v>
      </c>
      <c r="J23" s="58" t="s">
        <v>265</v>
      </c>
      <c r="K23" s="55">
        <v>17.16</v>
      </c>
      <c r="L23" s="48">
        <v>16.93</v>
      </c>
      <c r="M23" s="41">
        <f>L23/K23*100</f>
        <v>98.659673659673658</v>
      </c>
      <c r="N23" s="48">
        <v>16.37</v>
      </c>
      <c r="O23" s="41">
        <f>N23/K23*100</f>
        <v>95.396270396270396</v>
      </c>
      <c r="P23" s="48">
        <v>14.27</v>
      </c>
      <c r="Q23" s="41">
        <f>P23/K23*100</f>
        <v>83.158508158508155</v>
      </c>
      <c r="R23" s="48">
        <v>14.19</v>
      </c>
      <c r="S23" s="41">
        <f>R23/K23*100</f>
        <v>82.692307692307693</v>
      </c>
      <c r="T23" s="48">
        <v>13.79</v>
      </c>
      <c r="U23" s="41">
        <f>T23/K23*100</f>
        <v>80.361305361305355</v>
      </c>
      <c r="V23" s="48">
        <v>13.77</v>
      </c>
      <c r="W23" s="41">
        <f>V23/K23*100</f>
        <v>80.24475524475524</v>
      </c>
      <c r="X23" s="48">
        <v>12.12</v>
      </c>
      <c r="Y23" s="56">
        <f>X23/K23*100</f>
        <v>70.629370629370626</v>
      </c>
      <c r="Z23" s="49" t="s">
        <v>266</v>
      </c>
      <c r="AA23" s="56"/>
      <c r="AB23" s="49"/>
      <c r="AC23" s="56"/>
      <c r="AD23" s="49"/>
      <c r="AE23" s="56"/>
    </row>
    <row r="24" spans="2:31" s="95" customFormat="1" ht="13" x14ac:dyDescent="0.25">
      <c r="B24" s="3">
        <v>54</v>
      </c>
      <c r="C24" s="3"/>
      <c r="D24" s="3">
        <v>0</v>
      </c>
      <c r="E24" s="1"/>
      <c r="F24" s="2" t="s">
        <v>133</v>
      </c>
      <c r="G24" s="3">
        <v>14.5</v>
      </c>
      <c r="I24" s="354"/>
      <c r="J24" s="58" t="s">
        <v>267</v>
      </c>
      <c r="K24" s="55">
        <v>17.82</v>
      </c>
      <c r="L24" s="40">
        <v>17.13</v>
      </c>
      <c r="M24" s="41">
        <f t="shared" ref="M24:M32" si="11">L24/K24*100</f>
        <v>96.127946127946117</v>
      </c>
      <c r="N24" s="40">
        <v>17.079999999999998</v>
      </c>
      <c r="O24" s="41">
        <f t="shared" ref="O24:O32" si="12">N24/K24*100</f>
        <v>95.847362514029172</v>
      </c>
      <c r="P24" s="48">
        <v>14.56</v>
      </c>
      <c r="Q24" s="41">
        <f t="shared" ref="Q24:Q32" si="13">P24/K24*100</f>
        <v>81.70594837261504</v>
      </c>
      <c r="R24" s="48">
        <v>13.96</v>
      </c>
      <c r="S24" s="56">
        <f t="shared" ref="S24:S32" si="14">R24/K24*100</f>
        <v>78.338945005611677</v>
      </c>
      <c r="T24" s="48">
        <v>14.38</v>
      </c>
      <c r="U24" s="41">
        <f t="shared" ref="U24:U25" si="15">T24/K24*100</f>
        <v>80.69584736251403</v>
      </c>
      <c r="V24" s="48">
        <v>14.08</v>
      </c>
      <c r="W24" s="56">
        <f t="shared" ref="W24:W25" si="16">V24/K24*100</f>
        <v>79.012345679012341</v>
      </c>
      <c r="X24" s="48">
        <v>12.46</v>
      </c>
      <c r="Y24" s="56">
        <f t="shared" ref="Y24:Y25" si="17">X24/K24*100</f>
        <v>69.921436588103262</v>
      </c>
      <c r="Z24" s="49" t="s">
        <v>266</v>
      </c>
      <c r="AA24" s="56"/>
      <c r="AB24" s="49"/>
      <c r="AC24" s="56"/>
      <c r="AD24" s="49"/>
      <c r="AE24" s="56"/>
    </row>
    <row r="25" spans="2:31" s="95" customFormat="1" ht="13" x14ac:dyDescent="0.25">
      <c r="B25" s="3">
        <v>54</v>
      </c>
      <c r="C25" s="3"/>
      <c r="D25" s="3">
        <v>0</v>
      </c>
      <c r="E25" s="1"/>
      <c r="F25" s="2" t="s">
        <v>134</v>
      </c>
      <c r="G25" s="3" t="s">
        <v>293</v>
      </c>
      <c r="I25" s="354"/>
      <c r="J25" s="58" t="s">
        <v>268</v>
      </c>
      <c r="K25" s="55">
        <v>18.8</v>
      </c>
      <c r="L25" s="40">
        <v>18.2</v>
      </c>
      <c r="M25" s="41">
        <f t="shared" si="11"/>
        <v>96.808510638297861</v>
      </c>
      <c r="N25" s="40">
        <v>17.63</v>
      </c>
      <c r="O25" s="41">
        <f t="shared" si="12"/>
        <v>93.776595744680847</v>
      </c>
      <c r="P25" s="48">
        <v>15.24</v>
      </c>
      <c r="Q25" s="41">
        <f t="shared" si="13"/>
        <v>81.063829787234042</v>
      </c>
      <c r="R25" s="48">
        <v>14.04</v>
      </c>
      <c r="S25" s="56">
        <f t="shared" si="14"/>
        <v>74.680851063829778</v>
      </c>
      <c r="T25" s="48">
        <v>15.07</v>
      </c>
      <c r="U25" s="41">
        <f t="shared" si="15"/>
        <v>80.159574468085111</v>
      </c>
      <c r="V25" s="48">
        <v>14.91</v>
      </c>
      <c r="W25" s="56">
        <f t="shared" si="16"/>
        <v>79.308510638297875</v>
      </c>
      <c r="X25" s="48">
        <v>14.04</v>
      </c>
      <c r="Y25" s="56">
        <f t="shared" si="17"/>
        <v>74.680851063829778</v>
      </c>
      <c r="Z25" s="49" t="s">
        <v>94</v>
      </c>
      <c r="AA25" s="56"/>
      <c r="AB25" s="49"/>
      <c r="AC25" s="56"/>
      <c r="AD25" s="49"/>
      <c r="AE25" s="56"/>
    </row>
    <row r="26" spans="2:31" s="95" customFormat="1" ht="13" x14ac:dyDescent="0.3">
      <c r="E26" s="1"/>
      <c r="F26" s="2"/>
      <c r="G26" s="3"/>
      <c r="I26" s="354"/>
      <c r="J26" s="58" t="s">
        <v>269</v>
      </c>
      <c r="K26" s="55">
        <v>18.78</v>
      </c>
      <c r="L26" s="40">
        <v>18.11</v>
      </c>
      <c r="M26" s="41">
        <f t="shared" si="11"/>
        <v>96.432374866879655</v>
      </c>
      <c r="N26" s="40">
        <v>17.25</v>
      </c>
      <c r="O26" s="41">
        <f t="shared" si="12"/>
        <v>91.853035143769972</v>
      </c>
      <c r="P26" s="48">
        <v>15.15</v>
      </c>
      <c r="Q26" s="41">
        <f t="shared" si="13"/>
        <v>80.670926517571885</v>
      </c>
      <c r="R26" s="48">
        <v>13.98</v>
      </c>
      <c r="S26" s="56">
        <f t="shared" si="14"/>
        <v>74.440894568690098</v>
      </c>
      <c r="T26" s="49" t="s">
        <v>224</v>
      </c>
      <c r="U26" s="57"/>
      <c r="V26" s="48"/>
      <c r="W26" s="57"/>
      <c r="X26" s="48"/>
      <c r="Y26" s="56"/>
      <c r="Z26" s="49"/>
      <c r="AA26" s="56"/>
      <c r="AB26" s="49"/>
      <c r="AC26" s="56"/>
      <c r="AD26" s="49"/>
      <c r="AE26" s="56"/>
    </row>
    <row r="27" spans="2:31" s="95" customFormat="1" ht="13" x14ac:dyDescent="0.25">
      <c r="E27" s="1"/>
      <c r="F27" s="2" t="s">
        <v>211</v>
      </c>
      <c r="G27" s="3"/>
      <c r="I27" s="354"/>
      <c r="J27" s="58" t="s">
        <v>270</v>
      </c>
      <c r="K27" s="55">
        <v>18.8</v>
      </c>
      <c r="L27" s="40">
        <v>17.8</v>
      </c>
      <c r="M27" s="41">
        <f t="shared" si="11"/>
        <v>94.680851063829792</v>
      </c>
      <c r="N27" s="40">
        <v>17.37</v>
      </c>
      <c r="O27" s="41">
        <f t="shared" si="12"/>
        <v>92.393617021276597</v>
      </c>
      <c r="P27" s="48">
        <v>15.11</v>
      </c>
      <c r="Q27" s="41">
        <f t="shared" si="13"/>
        <v>80.372340425531902</v>
      </c>
      <c r="R27" s="48">
        <v>14.75</v>
      </c>
      <c r="S27" s="56">
        <f t="shared" si="14"/>
        <v>78.457446808510639</v>
      </c>
      <c r="T27" s="48">
        <v>15.64</v>
      </c>
      <c r="U27" s="41">
        <f t="shared" ref="U27:U32" si="18">T27/K27*100</f>
        <v>83.191489361702125</v>
      </c>
      <c r="V27" s="48">
        <v>15.21</v>
      </c>
      <c r="W27" s="41">
        <f t="shared" ref="W27:W32" si="19">V27/K27*100</f>
        <v>80.90425531914893</v>
      </c>
      <c r="X27" s="48">
        <v>14.11</v>
      </c>
      <c r="Y27" s="56">
        <f t="shared" ref="Y27:Y32" si="20">X27/K27*100</f>
        <v>75.053191489361694</v>
      </c>
      <c r="Z27" s="49" t="s">
        <v>271</v>
      </c>
      <c r="AA27" s="56"/>
      <c r="AB27" s="49"/>
      <c r="AC27" s="56"/>
      <c r="AD27" s="49"/>
      <c r="AE27" s="56"/>
    </row>
    <row r="28" spans="2:31" s="95" customFormat="1" ht="12.5" x14ac:dyDescent="0.25">
      <c r="E28" s="1"/>
      <c r="F28" s="2" t="s">
        <v>208</v>
      </c>
      <c r="G28" s="3">
        <v>27.39</v>
      </c>
      <c r="I28" s="354" t="s">
        <v>860</v>
      </c>
      <c r="J28" s="58" t="s">
        <v>272</v>
      </c>
      <c r="K28" s="55">
        <v>18.46</v>
      </c>
      <c r="L28" s="40">
        <v>17.399999999999999</v>
      </c>
      <c r="M28" s="41">
        <f t="shared" si="11"/>
        <v>94.257854821235085</v>
      </c>
      <c r="N28" s="40">
        <v>18.010000000000002</v>
      </c>
      <c r="O28" s="41">
        <f t="shared" si="12"/>
        <v>97.562296858071505</v>
      </c>
      <c r="P28" s="40">
        <v>18.02</v>
      </c>
      <c r="Q28" s="41">
        <f t="shared" si="13"/>
        <v>97.616468039003252</v>
      </c>
      <c r="R28" s="40">
        <v>18.260000000000002</v>
      </c>
      <c r="S28" s="41">
        <f t="shared" si="14"/>
        <v>98.916576381365118</v>
      </c>
      <c r="T28" s="40">
        <v>19.02</v>
      </c>
      <c r="U28" s="41">
        <f t="shared" si="18"/>
        <v>103.03358613217767</v>
      </c>
      <c r="V28" s="40">
        <v>18.8</v>
      </c>
      <c r="W28" s="41">
        <f t="shared" si="19"/>
        <v>101.84182015167931</v>
      </c>
      <c r="X28" s="40">
        <v>18.55</v>
      </c>
      <c r="Y28" s="41">
        <f t="shared" si="20"/>
        <v>100.4875406283857</v>
      </c>
      <c r="Z28" s="40">
        <v>18.64</v>
      </c>
      <c r="AA28" s="41">
        <f>Z28/K28*100</f>
        <v>100.97508125677139</v>
      </c>
      <c r="AB28" s="40">
        <v>18.95</v>
      </c>
      <c r="AC28" s="41">
        <f>AB28/K28*100</f>
        <v>102.65438786565547</v>
      </c>
      <c r="AD28" s="40">
        <v>18.97</v>
      </c>
      <c r="AE28" s="41">
        <f>AD28/K28*100</f>
        <v>102.76273022751894</v>
      </c>
    </row>
    <row r="29" spans="2:31" s="95" customFormat="1" ht="12.5" x14ac:dyDescent="0.25">
      <c r="E29" s="1"/>
      <c r="F29" s="2" t="s">
        <v>209</v>
      </c>
      <c r="G29" s="3" t="s">
        <v>294</v>
      </c>
      <c r="I29" s="354"/>
      <c r="J29" s="58" t="s">
        <v>273</v>
      </c>
      <c r="K29" s="55">
        <v>18.420000000000002</v>
      </c>
      <c r="L29" s="40">
        <v>17.399999999999999</v>
      </c>
      <c r="M29" s="41">
        <f t="shared" si="11"/>
        <v>94.462540716612367</v>
      </c>
      <c r="N29" s="40">
        <v>17.71</v>
      </c>
      <c r="O29" s="41">
        <f t="shared" si="12"/>
        <v>96.145494028230189</v>
      </c>
      <c r="P29" s="40">
        <v>17.940000000000001</v>
      </c>
      <c r="Q29" s="41">
        <f t="shared" si="13"/>
        <v>97.394136807817588</v>
      </c>
      <c r="R29" s="40">
        <v>18.100000000000001</v>
      </c>
      <c r="S29" s="41">
        <f t="shared" si="14"/>
        <v>98.262757871878392</v>
      </c>
      <c r="T29" s="40">
        <v>18.48</v>
      </c>
      <c r="U29" s="41">
        <f t="shared" si="18"/>
        <v>100.3257328990228</v>
      </c>
      <c r="V29" s="40">
        <v>18.8</v>
      </c>
      <c r="W29" s="41">
        <f t="shared" si="19"/>
        <v>102.0629750271444</v>
      </c>
      <c r="X29" s="40">
        <v>18.53</v>
      </c>
      <c r="Y29" s="41">
        <f t="shared" si="20"/>
        <v>100.59717698154181</v>
      </c>
      <c r="Z29" s="40">
        <v>18.440000000000001</v>
      </c>
      <c r="AA29" s="41">
        <f t="shared" ref="AA29:AA32" si="21">Z29/K29*100</f>
        <v>100.1085776330076</v>
      </c>
      <c r="AB29" s="40">
        <v>18.32</v>
      </c>
      <c r="AC29" s="41">
        <f t="shared" ref="AC29:AC32" si="22">AB29/K29*100</f>
        <v>99.457111834961992</v>
      </c>
      <c r="AD29" s="40">
        <v>19.309999999999999</v>
      </c>
      <c r="AE29" s="41">
        <f t="shared" ref="AE29:AE32" si="23">AD29/K29*100</f>
        <v>104.8317046688382</v>
      </c>
    </row>
    <row r="30" spans="2:31" s="95" customFormat="1" ht="12.5" x14ac:dyDescent="0.25">
      <c r="E30" s="1"/>
      <c r="I30" s="354"/>
      <c r="J30" s="58" t="s">
        <v>274</v>
      </c>
      <c r="K30" s="55">
        <v>17.68</v>
      </c>
      <c r="L30" s="48">
        <v>16.739999999999998</v>
      </c>
      <c r="M30" s="41">
        <f t="shared" si="11"/>
        <v>94.68325791855203</v>
      </c>
      <c r="N30" s="40">
        <v>17.2</v>
      </c>
      <c r="O30" s="41">
        <f t="shared" si="12"/>
        <v>97.285067873303163</v>
      </c>
      <c r="P30" s="40">
        <v>17.53</v>
      </c>
      <c r="Q30" s="41">
        <f t="shared" si="13"/>
        <v>99.151583710407238</v>
      </c>
      <c r="R30" s="40">
        <v>17.72</v>
      </c>
      <c r="S30" s="41">
        <f t="shared" si="14"/>
        <v>100.22624434389141</v>
      </c>
      <c r="T30" s="40">
        <v>17.89</v>
      </c>
      <c r="U30" s="41">
        <f t="shared" si="18"/>
        <v>101.18778280542986</v>
      </c>
      <c r="V30" s="40">
        <v>18.04</v>
      </c>
      <c r="W30" s="41">
        <f t="shared" si="19"/>
        <v>102.03619909502262</v>
      </c>
      <c r="X30" s="40">
        <v>18.059999999999999</v>
      </c>
      <c r="Y30" s="41">
        <f t="shared" si="20"/>
        <v>102.14932126696831</v>
      </c>
      <c r="Z30" s="40">
        <v>18.84</v>
      </c>
      <c r="AA30" s="41">
        <f t="shared" si="21"/>
        <v>106.56108597285068</v>
      </c>
      <c r="AB30" s="40">
        <v>18.54</v>
      </c>
      <c r="AC30" s="41">
        <f t="shared" si="22"/>
        <v>104.86425339366517</v>
      </c>
      <c r="AD30" s="40">
        <v>18.64</v>
      </c>
      <c r="AE30" s="41">
        <f t="shared" si="23"/>
        <v>105.42986425339367</v>
      </c>
    </row>
    <row r="31" spans="2:31" s="95" customFormat="1" ht="12.5" x14ac:dyDescent="0.25">
      <c r="I31" s="354"/>
      <c r="J31" s="58" t="s">
        <v>275</v>
      </c>
      <c r="K31" s="55">
        <v>18.02</v>
      </c>
      <c r="L31" s="40">
        <v>17.23</v>
      </c>
      <c r="M31" s="41">
        <f t="shared" si="11"/>
        <v>95.61598224195339</v>
      </c>
      <c r="N31" s="40">
        <v>17.88</v>
      </c>
      <c r="O31" s="41">
        <f t="shared" si="12"/>
        <v>99.223085460599336</v>
      </c>
      <c r="P31" s="40">
        <v>17.89</v>
      </c>
      <c r="Q31" s="41">
        <f t="shared" si="13"/>
        <v>99.278579356270811</v>
      </c>
      <c r="R31" s="40">
        <v>18.04</v>
      </c>
      <c r="S31" s="41">
        <f t="shared" si="14"/>
        <v>100.11098779134295</v>
      </c>
      <c r="T31" s="40">
        <v>18.29</v>
      </c>
      <c r="U31" s="41">
        <f t="shared" si="18"/>
        <v>101.49833518312985</v>
      </c>
      <c r="V31" s="40">
        <v>18.61</v>
      </c>
      <c r="W31" s="41">
        <f t="shared" si="19"/>
        <v>103.27413984461708</v>
      </c>
      <c r="X31" s="40">
        <v>18.46</v>
      </c>
      <c r="Y31" s="41">
        <f t="shared" si="20"/>
        <v>102.44173140954496</v>
      </c>
      <c r="Z31" s="40">
        <v>19.079999999999998</v>
      </c>
      <c r="AA31" s="41">
        <f t="shared" si="21"/>
        <v>105.88235294117648</v>
      </c>
      <c r="AB31" s="40">
        <v>18.59</v>
      </c>
      <c r="AC31" s="41">
        <f t="shared" si="22"/>
        <v>103.16315205327413</v>
      </c>
      <c r="AD31" s="40">
        <v>19.78</v>
      </c>
      <c r="AE31" s="41">
        <f t="shared" si="23"/>
        <v>109.7669256381798</v>
      </c>
    </row>
    <row r="32" spans="2:31" s="95" customFormat="1" ht="12.5" x14ac:dyDescent="0.25">
      <c r="I32" s="354"/>
      <c r="J32" s="58" t="s">
        <v>276</v>
      </c>
      <c r="K32" s="55">
        <v>18.21</v>
      </c>
      <c r="L32" s="40">
        <v>17.2</v>
      </c>
      <c r="M32" s="41">
        <f t="shared" si="11"/>
        <v>94.4535969247666</v>
      </c>
      <c r="N32" s="40">
        <v>17.64</v>
      </c>
      <c r="O32" s="41">
        <f t="shared" si="12"/>
        <v>96.869851729818777</v>
      </c>
      <c r="P32" s="40">
        <v>17.739999999999998</v>
      </c>
      <c r="Q32" s="41">
        <f t="shared" si="13"/>
        <v>97.419000549148805</v>
      </c>
      <c r="R32" s="40">
        <v>18.12</v>
      </c>
      <c r="S32" s="41">
        <f t="shared" si="14"/>
        <v>99.505766062602959</v>
      </c>
      <c r="T32" s="40">
        <v>18.260000000000002</v>
      </c>
      <c r="U32" s="41">
        <f t="shared" si="18"/>
        <v>100.27457440966504</v>
      </c>
      <c r="V32" s="40">
        <v>18.48</v>
      </c>
      <c r="W32" s="41">
        <f t="shared" si="19"/>
        <v>101.4827018121911</v>
      </c>
      <c r="X32" s="40">
        <v>18.600000000000001</v>
      </c>
      <c r="Y32" s="41">
        <f t="shared" si="20"/>
        <v>102.14168039538716</v>
      </c>
      <c r="Z32" s="40">
        <v>18.7</v>
      </c>
      <c r="AA32" s="41">
        <f t="shared" si="21"/>
        <v>102.69082921471717</v>
      </c>
      <c r="AB32" s="40">
        <v>18.23</v>
      </c>
      <c r="AC32" s="41">
        <f t="shared" si="22"/>
        <v>100.109829763866</v>
      </c>
      <c r="AD32" s="40">
        <v>19.38</v>
      </c>
      <c r="AE32" s="41">
        <f t="shared" si="23"/>
        <v>106.42504118616142</v>
      </c>
    </row>
    <row r="33" spans="9:13" s="95" customFormat="1" ht="13" x14ac:dyDescent="0.3">
      <c r="I33" s="5"/>
      <c r="J33" s="96"/>
      <c r="K33" s="97" t="s">
        <v>13</v>
      </c>
      <c r="L33" s="98"/>
      <c r="M33" s="98"/>
    </row>
    <row r="34" spans="9:13" s="95" customFormat="1" ht="13" x14ac:dyDescent="0.3">
      <c r="I34" s="5"/>
      <c r="J34" s="96"/>
      <c r="K34" s="26" t="s">
        <v>107</v>
      </c>
      <c r="L34" s="98"/>
      <c r="M34" s="98"/>
    </row>
    <row r="37" spans="9:13" ht="16.5" customHeight="1" x14ac:dyDescent="0.3"/>
  </sheetData>
  <mergeCells count="24">
    <mergeCell ref="Z4:AA4"/>
    <mergeCell ref="AB4:AC4"/>
    <mergeCell ref="L4:M4"/>
    <mergeCell ref="N4:O4"/>
    <mergeCell ref="P4:Q4"/>
    <mergeCell ref="R4:S4"/>
    <mergeCell ref="T4:U4"/>
    <mergeCell ref="V4:W4"/>
    <mergeCell ref="AB21:AC21"/>
    <mergeCell ref="AD21:AE21"/>
    <mergeCell ref="I23:I27"/>
    <mergeCell ref="I28:I32"/>
    <mergeCell ref="AD4:AE4"/>
    <mergeCell ref="I6:I10"/>
    <mergeCell ref="I11:I15"/>
    <mergeCell ref="R21:S21"/>
    <mergeCell ref="T21:U21"/>
    <mergeCell ref="V21:W21"/>
    <mergeCell ref="X21:Y21"/>
    <mergeCell ref="Z21:AA21"/>
    <mergeCell ref="L21:M21"/>
    <mergeCell ref="N21:O21"/>
    <mergeCell ref="P21:Q21"/>
    <mergeCell ref="X4:Y4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0CC4-7679-401A-8DFD-BEAE325ED943}">
  <dimension ref="A2:F31"/>
  <sheetViews>
    <sheetView zoomScale="90" zoomScaleNormal="90" workbookViewId="0">
      <selection activeCell="F38" sqref="F38"/>
    </sheetView>
  </sheetViews>
  <sheetFormatPr defaultRowHeight="14" x14ac:dyDescent="0.3"/>
  <cols>
    <col min="1" max="1" width="9" style="25"/>
    <col min="2" max="2" width="16" style="25" customWidth="1"/>
    <col min="3" max="3" width="15.83203125" style="25" customWidth="1"/>
    <col min="4" max="4" width="11.58203125" style="25" customWidth="1"/>
    <col min="5" max="5" width="30.83203125" style="25" bestFit="1" customWidth="1"/>
    <col min="6" max="6" width="15.83203125" style="25" bestFit="1" customWidth="1"/>
    <col min="7" max="7" width="5.25" style="25" customWidth="1"/>
    <col min="8" max="8" width="8.25" style="25" customWidth="1"/>
    <col min="9" max="248" width="9" style="25"/>
    <col min="249" max="261" width="15.5" style="25" customWidth="1"/>
    <col min="262" max="263" width="14" style="25" customWidth="1"/>
    <col min="264" max="264" width="8.25" style="25" customWidth="1"/>
    <col min="265" max="504" width="9" style="25"/>
    <col min="505" max="517" width="15.5" style="25" customWidth="1"/>
    <col min="518" max="519" width="14" style="25" customWidth="1"/>
    <col min="520" max="520" width="8.25" style="25" customWidth="1"/>
    <col min="521" max="760" width="9" style="25"/>
    <col min="761" max="773" width="15.5" style="25" customWidth="1"/>
    <col min="774" max="775" width="14" style="25" customWidth="1"/>
    <col min="776" max="776" width="8.25" style="25" customWidth="1"/>
    <col min="777" max="1016" width="9" style="25"/>
    <col min="1017" max="1029" width="15.5" style="25" customWidth="1"/>
    <col min="1030" max="1031" width="14" style="25" customWidth="1"/>
    <col min="1032" max="1032" width="8.25" style="25" customWidth="1"/>
    <col min="1033" max="1272" width="9" style="25"/>
    <col min="1273" max="1285" width="15.5" style="25" customWidth="1"/>
    <col min="1286" max="1287" width="14" style="25" customWidth="1"/>
    <col min="1288" max="1288" width="8.25" style="25" customWidth="1"/>
    <col min="1289" max="1528" width="9" style="25"/>
    <col min="1529" max="1541" width="15.5" style="25" customWidth="1"/>
    <col min="1542" max="1543" width="14" style="25" customWidth="1"/>
    <col min="1544" max="1544" width="8.25" style="25" customWidth="1"/>
    <col min="1545" max="1784" width="9" style="25"/>
    <col min="1785" max="1797" width="15.5" style="25" customWidth="1"/>
    <col min="1798" max="1799" width="14" style="25" customWidth="1"/>
    <col min="1800" max="1800" width="8.25" style="25" customWidth="1"/>
    <col min="1801" max="2040" width="9" style="25"/>
    <col min="2041" max="2053" width="15.5" style="25" customWidth="1"/>
    <col min="2054" max="2055" width="14" style="25" customWidth="1"/>
    <col min="2056" max="2056" width="8.25" style="25" customWidth="1"/>
    <col min="2057" max="2296" width="9" style="25"/>
    <col min="2297" max="2309" width="15.5" style="25" customWidth="1"/>
    <col min="2310" max="2311" width="14" style="25" customWidth="1"/>
    <col min="2312" max="2312" width="8.25" style="25" customWidth="1"/>
    <col min="2313" max="2552" width="9" style="25"/>
    <col min="2553" max="2565" width="15.5" style="25" customWidth="1"/>
    <col min="2566" max="2567" width="14" style="25" customWidth="1"/>
    <col min="2568" max="2568" width="8.25" style="25" customWidth="1"/>
    <col min="2569" max="2808" width="9" style="25"/>
    <col min="2809" max="2821" width="15.5" style="25" customWidth="1"/>
    <col min="2822" max="2823" width="14" style="25" customWidth="1"/>
    <col min="2824" max="2824" width="8.25" style="25" customWidth="1"/>
    <col min="2825" max="3064" width="9" style="25"/>
    <col min="3065" max="3077" width="15.5" style="25" customWidth="1"/>
    <col min="3078" max="3079" width="14" style="25" customWidth="1"/>
    <col min="3080" max="3080" width="8.25" style="25" customWidth="1"/>
    <col min="3081" max="3320" width="9" style="25"/>
    <col min="3321" max="3333" width="15.5" style="25" customWidth="1"/>
    <col min="3334" max="3335" width="14" style="25" customWidth="1"/>
    <col min="3336" max="3336" width="8.25" style="25" customWidth="1"/>
    <col min="3337" max="3576" width="9" style="25"/>
    <col min="3577" max="3589" width="15.5" style="25" customWidth="1"/>
    <col min="3590" max="3591" width="14" style="25" customWidth="1"/>
    <col min="3592" max="3592" width="8.25" style="25" customWidth="1"/>
    <col min="3593" max="3832" width="9" style="25"/>
    <col min="3833" max="3845" width="15.5" style="25" customWidth="1"/>
    <col min="3846" max="3847" width="14" style="25" customWidth="1"/>
    <col min="3848" max="3848" width="8.25" style="25" customWidth="1"/>
    <col min="3849" max="4088" width="9" style="25"/>
    <col min="4089" max="4101" width="15.5" style="25" customWidth="1"/>
    <col min="4102" max="4103" width="14" style="25" customWidth="1"/>
    <col min="4104" max="4104" width="8.25" style="25" customWidth="1"/>
    <col min="4105" max="4344" width="9" style="25"/>
    <col min="4345" max="4357" width="15.5" style="25" customWidth="1"/>
    <col min="4358" max="4359" width="14" style="25" customWidth="1"/>
    <col min="4360" max="4360" width="8.25" style="25" customWidth="1"/>
    <col min="4361" max="4600" width="9" style="25"/>
    <col min="4601" max="4613" width="15.5" style="25" customWidth="1"/>
    <col min="4614" max="4615" width="14" style="25" customWidth="1"/>
    <col min="4616" max="4616" width="8.25" style="25" customWidth="1"/>
    <col min="4617" max="4856" width="9" style="25"/>
    <col min="4857" max="4869" width="15.5" style="25" customWidth="1"/>
    <col min="4870" max="4871" width="14" style="25" customWidth="1"/>
    <col min="4872" max="4872" width="8.25" style="25" customWidth="1"/>
    <col min="4873" max="5112" width="9" style="25"/>
    <col min="5113" max="5125" width="15.5" style="25" customWidth="1"/>
    <col min="5126" max="5127" width="14" style="25" customWidth="1"/>
    <col min="5128" max="5128" width="8.25" style="25" customWidth="1"/>
    <col min="5129" max="5368" width="9" style="25"/>
    <col min="5369" max="5381" width="15.5" style="25" customWidth="1"/>
    <col min="5382" max="5383" width="14" style="25" customWidth="1"/>
    <col min="5384" max="5384" width="8.25" style="25" customWidth="1"/>
    <col min="5385" max="5624" width="9" style="25"/>
    <col min="5625" max="5637" width="15.5" style="25" customWidth="1"/>
    <col min="5638" max="5639" width="14" style="25" customWidth="1"/>
    <col min="5640" max="5640" width="8.25" style="25" customWidth="1"/>
    <col min="5641" max="5880" width="9" style="25"/>
    <col min="5881" max="5893" width="15.5" style="25" customWidth="1"/>
    <col min="5894" max="5895" width="14" style="25" customWidth="1"/>
    <col min="5896" max="5896" width="8.25" style="25" customWidth="1"/>
    <col min="5897" max="6136" width="9" style="25"/>
    <col min="6137" max="6149" width="15.5" style="25" customWidth="1"/>
    <col min="6150" max="6151" width="14" style="25" customWidth="1"/>
    <col min="6152" max="6152" width="8.25" style="25" customWidth="1"/>
    <col min="6153" max="6392" width="9" style="25"/>
    <col min="6393" max="6405" width="15.5" style="25" customWidth="1"/>
    <col min="6406" max="6407" width="14" style="25" customWidth="1"/>
    <col min="6408" max="6408" width="8.25" style="25" customWidth="1"/>
    <col min="6409" max="6648" width="9" style="25"/>
    <col min="6649" max="6661" width="15.5" style="25" customWidth="1"/>
    <col min="6662" max="6663" width="14" style="25" customWidth="1"/>
    <col min="6664" max="6664" width="8.25" style="25" customWidth="1"/>
    <col min="6665" max="6904" width="9" style="25"/>
    <col min="6905" max="6917" width="15.5" style="25" customWidth="1"/>
    <col min="6918" max="6919" width="14" style="25" customWidth="1"/>
    <col min="6920" max="6920" width="8.25" style="25" customWidth="1"/>
    <col min="6921" max="7160" width="9" style="25"/>
    <col min="7161" max="7173" width="15.5" style="25" customWidth="1"/>
    <col min="7174" max="7175" width="14" style="25" customWidth="1"/>
    <col min="7176" max="7176" width="8.25" style="25" customWidth="1"/>
    <col min="7177" max="7416" width="9" style="25"/>
    <col min="7417" max="7429" width="15.5" style="25" customWidth="1"/>
    <col min="7430" max="7431" width="14" style="25" customWidth="1"/>
    <col min="7432" max="7432" width="8.25" style="25" customWidth="1"/>
    <col min="7433" max="7672" width="9" style="25"/>
    <col min="7673" max="7685" width="15.5" style="25" customWidth="1"/>
    <col min="7686" max="7687" width="14" style="25" customWidth="1"/>
    <col min="7688" max="7688" width="8.25" style="25" customWidth="1"/>
    <col min="7689" max="7928" width="9" style="25"/>
    <col min="7929" max="7941" width="15.5" style="25" customWidth="1"/>
    <col min="7942" max="7943" width="14" style="25" customWidth="1"/>
    <col min="7944" max="7944" width="8.25" style="25" customWidth="1"/>
    <col min="7945" max="8184" width="9" style="25"/>
    <col min="8185" max="8197" width="15.5" style="25" customWidth="1"/>
    <col min="8198" max="8199" width="14" style="25" customWidth="1"/>
    <col min="8200" max="8200" width="8.25" style="25" customWidth="1"/>
    <col min="8201" max="8440" width="9" style="25"/>
    <col min="8441" max="8453" width="15.5" style="25" customWidth="1"/>
    <col min="8454" max="8455" width="14" style="25" customWidth="1"/>
    <col min="8456" max="8456" width="8.25" style="25" customWidth="1"/>
    <col min="8457" max="8696" width="9" style="25"/>
    <col min="8697" max="8709" width="15.5" style="25" customWidth="1"/>
    <col min="8710" max="8711" width="14" style="25" customWidth="1"/>
    <col min="8712" max="8712" width="8.25" style="25" customWidth="1"/>
    <col min="8713" max="8952" width="9" style="25"/>
    <col min="8953" max="8965" width="15.5" style="25" customWidth="1"/>
    <col min="8966" max="8967" width="14" style="25" customWidth="1"/>
    <col min="8968" max="8968" width="8.25" style="25" customWidth="1"/>
    <col min="8969" max="9208" width="9" style="25"/>
    <col min="9209" max="9221" width="15.5" style="25" customWidth="1"/>
    <col min="9222" max="9223" width="14" style="25" customWidth="1"/>
    <col min="9224" max="9224" width="8.25" style="25" customWidth="1"/>
    <col min="9225" max="9464" width="9" style="25"/>
    <col min="9465" max="9477" width="15.5" style="25" customWidth="1"/>
    <col min="9478" max="9479" width="14" style="25" customWidth="1"/>
    <col min="9480" max="9480" width="8.25" style="25" customWidth="1"/>
    <col min="9481" max="9720" width="9" style="25"/>
    <col min="9721" max="9733" width="15.5" style="25" customWidth="1"/>
    <col min="9734" max="9735" width="14" style="25" customWidth="1"/>
    <col min="9736" max="9736" width="8.25" style="25" customWidth="1"/>
    <col min="9737" max="9976" width="9" style="25"/>
    <col min="9977" max="9989" width="15.5" style="25" customWidth="1"/>
    <col min="9990" max="9991" width="14" style="25" customWidth="1"/>
    <col min="9992" max="9992" width="8.25" style="25" customWidth="1"/>
    <col min="9993" max="10232" width="9" style="25"/>
    <col min="10233" max="10245" width="15.5" style="25" customWidth="1"/>
    <col min="10246" max="10247" width="14" style="25" customWidth="1"/>
    <col min="10248" max="10248" width="8.25" style="25" customWidth="1"/>
    <col min="10249" max="10488" width="9" style="25"/>
    <col min="10489" max="10501" width="15.5" style="25" customWidth="1"/>
    <col min="10502" max="10503" width="14" style="25" customWidth="1"/>
    <col min="10504" max="10504" width="8.25" style="25" customWidth="1"/>
    <col min="10505" max="10744" width="9" style="25"/>
    <col min="10745" max="10757" width="15.5" style="25" customWidth="1"/>
    <col min="10758" max="10759" width="14" style="25" customWidth="1"/>
    <col min="10760" max="10760" width="8.25" style="25" customWidth="1"/>
    <col min="10761" max="11000" width="9" style="25"/>
    <col min="11001" max="11013" width="15.5" style="25" customWidth="1"/>
    <col min="11014" max="11015" width="14" style="25" customWidth="1"/>
    <col min="11016" max="11016" width="8.25" style="25" customWidth="1"/>
    <col min="11017" max="11256" width="9" style="25"/>
    <col min="11257" max="11269" width="15.5" style="25" customWidth="1"/>
    <col min="11270" max="11271" width="14" style="25" customWidth="1"/>
    <col min="11272" max="11272" width="8.25" style="25" customWidth="1"/>
    <col min="11273" max="11512" width="9" style="25"/>
    <col min="11513" max="11525" width="15.5" style="25" customWidth="1"/>
    <col min="11526" max="11527" width="14" style="25" customWidth="1"/>
    <col min="11528" max="11528" width="8.25" style="25" customWidth="1"/>
    <col min="11529" max="11768" width="9" style="25"/>
    <col min="11769" max="11781" width="15.5" style="25" customWidth="1"/>
    <col min="11782" max="11783" width="14" style="25" customWidth="1"/>
    <col min="11784" max="11784" width="8.25" style="25" customWidth="1"/>
    <col min="11785" max="12024" width="9" style="25"/>
    <col min="12025" max="12037" width="15.5" style="25" customWidth="1"/>
    <col min="12038" max="12039" width="14" style="25" customWidth="1"/>
    <col min="12040" max="12040" width="8.25" style="25" customWidth="1"/>
    <col min="12041" max="12280" width="9" style="25"/>
    <col min="12281" max="12293" width="15.5" style="25" customWidth="1"/>
    <col min="12294" max="12295" width="14" style="25" customWidth="1"/>
    <col min="12296" max="12296" width="8.25" style="25" customWidth="1"/>
    <col min="12297" max="12536" width="9" style="25"/>
    <col min="12537" max="12549" width="15.5" style="25" customWidth="1"/>
    <col min="12550" max="12551" width="14" style="25" customWidth="1"/>
    <col min="12552" max="12552" width="8.25" style="25" customWidth="1"/>
    <col min="12553" max="12792" width="9" style="25"/>
    <col min="12793" max="12805" width="15.5" style="25" customWidth="1"/>
    <col min="12806" max="12807" width="14" style="25" customWidth="1"/>
    <col min="12808" max="12808" width="8.25" style="25" customWidth="1"/>
    <col min="12809" max="13048" width="9" style="25"/>
    <col min="13049" max="13061" width="15.5" style="25" customWidth="1"/>
    <col min="13062" max="13063" width="14" style="25" customWidth="1"/>
    <col min="13064" max="13064" width="8.25" style="25" customWidth="1"/>
    <col min="13065" max="13304" width="9" style="25"/>
    <col min="13305" max="13317" width="15.5" style="25" customWidth="1"/>
    <col min="13318" max="13319" width="14" style="25" customWidth="1"/>
    <col min="13320" max="13320" width="8.25" style="25" customWidth="1"/>
    <col min="13321" max="13560" width="9" style="25"/>
    <col min="13561" max="13573" width="15.5" style="25" customWidth="1"/>
    <col min="13574" max="13575" width="14" style="25" customWidth="1"/>
    <col min="13576" max="13576" width="8.25" style="25" customWidth="1"/>
    <col min="13577" max="13816" width="9" style="25"/>
    <col min="13817" max="13829" width="15.5" style="25" customWidth="1"/>
    <col min="13830" max="13831" width="14" style="25" customWidth="1"/>
    <col min="13832" max="13832" width="8.25" style="25" customWidth="1"/>
    <col min="13833" max="14072" width="9" style="25"/>
    <col min="14073" max="14085" width="15.5" style="25" customWidth="1"/>
    <col min="14086" max="14087" width="14" style="25" customWidth="1"/>
    <col min="14088" max="14088" width="8.25" style="25" customWidth="1"/>
    <col min="14089" max="14328" width="9" style="25"/>
    <col min="14329" max="14341" width="15.5" style="25" customWidth="1"/>
    <col min="14342" max="14343" width="14" style="25" customWidth="1"/>
    <col min="14344" max="14344" width="8.25" style="25" customWidth="1"/>
    <col min="14345" max="14584" width="9" style="25"/>
    <col min="14585" max="14597" width="15.5" style="25" customWidth="1"/>
    <col min="14598" max="14599" width="14" style="25" customWidth="1"/>
    <col min="14600" max="14600" width="8.25" style="25" customWidth="1"/>
    <col min="14601" max="14840" width="9" style="25"/>
    <col min="14841" max="14853" width="15.5" style="25" customWidth="1"/>
    <col min="14854" max="14855" width="14" style="25" customWidth="1"/>
    <col min="14856" max="14856" width="8.25" style="25" customWidth="1"/>
    <col min="14857" max="15096" width="9" style="25"/>
    <col min="15097" max="15109" width="15.5" style="25" customWidth="1"/>
    <col min="15110" max="15111" width="14" style="25" customWidth="1"/>
    <col min="15112" max="15112" width="8.25" style="25" customWidth="1"/>
    <col min="15113" max="15352" width="9" style="25"/>
    <col min="15353" max="15365" width="15.5" style="25" customWidth="1"/>
    <col min="15366" max="15367" width="14" style="25" customWidth="1"/>
    <col min="15368" max="15368" width="8.25" style="25" customWidth="1"/>
    <col min="15369" max="15608" width="9" style="25"/>
    <col min="15609" max="15621" width="15.5" style="25" customWidth="1"/>
    <col min="15622" max="15623" width="14" style="25" customWidth="1"/>
    <col min="15624" max="15624" width="8.25" style="25" customWidth="1"/>
    <col min="15625" max="15864" width="9" style="25"/>
    <col min="15865" max="15877" width="15.5" style="25" customWidth="1"/>
    <col min="15878" max="15879" width="14" style="25" customWidth="1"/>
    <col min="15880" max="15880" width="8.25" style="25" customWidth="1"/>
    <col min="15881" max="16120" width="9" style="25"/>
    <col min="16121" max="16133" width="15.5" style="25" customWidth="1"/>
    <col min="16134" max="16135" width="14" style="25" customWidth="1"/>
    <col min="16136" max="16136" width="8.25" style="25" customWidth="1"/>
    <col min="16137" max="16384" width="9" style="25"/>
  </cols>
  <sheetData>
    <row r="2" spans="1:6" s="95" customFormat="1" ht="13" x14ac:dyDescent="0.25">
      <c r="B2" s="100" t="s">
        <v>150</v>
      </c>
      <c r="C2" s="101"/>
    </row>
    <row r="3" spans="1:6" s="101" customFormat="1" ht="13" x14ac:dyDescent="0.45">
      <c r="A3" s="13"/>
    </row>
    <row r="4" spans="1:6" s="95" customFormat="1" ht="13" x14ac:dyDescent="0.3">
      <c r="B4" s="1"/>
      <c r="C4" s="1"/>
      <c r="E4" s="103" t="s">
        <v>71</v>
      </c>
    </row>
    <row r="5" spans="1:6" s="95" customFormat="1" ht="12.5" x14ac:dyDescent="0.25">
      <c r="B5" s="4" t="s">
        <v>305</v>
      </c>
      <c r="C5" s="10" t="s">
        <v>304</v>
      </c>
      <c r="D5" s="5"/>
    </row>
    <row r="6" spans="1:6" s="95" customFormat="1" ht="12.5" x14ac:dyDescent="0.25">
      <c r="B6" s="3">
        <v>702.9</v>
      </c>
      <c r="C6" s="3">
        <v>0</v>
      </c>
      <c r="D6" s="1"/>
      <c r="E6" s="2" t="s">
        <v>41</v>
      </c>
      <c r="F6" s="3" t="s">
        <v>296</v>
      </c>
    </row>
    <row r="7" spans="1:6" s="95" customFormat="1" ht="13" x14ac:dyDescent="0.3">
      <c r="B7" s="3">
        <v>1136.43</v>
      </c>
      <c r="C7" s="3">
        <v>0</v>
      </c>
      <c r="D7" s="1"/>
      <c r="E7" s="7" t="s">
        <v>43</v>
      </c>
      <c r="F7" s="8" t="s">
        <v>0</v>
      </c>
    </row>
    <row r="8" spans="1:6" s="95" customFormat="1" ht="13" x14ac:dyDescent="0.3">
      <c r="B8" s="3">
        <v>592.47</v>
      </c>
      <c r="C8" s="3">
        <v>0</v>
      </c>
      <c r="D8" s="1"/>
      <c r="E8" s="7" t="s">
        <v>44</v>
      </c>
      <c r="F8" s="8" t="s">
        <v>44</v>
      </c>
    </row>
    <row r="9" spans="1:6" s="95" customFormat="1" ht="13" x14ac:dyDescent="0.3">
      <c r="B9" s="3">
        <v>796.97</v>
      </c>
      <c r="C9" s="3">
        <v>0</v>
      </c>
      <c r="D9" s="1"/>
      <c r="E9" s="7" t="s">
        <v>45</v>
      </c>
      <c r="F9" s="11" t="s">
        <v>295</v>
      </c>
    </row>
    <row r="10" spans="1:6" s="95" customFormat="1" ht="12.5" x14ac:dyDescent="0.25">
      <c r="B10" s="3">
        <v>760.16</v>
      </c>
      <c r="C10" s="3">
        <v>142.57</v>
      </c>
      <c r="D10" s="1"/>
      <c r="E10" s="2"/>
      <c r="F10" s="3"/>
    </row>
    <row r="11" spans="1:6" s="95" customFormat="1" ht="12.5" x14ac:dyDescent="0.25">
      <c r="B11" s="3">
        <v>197.02</v>
      </c>
      <c r="C11" s="3">
        <v>0</v>
      </c>
      <c r="D11" s="1"/>
      <c r="E11" s="2" t="s">
        <v>46</v>
      </c>
      <c r="F11" s="3"/>
    </row>
    <row r="12" spans="1:6" s="95" customFormat="1" ht="13" x14ac:dyDescent="0.3">
      <c r="B12" s="3">
        <v>169.28</v>
      </c>
      <c r="C12" s="3">
        <v>0</v>
      </c>
      <c r="D12" s="1"/>
      <c r="E12" s="7" t="s">
        <v>47</v>
      </c>
      <c r="F12" s="8">
        <v>1E-4</v>
      </c>
    </row>
    <row r="13" spans="1:6" s="95" customFormat="1" ht="13" x14ac:dyDescent="0.3">
      <c r="B13" s="3">
        <v>173.91</v>
      </c>
      <c r="C13" s="3">
        <v>0</v>
      </c>
      <c r="E13" s="7" t="s">
        <v>49</v>
      </c>
      <c r="F13" s="8" t="s">
        <v>50</v>
      </c>
    </row>
    <row r="14" spans="1:6" s="95" customFormat="1" ht="12.5" x14ac:dyDescent="0.25">
      <c r="B14" s="3">
        <v>261.73</v>
      </c>
      <c r="C14" s="3">
        <v>0</v>
      </c>
      <c r="E14" s="2" t="s">
        <v>51</v>
      </c>
      <c r="F14" s="3" t="s">
        <v>52</v>
      </c>
    </row>
    <row r="15" spans="1:6" s="95" customFormat="1" ht="12.5" x14ac:dyDescent="0.25">
      <c r="B15" s="3"/>
      <c r="C15" s="3">
        <v>0</v>
      </c>
      <c r="E15" s="2" t="s">
        <v>53</v>
      </c>
      <c r="F15" s="3" t="s">
        <v>54</v>
      </c>
    </row>
    <row r="16" spans="1:6" s="95" customFormat="1" ht="12.5" x14ac:dyDescent="0.25">
      <c r="B16" s="3"/>
      <c r="C16" s="3">
        <v>0</v>
      </c>
      <c r="E16" s="2" t="s">
        <v>55</v>
      </c>
      <c r="F16" s="3" t="s">
        <v>297</v>
      </c>
    </row>
    <row r="17" spans="5:6" s="95" customFormat="1" ht="12.5" x14ac:dyDescent="0.25">
      <c r="E17" s="2"/>
      <c r="F17" s="3"/>
    </row>
    <row r="18" spans="5:6" s="95" customFormat="1" ht="12.5" x14ac:dyDescent="0.25">
      <c r="E18" s="2" t="s">
        <v>57</v>
      </c>
      <c r="F18" s="3"/>
    </row>
    <row r="19" spans="5:6" s="95" customFormat="1" ht="12.5" x14ac:dyDescent="0.25">
      <c r="E19" s="2" t="s">
        <v>58</v>
      </c>
      <c r="F19" s="3" t="s">
        <v>298</v>
      </c>
    </row>
    <row r="20" spans="5:6" s="95" customFormat="1" ht="12.5" x14ac:dyDescent="0.25">
      <c r="E20" s="2" t="s">
        <v>299</v>
      </c>
      <c r="F20" s="3" t="s">
        <v>300</v>
      </c>
    </row>
    <row r="21" spans="5:6" s="95" customFormat="1" ht="12.5" x14ac:dyDescent="0.25">
      <c r="E21" s="2" t="s">
        <v>62</v>
      </c>
      <c r="F21" s="3" t="s">
        <v>301</v>
      </c>
    </row>
    <row r="22" spans="5:6" s="95" customFormat="1" ht="12.5" x14ac:dyDescent="0.25">
      <c r="E22" s="2" t="s">
        <v>64</v>
      </c>
      <c r="F22" s="3" t="s">
        <v>302</v>
      </c>
    </row>
    <row r="23" spans="5:6" s="95" customFormat="1" ht="12.5" x14ac:dyDescent="0.25">
      <c r="E23" s="2" t="s">
        <v>66</v>
      </c>
      <c r="F23" s="3">
        <v>0.57569999999999999</v>
      </c>
    </row>
    <row r="24" spans="5:6" s="95" customFormat="1" ht="12.5" x14ac:dyDescent="0.25">
      <c r="E24" s="2"/>
      <c r="F24" s="3"/>
    </row>
    <row r="25" spans="5:6" s="95" customFormat="1" ht="12.5" x14ac:dyDescent="0.25">
      <c r="E25" s="2" t="s">
        <v>67</v>
      </c>
      <c r="F25" s="3"/>
    </row>
    <row r="26" spans="5:6" s="95" customFormat="1" ht="12.5" x14ac:dyDescent="0.25">
      <c r="E26" s="2" t="s">
        <v>68</v>
      </c>
      <c r="F26" s="3" t="s">
        <v>303</v>
      </c>
    </row>
    <row r="27" spans="5:6" s="95" customFormat="1" ht="12.5" x14ac:dyDescent="0.25">
      <c r="E27" s="2" t="s">
        <v>47</v>
      </c>
      <c r="F27" s="3" t="s">
        <v>48</v>
      </c>
    </row>
    <row r="28" spans="5:6" s="95" customFormat="1" ht="12.5" x14ac:dyDescent="0.25">
      <c r="E28" s="2" t="s">
        <v>49</v>
      </c>
      <c r="F28" s="3" t="s">
        <v>50</v>
      </c>
    </row>
    <row r="29" spans="5:6" s="95" customFormat="1" ht="12.5" x14ac:dyDescent="0.25">
      <c r="E29" s="2" t="s">
        <v>70</v>
      </c>
      <c r="F29" s="3" t="s">
        <v>52</v>
      </c>
    </row>
    <row r="30" spans="5:6" s="95" customFormat="1" ht="12.5" x14ac:dyDescent="0.25"/>
    <row r="31" spans="5:6" s="95" customFormat="1" ht="12.5" x14ac:dyDescent="0.25"/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1A854-3B47-4305-9476-5EEE5124B905}">
  <dimension ref="A2:N67"/>
  <sheetViews>
    <sheetView zoomScale="90" zoomScaleNormal="90" workbookViewId="0">
      <selection activeCell="N16" sqref="N16"/>
    </sheetView>
  </sheetViews>
  <sheetFormatPr defaultRowHeight="14" x14ac:dyDescent="0.3"/>
  <cols>
    <col min="1" max="1" width="9" style="25"/>
    <col min="2" max="2" width="12.25" style="25" customWidth="1"/>
    <col min="3" max="3" width="14.5" style="25" customWidth="1"/>
    <col min="4" max="4" width="11.33203125" style="25" customWidth="1"/>
    <col min="5" max="5" width="14" style="25" customWidth="1"/>
    <col min="6" max="6" width="12.08203125" style="25" customWidth="1"/>
    <col min="7" max="7" width="12.75" style="25" customWidth="1"/>
    <col min="8" max="8" width="9.33203125" style="25" bestFit="1" customWidth="1"/>
    <col min="9" max="9" width="9.58203125" style="25" bestFit="1" customWidth="1"/>
    <col min="10" max="10" width="7.33203125" style="25" bestFit="1" customWidth="1"/>
    <col min="11" max="11" width="15.5" style="25" customWidth="1"/>
    <col min="12" max="12" width="33.25" style="25" bestFit="1" customWidth="1"/>
    <col min="13" max="13" width="17.75" style="25" bestFit="1" customWidth="1"/>
    <col min="14" max="14" width="15.5" style="25" customWidth="1"/>
    <col min="15" max="16" width="14" style="25" customWidth="1"/>
    <col min="17" max="17" width="8.25" style="25" customWidth="1"/>
    <col min="18" max="257" width="9" style="25"/>
    <col min="258" max="270" width="15.5" style="25" customWidth="1"/>
    <col min="271" max="272" width="14" style="25" customWidth="1"/>
    <col min="273" max="273" width="8.25" style="25" customWidth="1"/>
    <col min="274" max="513" width="9" style="25"/>
    <col min="514" max="526" width="15.5" style="25" customWidth="1"/>
    <col min="527" max="528" width="14" style="25" customWidth="1"/>
    <col min="529" max="529" width="8.25" style="25" customWidth="1"/>
    <col min="530" max="769" width="9" style="25"/>
    <col min="770" max="782" width="15.5" style="25" customWidth="1"/>
    <col min="783" max="784" width="14" style="25" customWidth="1"/>
    <col min="785" max="785" width="8.25" style="25" customWidth="1"/>
    <col min="786" max="1025" width="9" style="25"/>
    <col min="1026" max="1038" width="15.5" style="25" customWidth="1"/>
    <col min="1039" max="1040" width="14" style="25" customWidth="1"/>
    <col min="1041" max="1041" width="8.25" style="25" customWidth="1"/>
    <col min="1042" max="1281" width="9" style="25"/>
    <col min="1282" max="1294" width="15.5" style="25" customWidth="1"/>
    <col min="1295" max="1296" width="14" style="25" customWidth="1"/>
    <col min="1297" max="1297" width="8.25" style="25" customWidth="1"/>
    <col min="1298" max="1537" width="9" style="25"/>
    <col min="1538" max="1550" width="15.5" style="25" customWidth="1"/>
    <col min="1551" max="1552" width="14" style="25" customWidth="1"/>
    <col min="1553" max="1553" width="8.25" style="25" customWidth="1"/>
    <col min="1554" max="1793" width="9" style="25"/>
    <col min="1794" max="1806" width="15.5" style="25" customWidth="1"/>
    <col min="1807" max="1808" width="14" style="25" customWidth="1"/>
    <col min="1809" max="1809" width="8.25" style="25" customWidth="1"/>
    <col min="1810" max="2049" width="9" style="25"/>
    <col min="2050" max="2062" width="15.5" style="25" customWidth="1"/>
    <col min="2063" max="2064" width="14" style="25" customWidth="1"/>
    <col min="2065" max="2065" width="8.25" style="25" customWidth="1"/>
    <col min="2066" max="2305" width="9" style="25"/>
    <col min="2306" max="2318" width="15.5" style="25" customWidth="1"/>
    <col min="2319" max="2320" width="14" style="25" customWidth="1"/>
    <col min="2321" max="2321" width="8.25" style="25" customWidth="1"/>
    <col min="2322" max="2561" width="9" style="25"/>
    <col min="2562" max="2574" width="15.5" style="25" customWidth="1"/>
    <col min="2575" max="2576" width="14" style="25" customWidth="1"/>
    <col min="2577" max="2577" width="8.25" style="25" customWidth="1"/>
    <col min="2578" max="2817" width="9" style="25"/>
    <col min="2818" max="2830" width="15.5" style="25" customWidth="1"/>
    <col min="2831" max="2832" width="14" style="25" customWidth="1"/>
    <col min="2833" max="2833" width="8.25" style="25" customWidth="1"/>
    <col min="2834" max="3073" width="9" style="25"/>
    <col min="3074" max="3086" width="15.5" style="25" customWidth="1"/>
    <col min="3087" max="3088" width="14" style="25" customWidth="1"/>
    <col min="3089" max="3089" width="8.25" style="25" customWidth="1"/>
    <col min="3090" max="3329" width="9" style="25"/>
    <col min="3330" max="3342" width="15.5" style="25" customWidth="1"/>
    <col min="3343" max="3344" width="14" style="25" customWidth="1"/>
    <col min="3345" max="3345" width="8.25" style="25" customWidth="1"/>
    <col min="3346" max="3585" width="9" style="25"/>
    <col min="3586" max="3598" width="15.5" style="25" customWidth="1"/>
    <col min="3599" max="3600" width="14" style="25" customWidth="1"/>
    <col min="3601" max="3601" width="8.25" style="25" customWidth="1"/>
    <col min="3602" max="3841" width="9" style="25"/>
    <col min="3842" max="3854" width="15.5" style="25" customWidth="1"/>
    <col min="3855" max="3856" width="14" style="25" customWidth="1"/>
    <col min="3857" max="3857" width="8.25" style="25" customWidth="1"/>
    <col min="3858" max="4097" width="9" style="25"/>
    <col min="4098" max="4110" width="15.5" style="25" customWidth="1"/>
    <col min="4111" max="4112" width="14" style="25" customWidth="1"/>
    <col min="4113" max="4113" width="8.25" style="25" customWidth="1"/>
    <col min="4114" max="4353" width="9" style="25"/>
    <col min="4354" max="4366" width="15.5" style="25" customWidth="1"/>
    <col min="4367" max="4368" width="14" style="25" customWidth="1"/>
    <col min="4369" max="4369" width="8.25" style="25" customWidth="1"/>
    <col min="4370" max="4609" width="9" style="25"/>
    <col min="4610" max="4622" width="15.5" style="25" customWidth="1"/>
    <col min="4623" max="4624" width="14" style="25" customWidth="1"/>
    <col min="4625" max="4625" width="8.25" style="25" customWidth="1"/>
    <col min="4626" max="4865" width="9" style="25"/>
    <col min="4866" max="4878" width="15.5" style="25" customWidth="1"/>
    <col min="4879" max="4880" width="14" style="25" customWidth="1"/>
    <col min="4881" max="4881" width="8.25" style="25" customWidth="1"/>
    <col min="4882" max="5121" width="9" style="25"/>
    <col min="5122" max="5134" width="15.5" style="25" customWidth="1"/>
    <col min="5135" max="5136" width="14" style="25" customWidth="1"/>
    <col min="5137" max="5137" width="8.25" style="25" customWidth="1"/>
    <col min="5138" max="5377" width="9" style="25"/>
    <col min="5378" max="5390" width="15.5" style="25" customWidth="1"/>
    <col min="5391" max="5392" width="14" style="25" customWidth="1"/>
    <col min="5393" max="5393" width="8.25" style="25" customWidth="1"/>
    <col min="5394" max="5633" width="9" style="25"/>
    <col min="5634" max="5646" width="15.5" style="25" customWidth="1"/>
    <col min="5647" max="5648" width="14" style="25" customWidth="1"/>
    <col min="5649" max="5649" width="8.25" style="25" customWidth="1"/>
    <col min="5650" max="5889" width="9" style="25"/>
    <col min="5890" max="5902" width="15.5" style="25" customWidth="1"/>
    <col min="5903" max="5904" width="14" style="25" customWidth="1"/>
    <col min="5905" max="5905" width="8.25" style="25" customWidth="1"/>
    <col min="5906" max="6145" width="9" style="25"/>
    <col min="6146" max="6158" width="15.5" style="25" customWidth="1"/>
    <col min="6159" max="6160" width="14" style="25" customWidth="1"/>
    <col min="6161" max="6161" width="8.25" style="25" customWidth="1"/>
    <col min="6162" max="6401" width="9" style="25"/>
    <col min="6402" max="6414" width="15.5" style="25" customWidth="1"/>
    <col min="6415" max="6416" width="14" style="25" customWidth="1"/>
    <col min="6417" max="6417" width="8.25" style="25" customWidth="1"/>
    <col min="6418" max="6657" width="9" style="25"/>
    <col min="6658" max="6670" width="15.5" style="25" customWidth="1"/>
    <col min="6671" max="6672" width="14" style="25" customWidth="1"/>
    <col min="6673" max="6673" width="8.25" style="25" customWidth="1"/>
    <col min="6674" max="6913" width="9" style="25"/>
    <col min="6914" max="6926" width="15.5" style="25" customWidth="1"/>
    <col min="6927" max="6928" width="14" style="25" customWidth="1"/>
    <col min="6929" max="6929" width="8.25" style="25" customWidth="1"/>
    <col min="6930" max="7169" width="9" style="25"/>
    <col min="7170" max="7182" width="15.5" style="25" customWidth="1"/>
    <col min="7183" max="7184" width="14" style="25" customWidth="1"/>
    <col min="7185" max="7185" width="8.25" style="25" customWidth="1"/>
    <col min="7186" max="7425" width="9" style="25"/>
    <col min="7426" max="7438" width="15.5" style="25" customWidth="1"/>
    <col min="7439" max="7440" width="14" style="25" customWidth="1"/>
    <col min="7441" max="7441" width="8.25" style="25" customWidth="1"/>
    <col min="7442" max="7681" width="9" style="25"/>
    <col min="7682" max="7694" width="15.5" style="25" customWidth="1"/>
    <col min="7695" max="7696" width="14" style="25" customWidth="1"/>
    <col min="7697" max="7697" width="8.25" style="25" customWidth="1"/>
    <col min="7698" max="7937" width="9" style="25"/>
    <col min="7938" max="7950" width="15.5" style="25" customWidth="1"/>
    <col min="7951" max="7952" width="14" style="25" customWidth="1"/>
    <col min="7953" max="7953" width="8.25" style="25" customWidth="1"/>
    <col min="7954" max="8193" width="9" style="25"/>
    <col min="8194" max="8206" width="15.5" style="25" customWidth="1"/>
    <col min="8207" max="8208" width="14" style="25" customWidth="1"/>
    <col min="8209" max="8209" width="8.25" style="25" customWidth="1"/>
    <col min="8210" max="8449" width="9" style="25"/>
    <col min="8450" max="8462" width="15.5" style="25" customWidth="1"/>
    <col min="8463" max="8464" width="14" style="25" customWidth="1"/>
    <col min="8465" max="8465" width="8.25" style="25" customWidth="1"/>
    <col min="8466" max="8705" width="9" style="25"/>
    <col min="8706" max="8718" width="15.5" style="25" customWidth="1"/>
    <col min="8719" max="8720" width="14" style="25" customWidth="1"/>
    <col min="8721" max="8721" width="8.25" style="25" customWidth="1"/>
    <col min="8722" max="8961" width="9" style="25"/>
    <col min="8962" max="8974" width="15.5" style="25" customWidth="1"/>
    <col min="8975" max="8976" width="14" style="25" customWidth="1"/>
    <col min="8977" max="8977" width="8.25" style="25" customWidth="1"/>
    <col min="8978" max="9217" width="9" style="25"/>
    <col min="9218" max="9230" width="15.5" style="25" customWidth="1"/>
    <col min="9231" max="9232" width="14" style="25" customWidth="1"/>
    <col min="9233" max="9233" width="8.25" style="25" customWidth="1"/>
    <col min="9234" max="9473" width="9" style="25"/>
    <col min="9474" max="9486" width="15.5" style="25" customWidth="1"/>
    <col min="9487" max="9488" width="14" style="25" customWidth="1"/>
    <col min="9489" max="9489" width="8.25" style="25" customWidth="1"/>
    <col min="9490" max="9729" width="9" style="25"/>
    <col min="9730" max="9742" width="15.5" style="25" customWidth="1"/>
    <col min="9743" max="9744" width="14" style="25" customWidth="1"/>
    <col min="9745" max="9745" width="8.25" style="25" customWidth="1"/>
    <col min="9746" max="9985" width="9" style="25"/>
    <col min="9986" max="9998" width="15.5" style="25" customWidth="1"/>
    <col min="9999" max="10000" width="14" style="25" customWidth="1"/>
    <col min="10001" max="10001" width="8.25" style="25" customWidth="1"/>
    <col min="10002" max="10241" width="9" style="25"/>
    <col min="10242" max="10254" width="15.5" style="25" customWidth="1"/>
    <col min="10255" max="10256" width="14" style="25" customWidth="1"/>
    <col min="10257" max="10257" width="8.25" style="25" customWidth="1"/>
    <col min="10258" max="10497" width="9" style="25"/>
    <col min="10498" max="10510" width="15.5" style="25" customWidth="1"/>
    <col min="10511" max="10512" width="14" style="25" customWidth="1"/>
    <col min="10513" max="10513" width="8.25" style="25" customWidth="1"/>
    <col min="10514" max="10753" width="9" style="25"/>
    <col min="10754" max="10766" width="15.5" style="25" customWidth="1"/>
    <col min="10767" max="10768" width="14" style="25" customWidth="1"/>
    <col min="10769" max="10769" width="8.25" style="25" customWidth="1"/>
    <col min="10770" max="11009" width="9" style="25"/>
    <col min="11010" max="11022" width="15.5" style="25" customWidth="1"/>
    <col min="11023" max="11024" width="14" style="25" customWidth="1"/>
    <col min="11025" max="11025" width="8.25" style="25" customWidth="1"/>
    <col min="11026" max="11265" width="9" style="25"/>
    <col min="11266" max="11278" width="15.5" style="25" customWidth="1"/>
    <col min="11279" max="11280" width="14" style="25" customWidth="1"/>
    <col min="11281" max="11281" width="8.25" style="25" customWidth="1"/>
    <col min="11282" max="11521" width="9" style="25"/>
    <col min="11522" max="11534" width="15.5" style="25" customWidth="1"/>
    <col min="11535" max="11536" width="14" style="25" customWidth="1"/>
    <col min="11537" max="11537" width="8.25" style="25" customWidth="1"/>
    <col min="11538" max="11777" width="9" style="25"/>
    <col min="11778" max="11790" width="15.5" style="25" customWidth="1"/>
    <col min="11791" max="11792" width="14" style="25" customWidth="1"/>
    <col min="11793" max="11793" width="8.25" style="25" customWidth="1"/>
    <col min="11794" max="12033" width="9" style="25"/>
    <col min="12034" max="12046" width="15.5" style="25" customWidth="1"/>
    <col min="12047" max="12048" width="14" style="25" customWidth="1"/>
    <col min="12049" max="12049" width="8.25" style="25" customWidth="1"/>
    <col min="12050" max="12289" width="9" style="25"/>
    <col min="12290" max="12302" width="15.5" style="25" customWidth="1"/>
    <col min="12303" max="12304" width="14" style="25" customWidth="1"/>
    <col min="12305" max="12305" width="8.25" style="25" customWidth="1"/>
    <col min="12306" max="12545" width="9" style="25"/>
    <col min="12546" max="12558" width="15.5" style="25" customWidth="1"/>
    <col min="12559" max="12560" width="14" style="25" customWidth="1"/>
    <col min="12561" max="12561" width="8.25" style="25" customWidth="1"/>
    <col min="12562" max="12801" width="9" style="25"/>
    <col min="12802" max="12814" width="15.5" style="25" customWidth="1"/>
    <col min="12815" max="12816" width="14" style="25" customWidth="1"/>
    <col min="12817" max="12817" width="8.25" style="25" customWidth="1"/>
    <col min="12818" max="13057" width="9" style="25"/>
    <col min="13058" max="13070" width="15.5" style="25" customWidth="1"/>
    <col min="13071" max="13072" width="14" style="25" customWidth="1"/>
    <col min="13073" max="13073" width="8.25" style="25" customWidth="1"/>
    <col min="13074" max="13313" width="9" style="25"/>
    <col min="13314" max="13326" width="15.5" style="25" customWidth="1"/>
    <col min="13327" max="13328" width="14" style="25" customWidth="1"/>
    <col min="13329" max="13329" width="8.25" style="25" customWidth="1"/>
    <col min="13330" max="13569" width="9" style="25"/>
    <col min="13570" max="13582" width="15.5" style="25" customWidth="1"/>
    <col min="13583" max="13584" width="14" style="25" customWidth="1"/>
    <col min="13585" max="13585" width="8.25" style="25" customWidth="1"/>
    <col min="13586" max="13825" width="9" style="25"/>
    <col min="13826" max="13838" width="15.5" style="25" customWidth="1"/>
    <col min="13839" max="13840" width="14" style="25" customWidth="1"/>
    <col min="13841" max="13841" width="8.25" style="25" customWidth="1"/>
    <col min="13842" max="14081" width="9" style="25"/>
    <col min="14082" max="14094" width="15.5" style="25" customWidth="1"/>
    <col min="14095" max="14096" width="14" style="25" customWidth="1"/>
    <col min="14097" max="14097" width="8.25" style="25" customWidth="1"/>
    <col min="14098" max="14337" width="9" style="25"/>
    <col min="14338" max="14350" width="15.5" style="25" customWidth="1"/>
    <col min="14351" max="14352" width="14" style="25" customWidth="1"/>
    <col min="14353" max="14353" width="8.25" style="25" customWidth="1"/>
    <col min="14354" max="14593" width="9" style="25"/>
    <col min="14594" max="14606" width="15.5" style="25" customWidth="1"/>
    <col min="14607" max="14608" width="14" style="25" customWidth="1"/>
    <col min="14609" max="14609" width="8.25" style="25" customWidth="1"/>
    <col min="14610" max="14849" width="9" style="25"/>
    <col min="14850" max="14862" width="15.5" style="25" customWidth="1"/>
    <col min="14863" max="14864" width="14" style="25" customWidth="1"/>
    <col min="14865" max="14865" width="8.25" style="25" customWidth="1"/>
    <col min="14866" max="15105" width="9" style="25"/>
    <col min="15106" max="15118" width="15.5" style="25" customWidth="1"/>
    <col min="15119" max="15120" width="14" style="25" customWidth="1"/>
    <col min="15121" max="15121" width="8.25" style="25" customWidth="1"/>
    <col min="15122" max="15361" width="9" style="25"/>
    <col min="15362" max="15374" width="15.5" style="25" customWidth="1"/>
    <col min="15375" max="15376" width="14" style="25" customWidth="1"/>
    <col min="15377" max="15377" width="8.25" style="25" customWidth="1"/>
    <col min="15378" max="15617" width="9" style="25"/>
    <col min="15618" max="15630" width="15.5" style="25" customWidth="1"/>
    <col min="15631" max="15632" width="14" style="25" customWidth="1"/>
    <col min="15633" max="15633" width="8.25" style="25" customWidth="1"/>
    <col min="15634" max="15873" width="9" style="25"/>
    <col min="15874" max="15886" width="15.5" style="25" customWidth="1"/>
    <col min="15887" max="15888" width="14" style="25" customWidth="1"/>
    <col min="15889" max="15889" width="8.25" style="25" customWidth="1"/>
    <col min="15890" max="16129" width="9" style="25"/>
    <col min="16130" max="16142" width="15.5" style="25" customWidth="1"/>
    <col min="16143" max="16144" width="14" style="25" customWidth="1"/>
    <col min="16145" max="16145" width="8.25" style="25" customWidth="1"/>
    <col min="16146" max="16384" width="9" style="25"/>
  </cols>
  <sheetData>
    <row r="2" spans="1:13" s="95" customFormat="1" ht="13" x14ac:dyDescent="0.25">
      <c r="B2" s="100" t="s">
        <v>321</v>
      </c>
      <c r="C2" s="101"/>
      <c r="D2" s="101"/>
    </row>
    <row r="3" spans="1:13" s="101" customFormat="1" ht="13" x14ac:dyDescent="0.45">
      <c r="A3" s="13"/>
    </row>
    <row r="4" spans="1:13" s="95" customFormat="1" ht="13" x14ac:dyDescent="0.3">
      <c r="B4" s="103" t="s">
        <v>308</v>
      </c>
      <c r="J4" s="26"/>
      <c r="L4" s="103" t="s">
        <v>71</v>
      </c>
    </row>
    <row r="5" spans="1:13" s="95" customFormat="1" ht="12.5" x14ac:dyDescent="0.25"/>
    <row r="6" spans="1:13" s="95" customFormat="1" ht="12.5" x14ac:dyDescent="0.25">
      <c r="B6" s="3"/>
      <c r="C6" s="4" t="s">
        <v>24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306</v>
      </c>
      <c r="I6" s="4" t="s">
        <v>307</v>
      </c>
      <c r="J6" s="4" t="s">
        <v>29</v>
      </c>
      <c r="L6" s="2" t="s">
        <v>41</v>
      </c>
      <c r="M6" s="3" t="s">
        <v>1552</v>
      </c>
    </row>
    <row r="7" spans="1:13" s="95" customFormat="1" ht="13" x14ac:dyDescent="0.3">
      <c r="B7" s="6" t="s">
        <v>30</v>
      </c>
      <c r="C7" s="67">
        <v>0.89500000000000002</v>
      </c>
      <c r="D7" s="67">
        <v>0.57799999999999996</v>
      </c>
      <c r="E7" s="67">
        <v>0.35599999999999998</v>
      </c>
      <c r="F7" s="67">
        <v>0.222</v>
      </c>
      <c r="G7" s="67">
        <v>0.14399999999999999</v>
      </c>
      <c r="H7" s="67">
        <v>9.9000000000000005E-2</v>
      </c>
      <c r="I7" s="67">
        <v>7.3999999999999996E-2</v>
      </c>
      <c r="J7" s="67">
        <v>4.9000000000000002E-2</v>
      </c>
      <c r="L7" s="7" t="s">
        <v>45</v>
      </c>
      <c r="M7" s="8" t="s">
        <v>139</v>
      </c>
    </row>
    <row r="8" spans="1:13" s="95" customFormat="1" ht="13" x14ac:dyDescent="0.3">
      <c r="B8" s="6" t="s">
        <v>31</v>
      </c>
      <c r="C8" s="67">
        <v>0.92400000000000004</v>
      </c>
      <c r="D8" s="67">
        <v>0.56599999999999995</v>
      </c>
      <c r="E8" s="67">
        <v>0.34799999999999998</v>
      </c>
      <c r="F8" s="67">
        <v>0.224</v>
      </c>
      <c r="G8" s="67">
        <v>0.13500000000000001</v>
      </c>
      <c r="H8" s="67">
        <v>9.4E-2</v>
      </c>
      <c r="I8" s="67">
        <v>7.2999999999999995E-2</v>
      </c>
      <c r="J8" s="67">
        <v>5.3999999999999999E-2</v>
      </c>
      <c r="L8" s="7" t="s">
        <v>44</v>
      </c>
      <c r="M8" s="8" t="s">
        <v>44</v>
      </c>
    </row>
    <row r="9" spans="1:13" s="95" customFormat="1" ht="13" x14ac:dyDescent="0.3">
      <c r="B9" s="26"/>
      <c r="L9" s="7" t="s">
        <v>236</v>
      </c>
      <c r="M9" s="8" t="s">
        <v>320</v>
      </c>
    </row>
    <row r="10" spans="1:13" s="95" customFormat="1" ht="13" x14ac:dyDescent="0.3">
      <c r="B10" s="26"/>
      <c r="D10" s="124" t="s">
        <v>309</v>
      </c>
      <c r="E10" s="125"/>
      <c r="F10" s="125"/>
      <c r="G10" s="125"/>
      <c r="L10" s="2"/>
      <c r="M10" s="3"/>
    </row>
    <row r="11" spans="1:13" s="95" customFormat="1" ht="13" x14ac:dyDescent="0.3">
      <c r="B11" s="26"/>
      <c r="D11" s="128"/>
      <c r="L11" s="2" t="s">
        <v>46</v>
      </c>
      <c r="M11" s="3"/>
    </row>
    <row r="12" spans="1:13" s="95" customFormat="1" ht="13" x14ac:dyDescent="0.3">
      <c r="B12" s="129" t="s">
        <v>40</v>
      </c>
      <c r="C12" s="103"/>
      <c r="D12" s="128"/>
      <c r="L12" s="7" t="s">
        <v>47</v>
      </c>
      <c r="M12" s="8" t="s">
        <v>48</v>
      </c>
    </row>
    <row r="13" spans="1:13" s="95" customFormat="1" ht="13" x14ac:dyDescent="0.3">
      <c r="B13" s="130">
        <v>1</v>
      </c>
      <c r="C13" s="130">
        <v>2</v>
      </c>
      <c r="D13" s="130">
        <v>3</v>
      </c>
      <c r="E13" s="130">
        <v>4</v>
      </c>
      <c r="L13" s="7" t="s">
        <v>49</v>
      </c>
      <c r="M13" s="8" t="s">
        <v>50</v>
      </c>
    </row>
    <row r="14" spans="1:13" s="95" customFormat="1" ht="13" x14ac:dyDescent="0.3">
      <c r="B14" s="131" t="s">
        <v>35</v>
      </c>
      <c r="C14" s="131" t="s">
        <v>35</v>
      </c>
      <c r="D14" s="131" t="s">
        <v>311</v>
      </c>
      <c r="E14" s="131" t="s">
        <v>311</v>
      </c>
      <c r="L14" s="2" t="s">
        <v>51</v>
      </c>
      <c r="M14" s="3" t="s">
        <v>52</v>
      </c>
    </row>
    <row r="15" spans="1:13" s="95" customFormat="1" ht="13" x14ac:dyDescent="0.3">
      <c r="B15" s="28"/>
      <c r="C15" s="28"/>
      <c r="D15" s="28"/>
      <c r="E15" s="28"/>
      <c r="L15" s="2" t="s">
        <v>53</v>
      </c>
      <c r="M15" s="3" t="s">
        <v>54</v>
      </c>
    </row>
    <row r="16" spans="1:13" s="95" customFormat="1" ht="13" x14ac:dyDescent="0.3">
      <c r="B16" s="184"/>
      <c r="C16" s="135" t="s">
        <v>37</v>
      </c>
      <c r="D16" s="135"/>
      <c r="E16" s="135" t="s">
        <v>37</v>
      </c>
      <c r="L16" s="2" t="s">
        <v>55</v>
      </c>
      <c r="M16" s="3" t="s">
        <v>313</v>
      </c>
    </row>
    <row r="17" spans="2:14" s="95" customFormat="1" ht="12.5" x14ac:dyDescent="0.25">
      <c r="B17" s="318">
        <v>5.7000000000000002E-2</v>
      </c>
      <c r="C17" s="318">
        <v>0.16400000000000001</v>
      </c>
      <c r="D17" s="318">
        <v>5.3999999999999999E-2</v>
      </c>
      <c r="E17" s="319">
        <v>0.753</v>
      </c>
      <c r="F17" s="360" t="s">
        <v>312</v>
      </c>
      <c r="G17" s="363" t="s">
        <v>310</v>
      </c>
      <c r="L17" s="2"/>
      <c r="M17" s="3"/>
    </row>
    <row r="18" spans="2:14" s="95" customFormat="1" ht="12.5" x14ac:dyDescent="0.25">
      <c r="B18" s="318">
        <v>5.7000000000000002E-2</v>
      </c>
      <c r="C18" s="318">
        <v>0.22500000000000001</v>
      </c>
      <c r="D18" s="318">
        <v>6.0999999999999999E-2</v>
      </c>
      <c r="E18" s="319">
        <v>0.72799999999999998</v>
      </c>
      <c r="F18" s="361"/>
      <c r="G18" s="364"/>
      <c r="L18" s="2" t="s">
        <v>57</v>
      </c>
      <c r="M18" s="3"/>
    </row>
    <row r="19" spans="2:14" s="95" customFormat="1" ht="12.5" x14ac:dyDescent="0.25">
      <c r="B19" s="318">
        <v>5.8000000000000003E-2</v>
      </c>
      <c r="C19" s="318">
        <v>0.216</v>
      </c>
      <c r="D19" s="318">
        <v>6.3E-2</v>
      </c>
      <c r="E19" s="319">
        <v>0.76300000000000001</v>
      </c>
      <c r="F19" s="362"/>
      <c r="G19" s="365"/>
      <c r="L19" s="2" t="s">
        <v>60</v>
      </c>
      <c r="M19" s="3" t="s">
        <v>314</v>
      </c>
    </row>
    <row r="20" spans="2:14" s="95" customFormat="1" ht="12.5" x14ac:dyDescent="0.25">
      <c r="B20" s="101"/>
      <c r="C20" s="101"/>
      <c r="D20" s="101"/>
      <c r="E20" s="101"/>
      <c r="L20" s="2" t="s">
        <v>315</v>
      </c>
      <c r="M20" s="3" t="s">
        <v>316</v>
      </c>
    </row>
    <row r="21" spans="2:14" s="95" customFormat="1" ht="12.5" x14ac:dyDescent="0.25">
      <c r="L21" s="2" t="s">
        <v>62</v>
      </c>
      <c r="M21" s="3" t="s">
        <v>317</v>
      </c>
    </row>
    <row r="22" spans="2:14" s="95" customFormat="1" ht="13" x14ac:dyDescent="0.3">
      <c r="B22" s="129" t="s">
        <v>594</v>
      </c>
      <c r="C22" s="103"/>
      <c r="D22" s="128"/>
      <c r="E22" s="128"/>
      <c r="L22" s="2" t="s">
        <v>64</v>
      </c>
      <c r="M22" s="3" t="s">
        <v>318</v>
      </c>
    </row>
    <row r="23" spans="2:14" s="95" customFormat="1" ht="13" x14ac:dyDescent="0.3">
      <c r="B23" s="130">
        <v>1</v>
      </c>
      <c r="C23" s="130">
        <v>2</v>
      </c>
      <c r="D23" s="130">
        <v>3</v>
      </c>
      <c r="E23" s="130">
        <v>4</v>
      </c>
      <c r="L23" s="2" t="s">
        <v>66</v>
      </c>
      <c r="M23" s="3">
        <v>0.99870000000000003</v>
      </c>
    </row>
    <row r="24" spans="2:14" s="95" customFormat="1" ht="13" x14ac:dyDescent="0.3">
      <c r="B24" s="131" t="s">
        <v>35</v>
      </c>
      <c r="C24" s="131" t="s">
        <v>35</v>
      </c>
      <c r="D24" s="131" t="s">
        <v>311</v>
      </c>
      <c r="E24" s="131" t="s">
        <v>311</v>
      </c>
      <c r="H24" s="1"/>
      <c r="L24" s="2"/>
      <c r="M24" s="3"/>
    </row>
    <row r="25" spans="2:14" s="95" customFormat="1" ht="13" x14ac:dyDescent="0.3">
      <c r="B25" s="28"/>
      <c r="C25" s="28"/>
      <c r="D25" s="28"/>
      <c r="E25" s="28"/>
      <c r="H25" s="1"/>
      <c r="L25" s="2" t="s">
        <v>67</v>
      </c>
      <c r="M25" s="3"/>
    </row>
    <row r="26" spans="2:14" s="95" customFormat="1" ht="13" x14ac:dyDescent="0.3">
      <c r="B26" s="184"/>
      <c r="C26" s="135" t="s">
        <v>37</v>
      </c>
      <c r="D26" s="135"/>
      <c r="E26" s="135" t="s">
        <v>37</v>
      </c>
      <c r="H26" s="1"/>
      <c r="L26" s="2" t="s">
        <v>68</v>
      </c>
      <c r="M26" s="3" t="s">
        <v>319</v>
      </c>
    </row>
    <row r="27" spans="2:14" s="1" customFormat="1" ht="13" x14ac:dyDescent="0.25">
      <c r="B27" s="42">
        <f>(B17-0.088479)/0.000861*3/2</f>
        <v>-54.841463414634148</v>
      </c>
      <c r="C27" s="42">
        <f t="shared" ref="C27:D27" si="0">(C17-0.088479)/0.000861*3/2</f>
        <v>131.56968641114983</v>
      </c>
      <c r="D27" s="42">
        <f t="shared" si="0"/>
        <v>-60.067944250871093</v>
      </c>
      <c r="E27" s="42">
        <f>(E17-0.088479)/0.000861*6</f>
        <v>4630.8083623693383</v>
      </c>
      <c r="H27" s="101"/>
      <c r="L27" s="2" t="s">
        <v>47</v>
      </c>
      <c r="M27" s="3">
        <v>0.34510000000000002</v>
      </c>
      <c r="N27" s="95"/>
    </row>
    <row r="28" spans="2:14" s="1" customFormat="1" ht="13" x14ac:dyDescent="0.25">
      <c r="B28" s="42">
        <f t="shared" ref="B28:D28" si="1">(B18-0.088479)/0.000861*3/2</f>
        <v>-54.841463414634148</v>
      </c>
      <c r="C28" s="42">
        <f t="shared" si="1"/>
        <v>237.84146341463415</v>
      </c>
      <c r="D28" s="42">
        <f t="shared" si="1"/>
        <v>-47.872822299651574</v>
      </c>
      <c r="E28" s="42">
        <f t="shared" ref="E28" si="2">(E18-0.088479)/0.000861*6</f>
        <v>4456.5923344947732</v>
      </c>
      <c r="H28" s="95"/>
      <c r="L28" s="2" t="s">
        <v>49</v>
      </c>
      <c r="M28" s="3" t="s">
        <v>203</v>
      </c>
      <c r="N28" s="95"/>
    </row>
    <row r="29" spans="2:14" s="1" customFormat="1" ht="13" x14ac:dyDescent="0.25">
      <c r="B29" s="42">
        <f t="shared" ref="B29:D29" si="3">(B19-0.088479)/0.000861*3/2</f>
        <v>-53.099303135888505</v>
      </c>
      <c r="C29" s="42">
        <f t="shared" si="3"/>
        <v>222.16202090592336</v>
      </c>
      <c r="D29" s="42">
        <f t="shared" si="3"/>
        <v>-44.38850174216028</v>
      </c>
      <c r="E29" s="42">
        <f t="shared" ref="E29" si="4">(E19-0.088479)/0.000861*6</f>
        <v>4700.4947735191636</v>
      </c>
      <c r="H29" s="95"/>
      <c r="L29" s="2" t="s">
        <v>70</v>
      </c>
      <c r="M29" s="3" t="s">
        <v>204</v>
      </c>
      <c r="N29" s="95"/>
    </row>
    <row r="30" spans="2:14" s="95" customFormat="1" ht="12.5" x14ac:dyDescent="0.25">
      <c r="B30" s="101"/>
      <c r="C30" s="101"/>
      <c r="D30" s="101"/>
      <c r="E30" s="101"/>
      <c r="F30" s="101"/>
      <c r="G30" s="101"/>
      <c r="I30" s="101"/>
      <c r="J30" s="101"/>
      <c r="K30" s="101"/>
      <c r="L30" s="101"/>
    </row>
    <row r="31" spans="2:14" s="95" customFormat="1" ht="12.5" x14ac:dyDescent="0.25"/>
    <row r="32" spans="2:14" s="95" customFormat="1" ht="13" x14ac:dyDescent="0.3">
      <c r="B32" s="103" t="s">
        <v>322</v>
      </c>
      <c r="J32" s="26"/>
      <c r="L32" s="103" t="s">
        <v>71</v>
      </c>
    </row>
    <row r="33" spans="2:13" s="95" customFormat="1" ht="12.5" x14ac:dyDescent="0.25"/>
    <row r="34" spans="2:13" s="95" customFormat="1" ht="12.5" x14ac:dyDescent="0.25">
      <c r="B34" s="3"/>
      <c r="C34" s="4" t="s">
        <v>25</v>
      </c>
      <c r="D34" s="4" t="s">
        <v>26</v>
      </c>
      <c r="E34" s="4" t="s">
        <v>27</v>
      </c>
      <c r="F34" s="4" t="s">
        <v>28</v>
      </c>
      <c r="G34" s="4" t="s">
        <v>306</v>
      </c>
      <c r="H34" s="4" t="s">
        <v>307</v>
      </c>
      <c r="I34" s="4" t="s">
        <v>323</v>
      </c>
      <c r="J34" s="4" t="s">
        <v>29</v>
      </c>
      <c r="L34" s="2" t="s">
        <v>41</v>
      </c>
      <c r="M34" s="3" t="s">
        <v>325</v>
      </c>
    </row>
    <row r="35" spans="2:13" s="95" customFormat="1" ht="13" x14ac:dyDescent="0.3">
      <c r="B35" s="6" t="s">
        <v>30</v>
      </c>
      <c r="C35" s="67">
        <v>1.341</v>
      </c>
      <c r="D35" s="67">
        <v>0.93400000000000005</v>
      </c>
      <c r="E35" s="67">
        <v>0.54700000000000004</v>
      </c>
      <c r="F35" s="67">
        <v>0.32400000000000001</v>
      </c>
      <c r="G35" s="67">
        <v>0.189</v>
      </c>
      <c r="H35" s="67">
        <v>0.11899999999999999</v>
      </c>
      <c r="I35" s="67">
        <v>8.8999999999999996E-2</v>
      </c>
      <c r="J35" s="67">
        <v>6.5000000000000002E-2</v>
      </c>
      <c r="L35" s="7" t="s">
        <v>45</v>
      </c>
      <c r="M35" s="8" t="s">
        <v>139</v>
      </c>
    </row>
    <row r="36" spans="2:13" s="95" customFormat="1" ht="13" x14ac:dyDescent="0.3">
      <c r="B36" s="6" t="s">
        <v>31</v>
      </c>
      <c r="C36" s="67">
        <v>1.3360000000000001</v>
      </c>
      <c r="D36" s="67">
        <v>0.879</v>
      </c>
      <c r="E36" s="67">
        <v>0.54100000000000004</v>
      </c>
      <c r="F36" s="67">
        <v>0.32500000000000001</v>
      </c>
      <c r="G36" s="67">
        <v>0.186</v>
      </c>
      <c r="H36" s="67">
        <v>0.11799999999999999</v>
      </c>
      <c r="I36" s="67">
        <v>8.5000000000000006E-2</v>
      </c>
      <c r="J36" s="67">
        <v>6.0999999999999999E-2</v>
      </c>
      <c r="L36" s="7" t="s">
        <v>44</v>
      </c>
      <c r="M36" s="8" t="s">
        <v>44</v>
      </c>
    </row>
    <row r="37" spans="2:13" s="95" customFormat="1" ht="13" x14ac:dyDescent="0.3">
      <c r="B37" s="26"/>
      <c r="L37" s="7" t="s">
        <v>236</v>
      </c>
      <c r="M37" s="8" t="s">
        <v>320</v>
      </c>
    </row>
    <row r="38" spans="2:13" s="95" customFormat="1" ht="13" x14ac:dyDescent="0.3">
      <c r="B38" s="26"/>
      <c r="D38" s="124" t="s">
        <v>324</v>
      </c>
      <c r="E38" s="125"/>
      <c r="F38" s="125"/>
      <c r="G38" s="125"/>
      <c r="L38" s="2"/>
      <c r="M38" s="3"/>
    </row>
    <row r="39" spans="2:13" s="95" customFormat="1" ht="13" x14ac:dyDescent="0.3">
      <c r="B39" s="26"/>
      <c r="D39" s="128"/>
      <c r="L39" s="2" t="s">
        <v>46</v>
      </c>
      <c r="M39" s="3"/>
    </row>
    <row r="40" spans="2:13" s="95" customFormat="1" ht="13" x14ac:dyDescent="0.3">
      <c r="B40" s="129" t="s">
        <v>40</v>
      </c>
      <c r="C40" s="103"/>
      <c r="D40" s="128"/>
      <c r="L40" s="7" t="s">
        <v>47</v>
      </c>
      <c r="M40" s="8">
        <v>2.0000000000000001E-4</v>
      </c>
    </row>
    <row r="41" spans="2:13" s="95" customFormat="1" ht="13" x14ac:dyDescent="0.3">
      <c r="B41" s="130">
        <v>1</v>
      </c>
      <c r="C41" s="130">
        <v>2</v>
      </c>
      <c r="D41" s="130">
        <v>3</v>
      </c>
      <c r="E41" s="130">
        <v>4</v>
      </c>
      <c r="L41" s="7" t="s">
        <v>49</v>
      </c>
      <c r="M41" s="8" t="s">
        <v>50</v>
      </c>
    </row>
    <row r="42" spans="2:13" s="95" customFormat="1" ht="13" x14ac:dyDescent="0.3">
      <c r="B42" s="131" t="s">
        <v>35</v>
      </c>
      <c r="C42" s="131" t="s">
        <v>35</v>
      </c>
      <c r="D42" s="131" t="s">
        <v>311</v>
      </c>
      <c r="E42" s="131" t="s">
        <v>311</v>
      </c>
      <c r="L42" s="2" t="s">
        <v>51</v>
      </c>
      <c r="M42" s="3" t="s">
        <v>52</v>
      </c>
    </row>
    <row r="43" spans="2:13" s="95" customFormat="1" ht="13" x14ac:dyDescent="0.3">
      <c r="B43" s="28"/>
      <c r="C43" s="28"/>
      <c r="D43" s="28"/>
      <c r="E43" s="28"/>
      <c r="L43" s="2" t="s">
        <v>53</v>
      </c>
      <c r="M43" s="3" t="s">
        <v>54</v>
      </c>
    </row>
    <row r="44" spans="2:13" s="95" customFormat="1" ht="13" x14ac:dyDescent="0.3">
      <c r="B44" s="184"/>
      <c r="C44" s="135" t="s">
        <v>37</v>
      </c>
      <c r="D44" s="135"/>
      <c r="E44" s="135" t="s">
        <v>37</v>
      </c>
      <c r="L44" s="2" t="s">
        <v>55</v>
      </c>
      <c r="M44" s="3" t="s">
        <v>326</v>
      </c>
    </row>
    <row r="45" spans="2:13" s="95" customFormat="1" ht="12.5" x14ac:dyDescent="0.25">
      <c r="B45" s="318">
        <v>6.2E-2</v>
      </c>
      <c r="C45" s="318">
        <v>7.0000000000000007E-2</v>
      </c>
      <c r="D45" s="318">
        <v>5.8999999999999997E-2</v>
      </c>
      <c r="E45" s="318">
        <v>0.51600000000000001</v>
      </c>
      <c r="F45" s="360" t="s">
        <v>312</v>
      </c>
      <c r="L45" s="2"/>
      <c r="M45" s="3"/>
    </row>
    <row r="46" spans="2:13" s="95" customFormat="1" ht="12.5" x14ac:dyDescent="0.25">
      <c r="B46" s="318">
        <v>6.3E-2</v>
      </c>
      <c r="C46" s="318">
        <v>6.4000000000000001E-2</v>
      </c>
      <c r="D46" s="318">
        <v>6.3E-2</v>
      </c>
      <c r="E46" s="318">
        <v>0.41199999999999998</v>
      </c>
      <c r="F46" s="361"/>
      <c r="L46" s="2" t="s">
        <v>57</v>
      </c>
      <c r="M46" s="3"/>
    </row>
    <row r="47" spans="2:13" s="95" customFormat="1" ht="12.5" x14ac:dyDescent="0.25">
      <c r="B47" s="318">
        <v>6.8000000000000005E-2</v>
      </c>
      <c r="C47" s="318">
        <v>8.5000000000000006E-2</v>
      </c>
      <c r="D47" s="318">
        <v>6.3E-2</v>
      </c>
      <c r="E47" s="318">
        <v>0.47299999999999998</v>
      </c>
      <c r="F47" s="362"/>
      <c r="L47" s="2" t="s">
        <v>327</v>
      </c>
      <c r="M47" s="235"/>
    </row>
    <row r="48" spans="2:13" s="95" customFormat="1" ht="12.5" x14ac:dyDescent="0.25">
      <c r="B48" s="101"/>
      <c r="C48" s="101"/>
      <c r="D48" s="101"/>
      <c r="E48" s="101"/>
      <c r="L48" s="2" t="s">
        <v>315</v>
      </c>
      <c r="M48" s="3" t="s">
        <v>328</v>
      </c>
    </row>
    <row r="49" spans="2:14" s="95" customFormat="1" ht="12.5" x14ac:dyDescent="0.25">
      <c r="L49" s="2" t="s">
        <v>62</v>
      </c>
      <c r="M49" s="3" t="s">
        <v>329</v>
      </c>
    </row>
    <row r="50" spans="2:14" s="95" customFormat="1" ht="13" x14ac:dyDescent="0.3">
      <c r="B50" s="129" t="s">
        <v>595</v>
      </c>
      <c r="C50" s="103"/>
      <c r="D50" s="128"/>
      <c r="E50" s="128"/>
      <c r="L50" s="2" t="s">
        <v>64</v>
      </c>
      <c r="M50" s="3" t="s">
        <v>330</v>
      </c>
    </row>
    <row r="51" spans="2:14" s="95" customFormat="1" ht="13" x14ac:dyDescent="0.3">
      <c r="B51" s="130">
        <v>1</v>
      </c>
      <c r="C51" s="130">
        <v>2</v>
      </c>
      <c r="D51" s="130">
        <v>3</v>
      </c>
      <c r="E51" s="130">
        <v>4</v>
      </c>
      <c r="L51" s="2" t="s">
        <v>66</v>
      </c>
      <c r="M51" s="3">
        <v>0.97609999999999997</v>
      </c>
    </row>
    <row r="52" spans="2:14" s="95" customFormat="1" ht="13" x14ac:dyDescent="0.3">
      <c r="B52" s="131" t="s">
        <v>35</v>
      </c>
      <c r="C52" s="131" t="s">
        <v>35</v>
      </c>
      <c r="D52" s="131" t="s">
        <v>311</v>
      </c>
      <c r="E52" s="131" t="s">
        <v>311</v>
      </c>
      <c r="G52" s="1"/>
      <c r="H52" s="1"/>
      <c r="L52" s="2"/>
      <c r="M52" s="3"/>
    </row>
    <row r="53" spans="2:14" s="95" customFormat="1" ht="13" x14ac:dyDescent="0.3">
      <c r="B53" s="28"/>
      <c r="C53" s="28"/>
      <c r="D53" s="28"/>
      <c r="E53" s="28"/>
      <c r="G53" s="1"/>
      <c r="H53" s="1"/>
      <c r="L53" s="2" t="s">
        <v>67</v>
      </c>
      <c r="M53" s="3"/>
    </row>
    <row r="54" spans="2:14" s="95" customFormat="1" ht="13" x14ac:dyDescent="0.3">
      <c r="B54" s="184"/>
      <c r="C54" s="135" t="s">
        <v>37</v>
      </c>
      <c r="D54" s="135"/>
      <c r="E54" s="135" t="s">
        <v>37</v>
      </c>
      <c r="G54" s="1"/>
      <c r="H54" s="1"/>
      <c r="L54" s="2" t="s">
        <v>68</v>
      </c>
      <c r="M54" s="3" t="s">
        <v>331</v>
      </c>
    </row>
    <row r="55" spans="2:14" s="1" customFormat="1" ht="13" x14ac:dyDescent="0.25">
      <c r="B55" s="42">
        <f>(B45-0.078454)/0.003417*3/2</f>
        <v>-7.2230026338893758</v>
      </c>
      <c r="C55" s="42">
        <f t="shared" ref="C55:E55" si="5">(C45-0.078454)/0.003417*3/2</f>
        <v>-3.7111501316944642</v>
      </c>
      <c r="D55" s="42">
        <f t="shared" si="5"/>
        <v>-8.5399473222124662</v>
      </c>
      <c r="E55" s="42">
        <f t="shared" si="5"/>
        <v>192.07462686567163</v>
      </c>
      <c r="G55" s="95"/>
      <c r="H55" s="101"/>
      <c r="L55" s="2" t="s">
        <v>47</v>
      </c>
      <c r="M55" s="3">
        <v>1.04E-2</v>
      </c>
      <c r="N55" s="95"/>
    </row>
    <row r="56" spans="2:14" s="1" customFormat="1" ht="13" x14ac:dyDescent="0.25">
      <c r="B56" s="42">
        <f t="shared" ref="B56:E56" si="6">(B46-0.078454)/0.003417*3/2</f>
        <v>-6.7840210711150117</v>
      </c>
      <c r="C56" s="42">
        <f t="shared" si="6"/>
        <v>-6.3450395083406477</v>
      </c>
      <c r="D56" s="42">
        <f t="shared" si="6"/>
        <v>-6.7840210711150117</v>
      </c>
      <c r="E56" s="42">
        <f t="shared" si="6"/>
        <v>146.42054433713787</v>
      </c>
      <c r="G56" s="95"/>
      <c r="H56" s="95"/>
      <c r="L56" s="2" t="s">
        <v>49</v>
      </c>
      <c r="M56" s="3" t="s">
        <v>332</v>
      </c>
      <c r="N56" s="95"/>
    </row>
    <row r="57" spans="2:14" s="1" customFormat="1" ht="13" x14ac:dyDescent="0.25">
      <c r="B57" s="42">
        <f t="shared" ref="B57:E57" si="7">(B47-0.078454)/0.003417*3/2</f>
        <v>-4.5891132572431923</v>
      </c>
      <c r="C57" s="42">
        <f t="shared" si="7"/>
        <v>2.8735733099209879</v>
      </c>
      <c r="D57" s="42">
        <f t="shared" si="7"/>
        <v>-6.7840210711150117</v>
      </c>
      <c r="E57" s="42">
        <f t="shared" si="7"/>
        <v>173.19841966637398</v>
      </c>
      <c r="G57" s="95"/>
      <c r="H57" s="95"/>
      <c r="L57" s="2" t="s">
        <v>70</v>
      </c>
      <c r="M57" s="3" t="s">
        <v>52</v>
      </c>
      <c r="N57" s="95"/>
    </row>
    <row r="58" spans="2:14" s="95" customFormat="1" ht="12.5" x14ac:dyDescent="0.25"/>
    <row r="59" spans="2:14" s="95" customFormat="1" ht="12.5" x14ac:dyDescent="0.25"/>
    <row r="60" spans="2:14" s="95" customFormat="1" ht="12.5" x14ac:dyDescent="0.25"/>
    <row r="61" spans="2:14" s="95" customFormat="1" ht="12.5" x14ac:dyDescent="0.25"/>
    <row r="62" spans="2:14" s="95" customFormat="1" ht="12.5" x14ac:dyDescent="0.25"/>
    <row r="63" spans="2:14" s="95" customFormat="1" ht="12.5" x14ac:dyDescent="0.25"/>
    <row r="64" spans="2:14" s="95" customFormat="1" ht="12.5" x14ac:dyDescent="0.25"/>
    <row r="65" s="95" customFormat="1" ht="12.5" x14ac:dyDescent="0.25"/>
    <row r="66" s="95" customFormat="1" ht="12.5" x14ac:dyDescent="0.25"/>
    <row r="67" s="95" customFormat="1" ht="12.5" x14ac:dyDescent="0.25"/>
  </sheetData>
  <mergeCells count="3">
    <mergeCell ref="F17:F19"/>
    <mergeCell ref="G17:G19"/>
    <mergeCell ref="F45:F47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00905-86D4-4546-99BE-8BA8A26E784B}">
  <dimension ref="B2:Z72"/>
  <sheetViews>
    <sheetView zoomScale="90" zoomScaleNormal="90" workbookViewId="0">
      <selection activeCell="P34" sqref="P34"/>
    </sheetView>
  </sheetViews>
  <sheetFormatPr defaultColWidth="9" defaultRowHeight="14" x14ac:dyDescent="0.3"/>
  <cols>
    <col min="1" max="1" width="9" style="25"/>
    <col min="2" max="2" width="15.75" style="37" customWidth="1"/>
    <col min="3" max="3" width="6.33203125" style="35" customWidth="1"/>
    <col min="4" max="5" width="6.5" style="36" customWidth="1"/>
    <col min="6" max="6" width="6.75" style="36" bestFit="1" customWidth="1"/>
    <col min="7" max="7" width="6.08203125" style="25" bestFit="1" customWidth="1"/>
    <col min="8" max="8" width="6.75" style="25" customWidth="1"/>
    <col min="9" max="9" width="6.08203125" style="25" bestFit="1" customWidth="1"/>
    <col min="10" max="10" width="6.75" style="25" customWidth="1"/>
    <col min="11" max="11" width="6.08203125" style="25" bestFit="1" customWidth="1"/>
    <col min="12" max="12" width="6.75" style="25" customWidth="1"/>
    <col min="13" max="13" width="6.08203125" style="25" bestFit="1" customWidth="1"/>
    <col min="14" max="14" width="6.75" style="25" customWidth="1"/>
    <col min="15" max="15" width="6.08203125" style="25" bestFit="1" customWidth="1"/>
    <col min="16" max="16" width="6.75" style="25" customWidth="1"/>
    <col min="17" max="17" width="6.08203125" style="25" bestFit="1" customWidth="1"/>
    <col min="18" max="18" width="6.75" style="25" customWidth="1"/>
    <col min="19" max="19" width="5.75" style="25" customWidth="1"/>
    <col min="20" max="20" width="6.83203125" style="25" bestFit="1" customWidth="1"/>
    <col min="21" max="21" width="6.08203125" style="25" bestFit="1" customWidth="1"/>
    <col min="22" max="22" width="6.83203125" style="25" bestFit="1" customWidth="1"/>
    <col min="23" max="23" width="6.08203125" style="25" bestFit="1" customWidth="1"/>
    <col min="24" max="24" width="6.83203125" style="25" bestFit="1" customWidth="1"/>
    <col min="25" max="25" width="6" style="25" bestFit="1" customWidth="1"/>
    <col min="26" max="26" width="6.75" style="25" bestFit="1" customWidth="1"/>
    <col min="27" max="16384" width="9" style="25"/>
  </cols>
  <sheetData>
    <row r="2" spans="2:26" s="95" customFormat="1" ht="13" x14ac:dyDescent="0.25">
      <c r="C2" s="100" t="s">
        <v>108</v>
      </c>
      <c r="D2" s="101"/>
      <c r="E2" s="101"/>
    </row>
    <row r="3" spans="2:26" s="95" customFormat="1" ht="13" x14ac:dyDescent="0.25">
      <c r="C3" s="100"/>
      <c r="D3" s="101"/>
      <c r="E3" s="101"/>
    </row>
    <row r="4" spans="2:26" s="95" customFormat="1" ht="12.5" x14ac:dyDescent="0.25">
      <c r="B4" s="4"/>
      <c r="C4" s="263" t="s">
        <v>72</v>
      </c>
      <c r="D4" s="263" t="s">
        <v>172</v>
      </c>
      <c r="E4" s="358" t="s">
        <v>173</v>
      </c>
      <c r="F4" s="359"/>
      <c r="G4" s="358" t="s">
        <v>102</v>
      </c>
      <c r="H4" s="359"/>
      <c r="I4" s="358" t="s">
        <v>174</v>
      </c>
      <c r="J4" s="359"/>
      <c r="K4" s="358" t="s">
        <v>103</v>
      </c>
      <c r="L4" s="359"/>
      <c r="M4" s="358" t="s">
        <v>175</v>
      </c>
      <c r="N4" s="359"/>
      <c r="O4" s="358" t="s">
        <v>74</v>
      </c>
      <c r="P4" s="359"/>
      <c r="Q4" s="358" t="s">
        <v>176</v>
      </c>
      <c r="R4" s="359"/>
      <c r="S4" s="358" t="s">
        <v>75</v>
      </c>
      <c r="T4" s="359"/>
      <c r="U4" s="358" t="s">
        <v>264</v>
      </c>
      <c r="V4" s="359"/>
      <c r="W4" s="358" t="s">
        <v>278</v>
      </c>
      <c r="X4" s="359"/>
      <c r="Y4" s="358" t="s">
        <v>333</v>
      </c>
      <c r="Z4" s="359"/>
    </row>
    <row r="5" spans="2:26" s="95" customFormat="1" ht="12.75" customHeight="1" x14ac:dyDescent="0.25">
      <c r="B5" s="4"/>
      <c r="C5" s="263"/>
      <c r="D5" s="263"/>
      <c r="E5" s="263"/>
      <c r="F5" s="27"/>
      <c r="G5" s="263"/>
      <c r="H5" s="27"/>
      <c r="I5" s="263"/>
      <c r="J5" s="27"/>
      <c r="K5" s="263"/>
      <c r="L5" s="27"/>
      <c r="M5" s="263"/>
      <c r="N5" s="27"/>
      <c r="O5" s="263"/>
      <c r="P5" s="27"/>
      <c r="Q5" s="263"/>
      <c r="R5" s="27"/>
      <c r="S5" s="263"/>
      <c r="T5" s="27"/>
      <c r="U5" s="263"/>
      <c r="V5" s="27"/>
      <c r="W5" s="263"/>
      <c r="X5" s="27"/>
      <c r="Y5" s="263"/>
      <c r="Z5" s="27"/>
    </row>
    <row r="6" spans="2:26" s="95" customFormat="1" ht="12.75" customHeight="1" x14ac:dyDescent="0.25">
      <c r="B6" s="354" t="s">
        <v>364</v>
      </c>
      <c r="C6" s="58" t="s">
        <v>334</v>
      </c>
      <c r="D6" s="55">
        <v>17.559999999999999</v>
      </c>
      <c r="E6" s="40">
        <v>16.670000000000002</v>
      </c>
      <c r="F6" s="47">
        <f>E6/D6*100</f>
        <v>94.931662870159471</v>
      </c>
      <c r="G6" s="40">
        <v>16.239999999999998</v>
      </c>
      <c r="H6" s="47">
        <f>G6/D6*100</f>
        <v>92.482915717539854</v>
      </c>
      <c r="I6" s="40">
        <v>17.170000000000002</v>
      </c>
      <c r="J6" s="47">
        <f>I6/D6*100</f>
        <v>97.77904328018225</v>
      </c>
      <c r="K6" s="40">
        <v>17.02</v>
      </c>
      <c r="L6" s="47">
        <f>K6/D6*100</f>
        <v>96.924829157175409</v>
      </c>
      <c r="M6" s="40">
        <v>17.559999999999999</v>
      </c>
      <c r="N6" s="47">
        <f>M6/D6*100</f>
        <v>100</v>
      </c>
      <c r="O6" s="40">
        <v>18.18</v>
      </c>
      <c r="P6" s="47">
        <f>O6/D6*100</f>
        <v>103.53075170842826</v>
      </c>
      <c r="Q6" s="40">
        <v>18.21</v>
      </c>
      <c r="R6" s="47">
        <f>Q6/D6*100</f>
        <v>103.70159453302963</v>
      </c>
      <c r="S6" s="40">
        <v>18.46</v>
      </c>
      <c r="T6" s="47">
        <f>S6/D6*100</f>
        <v>105.12528473804102</v>
      </c>
      <c r="U6" s="40">
        <v>18.37</v>
      </c>
      <c r="V6" s="47">
        <f>U6/D6*100</f>
        <v>104.61275626423692</v>
      </c>
      <c r="W6" s="40">
        <v>18.86</v>
      </c>
      <c r="X6" s="47">
        <f>W6/D6*100</f>
        <v>107.40318906605924</v>
      </c>
      <c r="Y6" s="40">
        <v>19.04</v>
      </c>
      <c r="Z6" s="47">
        <f>Y6/D6*100</f>
        <v>108.42824601366743</v>
      </c>
    </row>
    <row r="7" spans="2:26" s="95" customFormat="1" ht="12.75" customHeight="1" x14ac:dyDescent="0.25">
      <c r="B7" s="354"/>
      <c r="C7" s="58" t="s">
        <v>335</v>
      </c>
      <c r="D7" s="55">
        <v>18.010000000000002</v>
      </c>
      <c r="E7" s="40">
        <v>18.440000000000001</v>
      </c>
      <c r="F7" s="47">
        <f t="shared" ref="F7:F30" si="0">E7/D7*100</f>
        <v>102.38756246529705</v>
      </c>
      <c r="G7" s="40">
        <v>17.97</v>
      </c>
      <c r="H7" s="47">
        <f t="shared" ref="H7:H30" si="1">G7/D7*100</f>
        <v>99.777901166018864</v>
      </c>
      <c r="I7" s="40">
        <v>18.010000000000002</v>
      </c>
      <c r="J7" s="47">
        <f t="shared" ref="J7:J17" si="2">I7/D7*100</f>
        <v>100</v>
      </c>
      <c r="K7" s="40">
        <v>18.07</v>
      </c>
      <c r="L7" s="47">
        <f t="shared" ref="L7:L27" si="3">K7/D7*100</f>
        <v>100.33314825097167</v>
      </c>
      <c r="M7" s="40">
        <v>18.22</v>
      </c>
      <c r="N7" s="47">
        <f t="shared" ref="N7:N11" si="4">M7/D7*100</f>
        <v>101.16601887840086</v>
      </c>
      <c r="O7" s="40">
        <v>18.43</v>
      </c>
      <c r="P7" s="47">
        <f t="shared" ref="P7:P10" si="5">O7/D7*100</f>
        <v>102.33203775680178</v>
      </c>
      <c r="Q7" s="40">
        <v>18.809999999999999</v>
      </c>
      <c r="R7" s="47">
        <f t="shared" ref="R7:R10" si="6">Q7/D7*100</f>
        <v>104.4419766796224</v>
      </c>
      <c r="S7" s="40">
        <v>18.97</v>
      </c>
      <c r="T7" s="47">
        <f t="shared" ref="T7:T10" si="7">S7/D7*100</f>
        <v>105.33037201554691</v>
      </c>
      <c r="U7" s="40">
        <v>19.07</v>
      </c>
      <c r="V7" s="47">
        <f t="shared" ref="V7:V10" si="8">U7/D7*100</f>
        <v>105.88561910049972</v>
      </c>
      <c r="W7" s="40">
        <v>19.170000000000002</v>
      </c>
      <c r="X7" s="47">
        <f t="shared" ref="X7:X10" si="9">W7/D7*100</f>
        <v>106.44086618545252</v>
      </c>
      <c r="Y7" s="40">
        <v>20.13</v>
      </c>
      <c r="Z7" s="47">
        <f t="shared" ref="Z7:Z10" si="10">Y7/D7*100</f>
        <v>111.77123820099943</v>
      </c>
    </row>
    <row r="8" spans="2:26" s="95" customFormat="1" ht="12.75" customHeight="1" x14ac:dyDescent="0.25">
      <c r="B8" s="354"/>
      <c r="C8" s="58" t="s">
        <v>336</v>
      </c>
      <c r="D8" s="55">
        <v>18.97</v>
      </c>
      <c r="E8" s="40">
        <v>18.079999999999998</v>
      </c>
      <c r="F8" s="47">
        <f t="shared" si="0"/>
        <v>95.308381655245128</v>
      </c>
      <c r="G8" s="40">
        <v>17.77</v>
      </c>
      <c r="H8" s="47">
        <f t="shared" si="1"/>
        <v>93.674222456510279</v>
      </c>
      <c r="I8" s="40">
        <v>18.12</v>
      </c>
      <c r="J8" s="47">
        <f t="shared" si="2"/>
        <v>95.51924090669479</v>
      </c>
      <c r="K8" s="40">
        <v>18.66</v>
      </c>
      <c r="L8" s="47">
        <f t="shared" si="3"/>
        <v>98.365840801265165</v>
      </c>
      <c r="M8" s="40">
        <v>18.89</v>
      </c>
      <c r="N8" s="47">
        <f t="shared" si="4"/>
        <v>99.57828149710069</v>
      </c>
      <c r="O8" s="40">
        <v>19.14</v>
      </c>
      <c r="P8" s="47">
        <f t="shared" si="5"/>
        <v>100.89615181866105</v>
      </c>
      <c r="Q8" s="40">
        <v>19.399999999999999</v>
      </c>
      <c r="R8" s="47">
        <f t="shared" si="6"/>
        <v>102.26673695308381</v>
      </c>
      <c r="S8" s="40">
        <v>19.809999999999999</v>
      </c>
      <c r="T8" s="47">
        <f t="shared" si="7"/>
        <v>104.4280442804428</v>
      </c>
      <c r="U8" s="40">
        <v>19.64</v>
      </c>
      <c r="V8" s="47">
        <f t="shared" si="8"/>
        <v>103.53189246178177</v>
      </c>
      <c r="W8" s="40">
        <v>19.88</v>
      </c>
      <c r="X8" s="47">
        <f t="shared" si="9"/>
        <v>104.79704797047971</v>
      </c>
      <c r="Y8" s="40">
        <v>20.52</v>
      </c>
      <c r="Z8" s="47">
        <f t="shared" si="10"/>
        <v>108.17079599367423</v>
      </c>
    </row>
    <row r="9" spans="2:26" s="95" customFormat="1" ht="12.75" customHeight="1" x14ac:dyDescent="0.25">
      <c r="B9" s="354"/>
      <c r="C9" s="58" t="s">
        <v>337</v>
      </c>
      <c r="D9" s="55">
        <v>17.07</v>
      </c>
      <c r="E9" s="40">
        <v>16.809999999999999</v>
      </c>
      <c r="F9" s="47">
        <f t="shared" si="0"/>
        <v>98.476859988283522</v>
      </c>
      <c r="G9" s="40">
        <v>16.48</v>
      </c>
      <c r="H9" s="47">
        <f t="shared" si="1"/>
        <v>96.543643819566498</v>
      </c>
      <c r="I9" s="40">
        <v>16.7</v>
      </c>
      <c r="J9" s="47">
        <f t="shared" si="2"/>
        <v>97.83245459871118</v>
      </c>
      <c r="K9" s="40">
        <v>16.89</v>
      </c>
      <c r="L9" s="47">
        <f t="shared" si="3"/>
        <v>98.945518453427056</v>
      </c>
      <c r="M9" s="40">
        <v>16.809999999999999</v>
      </c>
      <c r="N9" s="47">
        <f t="shared" si="4"/>
        <v>98.476859988283522</v>
      </c>
      <c r="O9" s="40">
        <v>17.48</v>
      </c>
      <c r="P9" s="47">
        <f t="shared" si="5"/>
        <v>102.40187463386057</v>
      </c>
      <c r="Q9" s="40">
        <v>17.82</v>
      </c>
      <c r="R9" s="47">
        <f t="shared" si="6"/>
        <v>104.39367311072057</v>
      </c>
      <c r="S9" s="40">
        <v>17.670000000000002</v>
      </c>
      <c r="T9" s="47">
        <f t="shared" si="7"/>
        <v>103.51493848857646</v>
      </c>
      <c r="U9" s="40">
        <v>17.989999999999998</v>
      </c>
      <c r="V9" s="47">
        <f t="shared" si="8"/>
        <v>105.38957234915054</v>
      </c>
      <c r="W9" s="40">
        <v>17.84</v>
      </c>
      <c r="X9" s="47">
        <f t="shared" si="9"/>
        <v>104.51083772700645</v>
      </c>
      <c r="Y9" s="40">
        <v>18.12</v>
      </c>
      <c r="Z9" s="47">
        <f t="shared" si="10"/>
        <v>106.1511423550088</v>
      </c>
    </row>
    <row r="10" spans="2:26" s="95" customFormat="1" ht="12.75" customHeight="1" x14ac:dyDescent="0.25">
      <c r="B10" s="354"/>
      <c r="C10" s="58" t="s">
        <v>338</v>
      </c>
      <c r="D10" s="55">
        <v>17.809999999999999</v>
      </c>
      <c r="E10" s="40">
        <v>17.84</v>
      </c>
      <c r="F10" s="47">
        <f t="shared" si="0"/>
        <v>100.16844469399216</v>
      </c>
      <c r="G10" s="40">
        <v>17.61</v>
      </c>
      <c r="H10" s="47">
        <f t="shared" si="1"/>
        <v>98.877035373385752</v>
      </c>
      <c r="I10" s="40">
        <v>17.809999999999999</v>
      </c>
      <c r="J10" s="47">
        <f t="shared" si="2"/>
        <v>100</v>
      </c>
      <c r="K10" s="40">
        <v>17.63</v>
      </c>
      <c r="L10" s="47">
        <f t="shared" si="3"/>
        <v>98.989331836047171</v>
      </c>
      <c r="M10" s="40">
        <v>17.73</v>
      </c>
      <c r="N10" s="47">
        <f t="shared" si="4"/>
        <v>99.550814149354309</v>
      </c>
      <c r="O10" s="40">
        <v>18.13</v>
      </c>
      <c r="P10" s="47">
        <f t="shared" si="5"/>
        <v>101.79674340258282</v>
      </c>
      <c r="Q10" s="40">
        <v>18.510000000000002</v>
      </c>
      <c r="R10" s="47">
        <f t="shared" si="6"/>
        <v>103.93037619314993</v>
      </c>
      <c r="S10" s="40">
        <v>19.010000000000002</v>
      </c>
      <c r="T10" s="47">
        <f t="shared" si="7"/>
        <v>106.73778775968559</v>
      </c>
      <c r="U10" s="40">
        <v>19.13</v>
      </c>
      <c r="V10" s="47">
        <f t="shared" si="8"/>
        <v>107.41156653565413</v>
      </c>
      <c r="W10" s="40">
        <v>19.600000000000001</v>
      </c>
      <c r="X10" s="47">
        <f t="shared" si="9"/>
        <v>110.05053340819767</v>
      </c>
      <c r="Y10" s="40">
        <v>19.61</v>
      </c>
      <c r="Z10" s="47">
        <f t="shared" si="10"/>
        <v>110.10668163952838</v>
      </c>
    </row>
    <row r="11" spans="2:26" s="95" customFormat="1" ht="12.75" customHeight="1" x14ac:dyDescent="0.25">
      <c r="B11" s="366" t="s">
        <v>365</v>
      </c>
      <c r="C11" s="58" t="s">
        <v>339</v>
      </c>
      <c r="D11" s="55">
        <v>16.97</v>
      </c>
      <c r="E11" s="40">
        <v>16.14</v>
      </c>
      <c r="F11" s="47">
        <f t="shared" si="0"/>
        <v>95.109015910430188</v>
      </c>
      <c r="G11" s="40">
        <v>14.29</v>
      </c>
      <c r="H11" s="47">
        <f t="shared" si="1"/>
        <v>84.207424867413081</v>
      </c>
      <c r="I11" s="40">
        <v>13.65</v>
      </c>
      <c r="J11" s="47">
        <f t="shared" si="2"/>
        <v>80.436063641720693</v>
      </c>
      <c r="K11" s="40">
        <v>11.86</v>
      </c>
      <c r="L11" s="50">
        <f t="shared" si="3"/>
        <v>69.888037713612263</v>
      </c>
      <c r="M11" s="40">
        <v>12.67</v>
      </c>
      <c r="N11" s="50">
        <f t="shared" si="4"/>
        <v>74.661166764879212</v>
      </c>
      <c r="O11" s="49" t="s">
        <v>126</v>
      </c>
      <c r="P11" s="50"/>
      <c r="Q11" s="48"/>
      <c r="R11" s="50"/>
      <c r="S11" s="59"/>
      <c r="T11" s="50"/>
      <c r="U11" s="59"/>
      <c r="V11" s="50"/>
      <c r="W11" s="59"/>
      <c r="X11" s="50"/>
      <c r="Y11" s="59"/>
      <c r="Z11" s="50"/>
    </row>
    <row r="12" spans="2:26" s="95" customFormat="1" ht="12.75" customHeight="1" x14ac:dyDescent="0.25">
      <c r="B12" s="366"/>
      <c r="C12" s="58" t="s">
        <v>340</v>
      </c>
      <c r="D12" s="55">
        <v>17.8</v>
      </c>
      <c r="E12" s="40">
        <v>16.8</v>
      </c>
      <c r="F12" s="47">
        <f t="shared" si="0"/>
        <v>94.382022471910105</v>
      </c>
      <c r="G12" s="40">
        <v>15.03</v>
      </c>
      <c r="H12" s="47">
        <f t="shared" si="1"/>
        <v>84.438202247191015</v>
      </c>
      <c r="I12" s="40">
        <v>14.2</v>
      </c>
      <c r="J12" s="50">
        <f t="shared" si="2"/>
        <v>79.775280898876403</v>
      </c>
      <c r="K12" s="49" t="s">
        <v>341</v>
      </c>
      <c r="L12" s="50"/>
      <c r="M12" s="48"/>
      <c r="N12" s="50"/>
      <c r="O12" s="49"/>
      <c r="P12" s="50"/>
      <c r="Q12" s="48"/>
      <c r="R12" s="50"/>
      <c r="S12" s="48"/>
      <c r="T12" s="50"/>
      <c r="U12" s="48"/>
      <c r="V12" s="50"/>
      <c r="W12" s="48"/>
      <c r="X12" s="50"/>
      <c r="Y12" s="48"/>
      <c r="Z12" s="50"/>
    </row>
    <row r="13" spans="2:26" s="95" customFormat="1" ht="12.75" customHeight="1" x14ac:dyDescent="0.25">
      <c r="B13" s="366"/>
      <c r="C13" s="58" t="s">
        <v>342</v>
      </c>
      <c r="D13" s="55">
        <v>17.95</v>
      </c>
      <c r="E13" s="40">
        <v>16.88</v>
      </c>
      <c r="F13" s="47">
        <f t="shared" si="0"/>
        <v>94.038997214484681</v>
      </c>
      <c r="G13" s="40">
        <v>14.99</v>
      </c>
      <c r="H13" s="47">
        <f t="shared" si="1"/>
        <v>83.509749303621177</v>
      </c>
      <c r="I13" s="40">
        <v>14.15</v>
      </c>
      <c r="J13" s="50">
        <f t="shared" si="2"/>
        <v>78.830083565459617</v>
      </c>
      <c r="K13" s="40">
        <v>12.32</v>
      </c>
      <c r="L13" s="50">
        <f t="shared" si="3"/>
        <v>68.635097493036213</v>
      </c>
      <c r="M13" s="40">
        <v>13.18</v>
      </c>
      <c r="N13" s="50">
        <f>M13/D13*100</f>
        <v>73.426183844011135</v>
      </c>
      <c r="O13" s="49" t="s">
        <v>128</v>
      </c>
      <c r="P13" s="50"/>
      <c r="Q13" s="48"/>
      <c r="R13" s="50"/>
      <c r="S13" s="48"/>
      <c r="T13" s="50"/>
      <c r="U13" s="48"/>
      <c r="V13" s="50"/>
      <c r="W13" s="48"/>
      <c r="X13" s="50"/>
      <c r="Y13" s="48"/>
      <c r="Z13" s="50"/>
    </row>
    <row r="14" spans="2:26" s="95" customFormat="1" ht="12.75" customHeight="1" x14ac:dyDescent="0.25">
      <c r="B14" s="366"/>
      <c r="C14" s="58" t="s">
        <v>343</v>
      </c>
      <c r="D14" s="55">
        <v>17.2</v>
      </c>
      <c r="E14" s="40">
        <v>16.2</v>
      </c>
      <c r="F14" s="47">
        <f t="shared" si="0"/>
        <v>94.186046511627907</v>
      </c>
      <c r="G14" s="40">
        <v>14.71</v>
      </c>
      <c r="H14" s="47">
        <f t="shared" si="1"/>
        <v>85.523255813953497</v>
      </c>
      <c r="I14" s="40">
        <v>14.1</v>
      </c>
      <c r="J14" s="47">
        <f t="shared" si="2"/>
        <v>81.976744186046517</v>
      </c>
      <c r="K14" s="49" t="s">
        <v>341</v>
      </c>
      <c r="L14" s="50"/>
      <c r="M14" s="48"/>
      <c r="N14" s="50"/>
      <c r="O14" s="49"/>
      <c r="P14" s="50"/>
      <c r="Q14" s="48"/>
      <c r="R14" s="50"/>
      <c r="S14" s="48"/>
      <c r="T14" s="50"/>
      <c r="U14" s="48"/>
      <c r="V14" s="50"/>
      <c r="W14" s="48"/>
      <c r="X14" s="50"/>
      <c r="Y14" s="48"/>
      <c r="Z14" s="50"/>
    </row>
    <row r="15" spans="2:26" s="95" customFormat="1" ht="12.75" customHeight="1" x14ac:dyDescent="0.25">
      <c r="B15" s="366"/>
      <c r="C15" s="58" t="s">
        <v>344</v>
      </c>
      <c r="D15" s="55">
        <v>17.350000000000001</v>
      </c>
      <c r="E15" s="40">
        <v>16.7</v>
      </c>
      <c r="F15" s="47">
        <f t="shared" si="0"/>
        <v>96.253602305475496</v>
      </c>
      <c r="G15" s="40">
        <v>14.93</v>
      </c>
      <c r="H15" s="47">
        <f t="shared" si="1"/>
        <v>86.051873198847247</v>
      </c>
      <c r="I15" s="40">
        <v>14.09</v>
      </c>
      <c r="J15" s="47">
        <f t="shared" si="2"/>
        <v>81.210374639769441</v>
      </c>
      <c r="K15" s="40">
        <v>12.61</v>
      </c>
      <c r="L15" s="50">
        <f t="shared" si="3"/>
        <v>72.680115273775201</v>
      </c>
      <c r="M15" s="40">
        <v>12.7</v>
      </c>
      <c r="N15" s="50">
        <f t="shared" ref="N15:N17" si="11">M15/D15*100</f>
        <v>73.198847262247824</v>
      </c>
      <c r="O15" s="49" t="s">
        <v>345</v>
      </c>
      <c r="P15" s="50"/>
      <c r="Q15" s="48"/>
      <c r="R15" s="50"/>
      <c r="S15" s="48"/>
      <c r="T15" s="50"/>
      <c r="U15" s="48"/>
      <c r="V15" s="50"/>
      <c r="W15" s="48"/>
      <c r="X15" s="50"/>
      <c r="Y15" s="48"/>
      <c r="Z15" s="50"/>
    </row>
    <row r="16" spans="2:26" s="95" customFormat="1" ht="12.75" customHeight="1" x14ac:dyDescent="0.25">
      <c r="B16" s="366" t="s">
        <v>862</v>
      </c>
      <c r="C16" s="58" t="s">
        <v>346</v>
      </c>
      <c r="D16" s="55">
        <v>18.29</v>
      </c>
      <c r="E16" s="40">
        <v>17.13</v>
      </c>
      <c r="F16" s="47">
        <f t="shared" si="0"/>
        <v>93.657736468015301</v>
      </c>
      <c r="G16" s="40">
        <v>15.74</v>
      </c>
      <c r="H16" s="47">
        <f t="shared" si="1"/>
        <v>86.057955166757793</v>
      </c>
      <c r="I16" s="40">
        <v>15.18</v>
      </c>
      <c r="J16" s="47">
        <f t="shared" si="2"/>
        <v>82.99617277200656</v>
      </c>
      <c r="K16" s="40">
        <v>14.02</v>
      </c>
      <c r="L16" s="50">
        <f t="shared" si="3"/>
        <v>76.653909240021861</v>
      </c>
      <c r="M16" s="40">
        <v>13.3</v>
      </c>
      <c r="N16" s="50">
        <f t="shared" si="11"/>
        <v>72.717331875341728</v>
      </c>
      <c r="O16" s="40">
        <v>13.26</v>
      </c>
      <c r="P16" s="50">
        <f t="shared" ref="P16:P17" si="12">O16/D16*100</f>
        <v>72.498633132859496</v>
      </c>
      <c r="Q16" s="49" t="s">
        <v>94</v>
      </c>
      <c r="R16" s="50"/>
      <c r="S16" s="49"/>
      <c r="T16" s="50"/>
      <c r="U16" s="49"/>
      <c r="V16" s="50"/>
      <c r="W16" s="49"/>
      <c r="X16" s="50"/>
      <c r="Y16" s="49"/>
      <c r="Z16" s="50"/>
    </row>
    <row r="17" spans="2:26" s="95" customFormat="1" ht="12.75" customHeight="1" x14ac:dyDescent="0.25">
      <c r="B17" s="366"/>
      <c r="C17" s="58" t="s">
        <v>347</v>
      </c>
      <c r="D17" s="55">
        <v>17.440000000000001</v>
      </c>
      <c r="E17" s="40">
        <v>17.53</v>
      </c>
      <c r="F17" s="47">
        <f t="shared" si="0"/>
        <v>100.51605504587155</v>
      </c>
      <c r="G17" s="40">
        <v>15.53</v>
      </c>
      <c r="H17" s="47">
        <f t="shared" si="1"/>
        <v>89.04816513761466</v>
      </c>
      <c r="I17" s="40">
        <v>14.43</v>
      </c>
      <c r="J17" s="47">
        <f t="shared" si="2"/>
        <v>82.740825688073386</v>
      </c>
      <c r="K17" s="40">
        <v>13.46</v>
      </c>
      <c r="L17" s="50">
        <f t="shared" si="3"/>
        <v>77.178899082568805</v>
      </c>
      <c r="M17" s="40">
        <v>12.77</v>
      </c>
      <c r="N17" s="50">
        <f t="shared" si="11"/>
        <v>73.222477064220172</v>
      </c>
      <c r="O17" s="40">
        <v>12.52</v>
      </c>
      <c r="P17" s="50">
        <f t="shared" si="12"/>
        <v>71.788990825688074</v>
      </c>
      <c r="Q17" s="49" t="s">
        <v>291</v>
      </c>
      <c r="R17" s="50"/>
      <c r="S17" s="49"/>
      <c r="T17" s="50"/>
      <c r="U17" s="49"/>
      <c r="V17" s="50"/>
      <c r="W17" s="49"/>
      <c r="X17" s="50"/>
      <c r="Y17" s="49"/>
      <c r="Z17" s="50"/>
    </row>
    <row r="18" spans="2:26" s="95" customFormat="1" ht="12.75" customHeight="1" x14ac:dyDescent="0.3">
      <c r="B18" s="366"/>
      <c r="C18" s="58" t="s">
        <v>348</v>
      </c>
      <c r="D18" s="55">
        <v>17.350000000000001</v>
      </c>
      <c r="E18" s="40">
        <v>16.260000000000002</v>
      </c>
      <c r="F18" s="47">
        <f t="shared" si="0"/>
        <v>93.717579250720462</v>
      </c>
      <c r="G18" s="40">
        <v>15.04</v>
      </c>
      <c r="H18" s="47">
        <f t="shared" si="1"/>
        <v>86.685878962536009</v>
      </c>
      <c r="I18" s="49" t="s">
        <v>224</v>
      </c>
      <c r="J18" s="54"/>
      <c r="K18" s="48"/>
      <c r="L18" s="50"/>
      <c r="M18" s="48"/>
      <c r="N18" s="50"/>
      <c r="O18" s="48"/>
      <c r="P18" s="50"/>
      <c r="Q18" s="48"/>
      <c r="R18" s="50"/>
      <c r="S18" s="48"/>
      <c r="T18" s="50"/>
      <c r="U18" s="48"/>
      <c r="V18" s="50"/>
      <c r="W18" s="48"/>
      <c r="X18" s="50"/>
      <c r="Y18" s="48"/>
      <c r="Z18" s="50"/>
    </row>
    <row r="19" spans="2:26" s="95" customFormat="1" ht="12.75" customHeight="1" x14ac:dyDescent="0.25">
      <c r="B19" s="366"/>
      <c r="C19" s="58" t="s">
        <v>349</v>
      </c>
      <c r="D19" s="55">
        <v>17.27</v>
      </c>
      <c r="E19" s="40">
        <v>16.72</v>
      </c>
      <c r="F19" s="47">
        <f t="shared" si="0"/>
        <v>96.815286624203821</v>
      </c>
      <c r="G19" s="40">
        <v>15.39</v>
      </c>
      <c r="H19" s="47">
        <f t="shared" si="1"/>
        <v>89.114070642733068</v>
      </c>
      <c r="I19" s="40">
        <v>14.45</v>
      </c>
      <c r="J19" s="47">
        <f t="shared" ref="J19:J27" si="13">I19/D19*100</f>
        <v>83.671105964099596</v>
      </c>
      <c r="K19" s="40">
        <v>13.37</v>
      </c>
      <c r="L19" s="50">
        <f t="shared" si="3"/>
        <v>77.417486971627085</v>
      </c>
      <c r="M19" s="40">
        <v>12.8</v>
      </c>
      <c r="N19" s="50">
        <f>M19/D19*100</f>
        <v>74.116965836711074</v>
      </c>
      <c r="O19" s="40">
        <v>13.34</v>
      </c>
      <c r="P19" s="50">
        <f>O19/D19*100</f>
        <v>77.243775332947308</v>
      </c>
      <c r="Q19" s="40">
        <v>12</v>
      </c>
      <c r="R19" s="50">
        <f>Q19/D19*100</f>
        <v>69.484655471916625</v>
      </c>
      <c r="S19" s="49" t="s">
        <v>91</v>
      </c>
      <c r="T19" s="50"/>
      <c r="U19" s="49"/>
      <c r="V19" s="50"/>
      <c r="W19" s="49"/>
      <c r="X19" s="50"/>
      <c r="Y19" s="49"/>
      <c r="Z19" s="50"/>
    </row>
    <row r="20" spans="2:26" s="95" customFormat="1" ht="12.75" customHeight="1" x14ac:dyDescent="0.25">
      <c r="B20" s="366"/>
      <c r="C20" s="58" t="s">
        <v>350</v>
      </c>
      <c r="D20" s="55">
        <v>17.32</v>
      </c>
      <c r="E20" s="40">
        <v>16.260000000000002</v>
      </c>
      <c r="F20" s="47">
        <f t="shared" si="0"/>
        <v>93.879907621247114</v>
      </c>
      <c r="G20" s="40">
        <v>14.89</v>
      </c>
      <c r="H20" s="47">
        <f t="shared" si="1"/>
        <v>85.969976905311782</v>
      </c>
      <c r="I20" s="40">
        <v>14.19</v>
      </c>
      <c r="J20" s="47">
        <f t="shared" si="13"/>
        <v>81.928406466512698</v>
      </c>
      <c r="K20" s="49" t="s">
        <v>351</v>
      </c>
      <c r="L20" s="50"/>
      <c r="M20" s="48"/>
      <c r="N20" s="50"/>
      <c r="O20" s="48"/>
      <c r="P20" s="50"/>
      <c r="Q20" s="48"/>
      <c r="R20" s="50"/>
      <c r="S20" s="48"/>
      <c r="T20" s="50"/>
      <c r="U20" s="48"/>
      <c r="V20" s="50"/>
      <c r="W20" s="48"/>
      <c r="X20" s="50"/>
      <c r="Y20" s="48"/>
      <c r="Z20" s="50"/>
    </row>
    <row r="21" spans="2:26" s="95" customFormat="1" ht="12.75" customHeight="1" x14ac:dyDescent="0.25">
      <c r="B21" s="366" t="s">
        <v>863</v>
      </c>
      <c r="C21" s="58" t="s">
        <v>352</v>
      </c>
      <c r="D21" s="55">
        <v>17.13</v>
      </c>
      <c r="E21" s="40">
        <v>16.88</v>
      </c>
      <c r="F21" s="47">
        <f t="shared" si="0"/>
        <v>98.540572095738469</v>
      </c>
      <c r="G21" s="40">
        <v>15.13</v>
      </c>
      <c r="H21" s="47">
        <f t="shared" si="1"/>
        <v>88.324576765907764</v>
      </c>
      <c r="I21" s="40">
        <v>14.58</v>
      </c>
      <c r="J21" s="47">
        <f t="shared" si="13"/>
        <v>85.113835376532407</v>
      </c>
      <c r="K21" s="49" t="s">
        <v>351</v>
      </c>
      <c r="L21" s="50"/>
      <c r="M21" s="48"/>
      <c r="N21" s="50"/>
      <c r="O21" s="48"/>
      <c r="P21" s="50"/>
      <c r="Q21" s="48"/>
      <c r="R21" s="50"/>
      <c r="S21" s="48"/>
      <c r="T21" s="50"/>
      <c r="U21" s="48"/>
      <c r="V21" s="50"/>
      <c r="W21" s="48"/>
      <c r="X21" s="50"/>
      <c r="Y21" s="48"/>
      <c r="Z21" s="50"/>
    </row>
    <row r="22" spans="2:26" s="95" customFormat="1" ht="12.75" customHeight="1" x14ac:dyDescent="0.25">
      <c r="B22" s="366"/>
      <c r="C22" s="58" t="s">
        <v>353</v>
      </c>
      <c r="D22" s="55">
        <v>17.63</v>
      </c>
      <c r="E22" s="40">
        <v>17.71</v>
      </c>
      <c r="F22" s="47">
        <f t="shared" si="0"/>
        <v>100.45377197958028</v>
      </c>
      <c r="G22" s="40">
        <v>16.190000000000001</v>
      </c>
      <c r="H22" s="47">
        <f t="shared" si="1"/>
        <v>91.832104367555317</v>
      </c>
      <c r="I22" s="40">
        <v>15.7</v>
      </c>
      <c r="J22" s="47">
        <f t="shared" si="13"/>
        <v>89.052750992626201</v>
      </c>
      <c r="K22" s="40">
        <v>14.17</v>
      </c>
      <c r="L22" s="47">
        <f t="shared" si="3"/>
        <v>80.374361883153725</v>
      </c>
      <c r="M22" s="40">
        <v>11.94</v>
      </c>
      <c r="N22" s="50">
        <f t="shared" ref="N22:N23" si="14">M22/D22*100</f>
        <v>67.725467952353952</v>
      </c>
      <c r="O22" s="49" t="s">
        <v>345</v>
      </c>
      <c r="P22" s="50"/>
      <c r="Q22" s="48"/>
      <c r="R22" s="50"/>
      <c r="S22" s="48"/>
      <c r="T22" s="50"/>
      <c r="U22" s="48"/>
      <c r="V22" s="50"/>
      <c r="W22" s="48"/>
      <c r="X22" s="50"/>
      <c r="Y22" s="48"/>
      <c r="Z22" s="50"/>
    </row>
    <row r="23" spans="2:26" s="95" customFormat="1" ht="12.75" customHeight="1" x14ac:dyDescent="0.25">
      <c r="B23" s="366"/>
      <c r="C23" s="58" t="s">
        <v>354</v>
      </c>
      <c r="D23" s="55">
        <v>18.09</v>
      </c>
      <c r="E23" s="40">
        <v>17.27</v>
      </c>
      <c r="F23" s="47">
        <f t="shared" si="0"/>
        <v>95.467108899944719</v>
      </c>
      <c r="G23" s="40">
        <v>15.58</v>
      </c>
      <c r="H23" s="47">
        <f t="shared" si="1"/>
        <v>86.124930901050305</v>
      </c>
      <c r="I23" s="40">
        <v>14.81</v>
      </c>
      <c r="J23" s="47">
        <f t="shared" si="13"/>
        <v>81.868435599778891</v>
      </c>
      <c r="K23" s="40">
        <v>13.47</v>
      </c>
      <c r="L23" s="50">
        <f t="shared" si="3"/>
        <v>74.461028192371487</v>
      </c>
      <c r="M23" s="40">
        <v>12.99</v>
      </c>
      <c r="N23" s="50">
        <f t="shared" si="14"/>
        <v>71.807628524046436</v>
      </c>
      <c r="O23" s="49" t="s">
        <v>126</v>
      </c>
      <c r="P23" s="50"/>
      <c r="Q23" s="48"/>
      <c r="R23" s="50"/>
      <c r="S23" s="48"/>
      <c r="T23" s="50"/>
      <c r="U23" s="48"/>
      <c r="V23" s="50"/>
      <c r="W23" s="48"/>
      <c r="X23" s="50"/>
      <c r="Y23" s="48"/>
      <c r="Z23" s="50"/>
    </row>
    <row r="24" spans="2:26" s="95" customFormat="1" ht="12.75" customHeight="1" x14ac:dyDescent="0.25">
      <c r="B24" s="366"/>
      <c r="C24" s="58" t="s">
        <v>355</v>
      </c>
      <c r="D24" s="55">
        <v>18.309999999999999</v>
      </c>
      <c r="E24" s="40">
        <v>17.59</v>
      </c>
      <c r="F24" s="47">
        <f t="shared" si="0"/>
        <v>96.067722555980339</v>
      </c>
      <c r="G24" s="40">
        <v>15.59</v>
      </c>
      <c r="H24" s="47">
        <f t="shared" si="1"/>
        <v>85.14472965592573</v>
      </c>
      <c r="I24" s="40">
        <v>15.12</v>
      </c>
      <c r="J24" s="47">
        <f t="shared" si="13"/>
        <v>82.577826324412896</v>
      </c>
      <c r="K24" s="49" t="s">
        <v>341</v>
      </c>
      <c r="L24" s="50"/>
      <c r="M24" s="48"/>
      <c r="N24" s="50"/>
      <c r="O24" s="49"/>
      <c r="P24" s="50"/>
      <c r="Q24" s="48"/>
      <c r="R24" s="50"/>
      <c r="S24" s="48"/>
      <c r="T24" s="50"/>
      <c r="U24" s="48"/>
      <c r="V24" s="50"/>
      <c r="W24" s="48"/>
      <c r="X24" s="50"/>
      <c r="Y24" s="48"/>
      <c r="Z24" s="50"/>
    </row>
    <row r="25" spans="2:26" s="95" customFormat="1" ht="12.75" customHeight="1" x14ac:dyDescent="0.25">
      <c r="B25" s="366"/>
      <c r="C25" s="58" t="s">
        <v>356</v>
      </c>
      <c r="D25" s="55">
        <v>17.5</v>
      </c>
      <c r="E25" s="40">
        <v>17.190000000000001</v>
      </c>
      <c r="F25" s="47">
        <f t="shared" si="0"/>
        <v>98.228571428571428</v>
      </c>
      <c r="G25" s="40">
        <v>15.22</v>
      </c>
      <c r="H25" s="47">
        <f t="shared" si="1"/>
        <v>86.971428571428575</v>
      </c>
      <c r="I25" s="40">
        <v>14.6</v>
      </c>
      <c r="J25" s="47">
        <f>I25/D25*100</f>
        <v>83.428571428571431</v>
      </c>
      <c r="K25" s="40">
        <v>13.16</v>
      </c>
      <c r="L25" s="50">
        <f t="shared" si="3"/>
        <v>75.2</v>
      </c>
      <c r="M25" s="40">
        <v>12.61</v>
      </c>
      <c r="N25" s="50">
        <f t="shared" ref="N25:N27" si="15">M25/D25*100</f>
        <v>72.05714285714285</v>
      </c>
      <c r="O25" s="49" t="s">
        <v>128</v>
      </c>
      <c r="P25" s="50"/>
      <c r="Q25" s="48"/>
      <c r="R25" s="50"/>
      <c r="S25" s="48"/>
      <c r="T25" s="50"/>
      <c r="U25" s="48"/>
      <c r="V25" s="50"/>
      <c r="W25" s="48"/>
      <c r="X25" s="50"/>
      <c r="Y25" s="48"/>
      <c r="Z25" s="50"/>
    </row>
    <row r="26" spans="2:26" s="95" customFormat="1" ht="12.75" customHeight="1" x14ac:dyDescent="0.25">
      <c r="B26" s="354" t="s">
        <v>864</v>
      </c>
      <c r="C26" s="58" t="s">
        <v>357</v>
      </c>
      <c r="D26" s="55">
        <v>18.559999999999999</v>
      </c>
      <c r="E26" s="40">
        <v>18.34</v>
      </c>
      <c r="F26" s="47">
        <f t="shared" si="0"/>
        <v>98.814655172413808</v>
      </c>
      <c r="G26" s="40">
        <v>16.260000000000002</v>
      </c>
      <c r="H26" s="47">
        <f t="shared" si="1"/>
        <v>87.607758620689665</v>
      </c>
      <c r="I26" s="40">
        <v>15.71</v>
      </c>
      <c r="J26" s="47">
        <f t="shared" si="13"/>
        <v>84.644396551724142</v>
      </c>
      <c r="K26" s="40">
        <v>14.15</v>
      </c>
      <c r="L26" s="50">
        <f t="shared" si="3"/>
        <v>76.239224137931032</v>
      </c>
      <c r="M26" s="40">
        <v>14.02</v>
      </c>
      <c r="N26" s="50">
        <f t="shared" si="15"/>
        <v>75.53879310344827</v>
      </c>
      <c r="O26" s="49" t="s">
        <v>358</v>
      </c>
      <c r="P26" s="50"/>
      <c r="Q26" s="48"/>
      <c r="R26" s="50"/>
      <c r="S26" s="48"/>
      <c r="T26" s="50"/>
      <c r="U26" s="48"/>
      <c r="V26" s="50"/>
      <c r="W26" s="48"/>
      <c r="X26" s="50"/>
      <c r="Y26" s="48"/>
      <c r="Z26" s="50"/>
    </row>
    <row r="27" spans="2:26" s="95" customFormat="1" ht="12.75" customHeight="1" x14ac:dyDescent="0.25">
      <c r="B27" s="354"/>
      <c r="C27" s="58" t="s">
        <v>359</v>
      </c>
      <c r="D27" s="55">
        <v>18.16</v>
      </c>
      <c r="E27" s="40">
        <v>16.79</v>
      </c>
      <c r="F27" s="47">
        <f t="shared" si="0"/>
        <v>92.455947136563879</v>
      </c>
      <c r="G27" s="40">
        <v>15.62</v>
      </c>
      <c r="H27" s="47">
        <f t="shared" si="1"/>
        <v>86.013215859030836</v>
      </c>
      <c r="I27" s="40">
        <v>14.74</v>
      </c>
      <c r="J27" s="47">
        <f t="shared" si="13"/>
        <v>81.167400881057276</v>
      </c>
      <c r="K27" s="40">
        <v>13.31</v>
      </c>
      <c r="L27" s="50">
        <f t="shared" si="3"/>
        <v>73.292951541850229</v>
      </c>
      <c r="M27" s="40">
        <v>13.37</v>
      </c>
      <c r="N27" s="50">
        <f t="shared" si="15"/>
        <v>73.62334801762114</v>
      </c>
      <c r="O27" s="49" t="s">
        <v>126</v>
      </c>
      <c r="P27" s="50"/>
      <c r="Q27" s="48"/>
      <c r="R27" s="50"/>
      <c r="S27" s="48"/>
      <c r="T27" s="50"/>
      <c r="U27" s="48"/>
      <c r="V27" s="50"/>
      <c r="W27" s="48"/>
      <c r="X27" s="50"/>
      <c r="Y27" s="48"/>
      <c r="Z27" s="50"/>
    </row>
    <row r="28" spans="2:26" s="95" customFormat="1" ht="12.75" customHeight="1" x14ac:dyDescent="0.3">
      <c r="B28" s="354"/>
      <c r="C28" s="58" t="s">
        <v>360</v>
      </c>
      <c r="D28" s="55">
        <v>17.98</v>
      </c>
      <c r="E28" s="40">
        <v>16.3</v>
      </c>
      <c r="F28" s="47">
        <f t="shared" si="0"/>
        <v>90.656284760845381</v>
      </c>
      <c r="G28" s="40">
        <v>15.35</v>
      </c>
      <c r="H28" s="47">
        <f t="shared" si="1"/>
        <v>85.372636262513907</v>
      </c>
      <c r="I28" s="49" t="s">
        <v>224</v>
      </c>
      <c r="J28" s="54"/>
      <c r="K28" s="48"/>
      <c r="L28" s="50"/>
      <c r="M28" s="48"/>
      <c r="N28" s="50"/>
      <c r="O28" s="49"/>
      <c r="P28" s="50"/>
      <c r="Q28" s="48"/>
      <c r="R28" s="50"/>
      <c r="S28" s="48"/>
      <c r="T28" s="50"/>
      <c r="U28" s="48"/>
      <c r="V28" s="50"/>
      <c r="W28" s="48"/>
      <c r="X28" s="50"/>
      <c r="Y28" s="48"/>
      <c r="Z28" s="50"/>
    </row>
    <row r="29" spans="2:26" s="95" customFormat="1" ht="12.75" customHeight="1" x14ac:dyDescent="0.25">
      <c r="B29" s="354"/>
      <c r="C29" s="58" t="s">
        <v>361</v>
      </c>
      <c r="D29" s="55">
        <v>18.690000000000001</v>
      </c>
      <c r="E29" s="40">
        <v>18.09</v>
      </c>
      <c r="F29" s="47">
        <f t="shared" si="0"/>
        <v>96.789727126805772</v>
      </c>
      <c r="G29" s="40">
        <v>16.559999999999999</v>
      </c>
      <c r="H29" s="47">
        <f t="shared" si="1"/>
        <v>88.603531300160498</v>
      </c>
      <c r="I29" s="40">
        <v>16.11</v>
      </c>
      <c r="J29" s="47">
        <f t="shared" ref="J29:J30" si="16">I29/D29*100</f>
        <v>86.195826645264845</v>
      </c>
      <c r="K29" s="49" t="s">
        <v>341</v>
      </c>
      <c r="L29" s="50"/>
      <c r="M29" s="48"/>
      <c r="N29" s="50"/>
      <c r="O29" s="49"/>
      <c r="P29" s="50"/>
      <c r="Q29" s="48"/>
      <c r="R29" s="50"/>
      <c r="S29" s="48"/>
      <c r="T29" s="50"/>
      <c r="U29" s="48"/>
      <c r="V29" s="50"/>
      <c r="W29" s="48"/>
      <c r="X29" s="50"/>
      <c r="Y29" s="48"/>
      <c r="Z29" s="50"/>
    </row>
    <row r="30" spans="2:26" s="95" customFormat="1" ht="12.75" customHeight="1" x14ac:dyDescent="0.25">
      <c r="B30" s="354"/>
      <c r="C30" s="58" t="s">
        <v>362</v>
      </c>
      <c r="D30" s="55">
        <v>19.149999999999999</v>
      </c>
      <c r="E30" s="40">
        <v>18.28</v>
      </c>
      <c r="F30" s="47">
        <f t="shared" si="0"/>
        <v>95.456919060052243</v>
      </c>
      <c r="G30" s="40">
        <v>16.600000000000001</v>
      </c>
      <c r="H30" s="47">
        <f t="shared" si="1"/>
        <v>86.684073107049613</v>
      </c>
      <c r="I30" s="40">
        <v>15.89</v>
      </c>
      <c r="J30" s="47">
        <f t="shared" si="16"/>
        <v>82.97650130548304</v>
      </c>
      <c r="K30" s="49" t="s">
        <v>363</v>
      </c>
      <c r="L30" s="50"/>
      <c r="M30" s="48"/>
      <c r="N30" s="50"/>
      <c r="O30" s="49"/>
      <c r="P30" s="50"/>
      <c r="Q30" s="48"/>
      <c r="R30" s="50"/>
      <c r="S30" s="48"/>
      <c r="T30" s="50"/>
      <c r="U30" s="48"/>
      <c r="V30" s="50"/>
      <c r="W30" s="48"/>
      <c r="X30" s="50"/>
      <c r="Y30" s="48"/>
      <c r="Z30" s="50"/>
    </row>
    <row r="31" spans="2:26" s="95" customFormat="1" ht="12.75" customHeight="1" x14ac:dyDescent="0.3">
      <c r="B31" s="5"/>
      <c r="C31" s="264"/>
      <c r="D31" s="265" t="s">
        <v>13</v>
      </c>
      <c r="E31" s="264"/>
      <c r="F31" s="264"/>
    </row>
    <row r="32" spans="2:26" s="95" customFormat="1" ht="12.75" customHeight="1" x14ac:dyDescent="0.3">
      <c r="B32" s="5"/>
      <c r="C32" s="264"/>
      <c r="D32" s="266" t="s">
        <v>107</v>
      </c>
      <c r="E32" s="264"/>
      <c r="F32" s="264"/>
    </row>
    <row r="33" spans="2:12" s="95" customFormat="1" ht="12.75" customHeight="1" x14ac:dyDescent="0.3">
      <c r="B33" s="5"/>
      <c r="C33" s="264"/>
      <c r="D33" s="266"/>
      <c r="E33" s="264"/>
      <c r="F33" s="264"/>
    </row>
    <row r="34" spans="2:12" s="95" customFormat="1" ht="12.75" customHeight="1" x14ac:dyDescent="0.25">
      <c r="B34" s="5"/>
      <c r="C34" s="96"/>
      <c r="D34" s="98"/>
      <c r="E34" s="98"/>
      <c r="F34" s="98"/>
    </row>
    <row r="35" spans="2:12" s="95" customFormat="1" ht="12.75" customHeight="1" x14ac:dyDescent="0.3">
      <c r="B35" s="99" t="s">
        <v>214</v>
      </c>
      <c r="C35" s="96"/>
      <c r="D35" s="98"/>
      <c r="E35" s="98"/>
      <c r="F35" s="98"/>
    </row>
    <row r="36" spans="2:12" s="95" customFormat="1" ht="12.75" customHeight="1" x14ac:dyDescent="0.25">
      <c r="B36" s="4"/>
      <c r="C36" s="263" t="s">
        <v>72</v>
      </c>
      <c r="D36" s="263" t="s">
        <v>172</v>
      </c>
      <c r="E36" s="358" t="s">
        <v>173</v>
      </c>
      <c r="F36" s="359"/>
      <c r="G36" s="358" t="s">
        <v>102</v>
      </c>
      <c r="H36" s="359"/>
      <c r="I36" s="358" t="s">
        <v>174</v>
      </c>
      <c r="J36" s="359"/>
      <c r="K36" s="358" t="s">
        <v>103</v>
      </c>
      <c r="L36" s="359"/>
    </row>
    <row r="37" spans="2:12" s="95" customFormat="1" ht="12.75" customHeight="1" x14ac:dyDescent="0.25">
      <c r="B37" s="4"/>
      <c r="C37" s="263"/>
      <c r="D37" s="263"/>
      <c r="E37" s="263"/>
      <c r="F37" s="27"/>
      <c r="G37" s="263"/>
      <c r="H37" s="27"/>
      <c r="I37" s="263"/>
      <c r="J37" s="27"/>
      <c r="K37" s="263"/>
      <c r="L37" s="27"/>
    </row>
    <row r="38" spans="2:12" s="95" customFormat="1" ht="12.75" customHeight="1" x14ac:dyDescent="0.25">
      <c r="B38" s="354" t="s">
        <v>364</v>
      </c>
      <c r="C38" s="58" t="s">
        <v>432</v>
      </c>
      <c r="D38" s="55">
        <v>18.47</v>
      </c>
      <c r="E38" s="40">
        <v>18.63</v>
      </c>
      <c r="F38" s="47">
        <f>E38/D38*100</f>
        <v>100.86626962642123</v>
      </c>
      <c r="G38" s="40">
        <v>18.61</v>
      </c>
      <c r="H38" s="46">
        <f>G38/D38*100</f>
        <v>100.75798592311858</v>
      </c>
      <c r="I38" s="40">
        <v>18.66</v>
      </c>
      <c r="J38" s="46">
        <f>I38/D38*100</f>
        <v>101.02869518137521</v>
      </c>
      <c r="K38" s="40">
        <v>18.329999999999998</v>
      </c>
      <c r="L38" s="47">
        <f>K38/D38*100</f>
        <v>99.242014076881418</v>
      </c>
    </row>
    <row r="39" spans="2:12" s="95" customFormat="1" ht="12.75" customHeight="1" x14ac:dyDescent="0.25">
      <c r="B39" s="354"/>
      <c r="C39" s="58" t="s">
        <v>433</v>
      </c>
      <c r="D39" s="55">
        <v>17.989999999999998</v>
      </c>
      <c r="E39" s="40">
        <v>17.809999999999999</v>
      </c>
      <c r="F39" s="47">
        <f t="shared" ref="F39:F62" si="17">E39/D39*100</f>
        <v>98.99944413563091</v>
      </c>
      <c r="G39" s="40">
        <v>18.059999999999999</v>
      </c>
      <c r="H39" s="46">
        <f t="shared" ref="H39:H50" si="18">G39/D39*100</f>
        <v>100.38910505836576</v>
      </c>
      <c r="I39" s="40">
        <v>17.82</v>
      </c>
      <c r="J39" s="46">
        <f t="shared" ref="J39:J42" si="19">I39/D39*100</f>
        <v>99.055030572540318</v>
      </c>
      <c r="K39" s="40">
        <v>17.18</v>
      </c>
      <c r="L39" s="47">
        <f t="shared" ref="L39:L42" si="20">K39/D39*100</f>
        <v>95.497498610339079</v>
      </c>
    </row>
    <row r="40" spans="2:12" s="95" customFormat="1" ht="12.75" customHeight="1" x14ac:dyDescent="0.25">
      <c r="B40" s="354"/>
      <c r="C40" s="58" t="s">
        <v>434</v>
      </c>
      <c r="D40" s="55">
        <v>18.28</v>
      </c>
      <c r="E40" s="40">
        <v>18.420000000000002</v>
      </c>
      <c r="F40" s="47">
        <f t="shared" si="17"/>
        <v>100.76586433260395</v>
      </c>
      <c r="G40" s="40">
        <v>18.45</v>
      </c>
      <c r="H40" s="46">
        <f t="shared" si="18"/>
        <v>100.92997811816191</v>
      </c>
      <c r="I40" s="40">
        <v>18.97</v>
      </c>
      <c r="J40" s="46">
        <f t="shared" si="19"/>
        <v>103.77461706783369</v>
      </c>
      <c r="K40" s="40">
        <v>18.18</v>
      </c>
      <c r="L40" s="47">
        <f t="shared" si="20"/>
        <v>99.452954048140043</v>
      </c>
    </row>
    <row r="41" spans="2:12" s="95" customFormat="1" ht="12.75" customHeight="1" x14ac:dyDescent="0.25">
      <c r="B41" s="354"/>
      <c r="C41" s="58" t="s">
        <v>435</v>
      </c>
      <c r="D41" s="55">
        <v>17.600000000000001</v>
      </c>
      <c r="E41" s="40">
        <v>17.739999999999998</v>
      </c>
      <c r="F41" s="47">
        <f t="shared" si="17"/>
        <v>100.79545454545453</v>
      </c>
      <c r="G41" s="40">
        <v>17.82</v>
      </c>
      <c r="H41" s="46">
        <f t="shared" si="18"/>
        <v>101.25</v>
      </c>
      <c r="I41" s="40">
        <v>17.760000000000002</v>
      </c>
      <c r="J41" s="46">
        <f t="shared" si="19"/>
        <v>100.90909090909091</v>
      </c>
      <c r="K41" s="40">
        <v>17.07</v>
      </c>
      <c r="L41" s="47">
        <f t="shared" si="20"/>
        <v>96.98863636363636</v>
      </c>
    </row>
    <row r="42" spans="2:12" s="95" customFormat="1" ht="12.75" customHeight="1" x14ac:dyDescent="0.25">
      <c r="B42" s="354"/>
      <c r="C42" s="58" t="s">
        <v>436</v>
      </c>
      <c r="D42" s="55">
        <v>17.04</v>
      </c>
      <c r="E42" s="40">
        <v>17.47</v>
      </c>
      <c r="F42" s="47">
        <f t="shared" si="17"/>
        <v>102.52347417840375</v>
      </c>
      <c r="G42" s="40">
        <v>17.37</v>
      </c>
      <c r="H42" s="46">
        <f t="shared" si="18"/>
        <v>101.93661971830987</v>
      </c>
      <c r="I42" s="40">
        <v>17.420000000000002</v>
      </c>
      <c r="J42" s="46">
        <f t="shared" si="19"/>
        <v>102.23004694835683</v>
      </c>
      <c r="K42" s="40">
        <v>17.29</v>
      </c>
      <c r="L42" s="47">
        <f t="shared" si="20"/>
        <v>101.46713615023475</v>
      </c>
    </row>
    <row r="43" spans="2:12" s="95" customFormat="1" ht="12.75" customHeight="1" x14ac:dyDescent="0.25">
      <c r="B43" s="366" t="s">
        <v>365</v>
      </c>
      <c r="C43" s="58" t="s">
        <v>437</v>
      </c>
      <c r="D43" s="55">
        <v>17.22</v>
      </c>
      <c r="E43" s="40">
        <v>16.54</v>
      </c>
      <c r="F43" s="47">
        <f t="shared" si="17"/>
        <v>96.051103368176541</v>
      </c>
      <c r="G43" s="48">
        <v>15.43</v>
      </c>
      <c r="H43" s="46">
        <f t="shared" si="18"/>
        <v>89.60511033681766</v>
      </c>
      <c r="I43" s="49" t="s">
        <v>224</v>
      </c>
      <c r="J43" s="52"/>
      <c r="K43" s="48"/>
      <c r="L43" s="50"/>
    </row>
    <row r="44" spans="2:12" s="95" customFormat="1" ht="12.75" customHeight="1" x14ac:dyDescent="0.25">
      <c r="B44" s="366"/>
      <c r="C44" s="58" t="s">
        <v>438</v>
      </c>
      <c r="D44" s="55">
        <v>17.68</v>
      </c>
      <c r="E44" s="40">
        <v>17.510000000000002</v>
      </c>
      <c r="F44" s="47">
        <f t="shared" si="17"/>
        <v>99.038461538461547</v>
      </c>
      <c r="G44" s="48">
        <v>15.93</v>
      </c>
      <c r="H44" s="46">
        <f t="shared" si="18"/>
        <v>90.101809954751133</v>
      </c>
      <c r="I44" s="49" t="s">
        <v>224</v>
      </c>
      <c r="J44" s="52"/>
      <c r="K44" s="48"/>
      <c r="L44" s="50"/>
    </row>
    <row r="45" spans="2:12" s="95" customFormat="1" ht="12.75" customHeight="1" x14ac:dyDescent="0.25">
      <c r="B45" s="366"/>
      <c r="C45" s="58" t="s">
        <v>439</v>
      </c>
      <c r="D45" s="55">
        <v>17.420000000000002</v>
      </c>
      <c r="E45" s="40">
        <v>16.7</v>
      </c>
      <c r="F45" s="47">
        <f t="shared" si="17"/>
        <v>95.866819747416756</v>
      </c>
      <c r="G45" s="48">
        <v>15.3</v>
      </c>
      <c r="H45" s="46">
        <f t="shared" si="18"/>
        <v>87.830080367393791</v>
      </c>
      <c r="I45" s="49" t="s">
        <v>440</v>
      </c>
      <c r="J45" s="52"/>
      <c r="K45" s="48"/>
      <c r="L45" s="50"/>
    </row>
    <row r="46" spans="2:12" s="95" customFormat="1" ht="12.75" customHeight="1" x14ac:dyDescent="0.25">
      <c r="B46" s="366"/>
      <c r="C46" s="58" t="s">
        <v>441</v>
      </c>
      <c r="D46" s="55">
        <v>17.940000000000001</v>
      </c>
      <c r="E46" s="40">
        <v>17.010000000000002</v>
      </c>
      <c r="F46" s="47">
        <f t="shared" si="17"/>
        <v>94.81605351170569</v>
      </c>
      <c r="G46" s="48">
        <v>15.77</v>
      </c>
      <c r="H46" s="46">
        <f t="shared" si="18"/>
        <v>87.90412486064659</v>
      </c>
      <c r="I46" s="49" t="s">
        <v>440</v>
      </c>
      <c r="J46" s="52"/>
      <c r="K46" s="48"/>
      <c r="L46" s="50"/>
    </row>
    <row r="47" spans="2:12" s="95" customFormat="1" ht="12.75" customHeight="1" x14ac:dyDescent="0.25">
      <c r="B47" s="366"/>
      <c r="C47" s="58" t="s">
        <v>442</v>
      </c>
      <c r="D47" s="55">
        <v>18.64</v>
      </c>
      <c r="E47" s="40">
        <v>17.690000000000001</v>
      </c>
      <c r="F47" s="47">
        <f t="shared" si="17"/>
        <v>94.903433476394852</v>
      </c>
      <c r="G47" s="48">
        <v>16.43</v>
      </c>
      <c r="H47" s="46">
        <f t="shared" si="18"/>
        <v>88.143776824034319</v>
      </c>
      <c r="I47" s="49" t="s">
        <v>228</v>
      </c>
      <c r="J47" s="52"/>
      <c r="K47" s="48"/>
      <c r="L47" s="50"/>
    </row>
    <row r="48" spans="2:12" s="95" customFormat="1" ht="12.75" customHeight="1" x14ac:dyDescent="0.25">
      <c r="B48" s="366" t="s">
        <v>862</v>
      </c>
      <c r="C48" s="58" t="s">
        <v>443</v>
      </c>
      <c r="D48" s="55">
        <v>17.8</v>
      </c>
      <c r="E48" s="40">
        <v>17.2</v>
      </c>
      <c r="F48" s="47">
        <f t="shared" si="17"/>
        <v>96.62921348314606</v>
      </c>
      <c r="G48" s="48">
        <v>16.190000000000001</v>
      </c>
      <c r="H48" s="46">
        <f t="shared" si="18"/>
        <v>90.955056179775283</v>
      </c>
      <c r="I48" s="49" t="s">
        <v>228</v>
      </c>
      <c r="J48" s="52"/>
      <c r="K48" s="48"/>
      <c r="L48" s="50"/>
    </row>
    <row r="49" spans="2:12" s="95" customFormat="1" ht="12.75" customHeight="1" x14ac:dyDescent="0.25">
      <c r="B49" s="366"/>
      <c r="C49" s="58" t="s">
        <v>444</v>
      </c>
      <c r="D49" s="55">
        <v>18.760000000000002</v>
      </c>
      <c r="E49" s="40">
        <v>17.28</v>
      </c>
      <c r="F49" s="47">
        <f t="shared" si="17"/>
        <v>92.110874200426437</v>
      </c>
      <c r="G49" s="48">
        <v>16.190000000000001</v>
      </c>
      <c r="H49" s="46">
        <f t="shared" si="18"/>
        <v>86.30063965884861</v>
      </c>
      <c r="I49" s="49" t="s">
        <v>228</v>
      </c>
      <c r="J49" s="52"/>
      <c r="K49" s="48"/>
      <c r="L49" s="50"/>
    </row>
    <row r="50" spans="2:12" s="95" customFormat="1" ht="12.75" customHeight="1" x14ac:dyDescent="0.25">
      <c r="B50" s="366"/>
      <c r="C50" s="58" t="s">
        <v>445</v>
      </c>
      <c r="D50" s="55">
        <v>18.77</v>
      </c>
      <c r="E50" s="40">
        <v>18.04</v>
      </c>
      <c r="F50" s="47">
        <f t="shared" si="17"/>
        <v>96.110815130527442</v>
      </c>
      <c r="G50" s="40">
        <v>17.28</v>
      </c>
      <c r="H50" s="46">
        <f t="shared" si="18"/>
        <v>92.061800745871082</v>
      </c>
      <c r="I50" s="49" t="s">
        <v>228</v>
      </c>
      <c r="J50" s="52"/>
      <c r="K50" s="48"/>
      <c r="L50" s="50"/>
    </row>
    <row r="51" spans="2:12" s="95" customFormat="1" ht="12.75" customHeight="1" x14ac:dyDescent="0.3">
      <c r="B51" s="366"/>
      <c r="C51" s="58" t="s">
        <v>446</v>
      </c>
      <c r="D51" s="55">
        <v>18.02</v>
      </c>
      <c r="E51" s="40">
        <v>17.12</v>
      </c>
      <c r="F51" s="47">
        <f t="shared" si="17"/>
        <v>95.00554938956715</v>
      </c>
      <c r="G51" s="60" t="s">
        <v>440</v>
      </c>
      <c r="H51" s="61"/>
      <c r="I51" s="49"/>
      <c r="J51" s="61"/>
      <c r="K51" s="48"/>
      <c r="L51" s="62"/>
    </row>
    <row r="52" spans="2:12" s="95" customFormat="1" ht="12.75" customHeight="1" x14ac:dyDescent="0.25">
      <c r="B52" s="366"/>
      <c r="C52" s="58" t="s">
        <v>447</v>
      </c>
      <c r="D52" s="55">
        <v>18.239999999999998</v>
      </c>
      <c r="E52" s="40">
        <v>17.89</v>
      </c>
      <c r="F52" s="47">
        <f t="shared" si="17"/>
        <v>98.081140350877206</v>
      </c>
      <c r="G52" s="48">
        <v>16.7</v>
      </c>
      <c r="H52" s="46">
        <f t="shared" ref="H52:H62" si="21">G52/D52*100</f>
        <v>91.557017543859658</v>
      </c>
      <c r="I52" s="49" t="s">
        <v>228</v>
      </c>
      <c r="J52" s="52"/>
      <c r="K52" s="48"/>
      <c r="L52" s="50"/>
    </row>
    <row r="53" spans="2:12" s="95" customFormat="1" ht="12.75" customHeight="1" x14ac:dyDescent="0.25">
      <c r="B53" s="366" t="s">
        <v>863</v>
      </c>
      <c r="C53" s="58" t="s">
        <v>448</v>
      </c>
      <c r="D53" s="55">
        <v>18.78</v>
      </c>
      <c r="E53" s="40">
        <v>17.87</v>
      </c>
      <c r="F53" s="47">
        <f t="shared" si="17"/>
        <v>95.154419595314167</v>
      </c>
      <c r="G53" s="48">
        <v>16.95</v>
      </c>
      <c r="H53" s="46">
        <f t="shared" si="21"/>
        <v>90.255591054313086</v>
      </c>
      <c r="I53" s="49" t="s">
        <v>228</v>
      </c>
      <c r="J53" s="52"/>
      <c r="K53" s="48"/>
      <c r="L53" s="50"/>
    </row>
    <row r="54" spans="2:12" s="95" customFormat="1" ht="12.75" customHeight="1" x14ac:dyDescent="0.25">
      <c r="B54" s="366"/>
      <c r="C54" s="58" t="s">
        <v>449</v>
      </c>
      <c r="D54" s="55">
        <v>17.41</v>
      </c>
      <c r="E54" s="40">
        <v>17.260000000000002</v>
      </c>
      <c r="F54" s="47">
        <f t="shared" si="17"/>
        <v>99.138426191843777</v>
      </c>
      <c r="G54" s="48">
        <v>15.93</v>
      </c>
      <c r="H54" s="46">
        <f t="shared" si="21"/>
        <v>91.499138426191834</v>
      </c>
      <c r="I54" s="49" t="s">
        <v>440</v>
      </c>
      <c r="J54" s="52"/>
      <c r="K54" s="48"/>
      <c r="L54" s="50"/>
    </row>
    <row r="55" spans="2:12" s="95" customFormat="1" ht="12.75" customHeight="1" x14ac:dyDescent="0.25">
      <c r="B55" s="366"/>
      <c r="C55" s="58" t="s">
        <v>450</v>
      </c>
      <c r="D55" s="55">
        <v>19.600000000000001</v>
      </c>
      <c r="E55" s="40">
        <v>18.71</v>
      </c>
      <c r="F55" s="47">
        <f t="shared" si="17"/>
        <v>95.459183673469383</v>
      </c>
      <c r="G55" s="40">
        <v>17.38</v>
      </c>
      <c r="H55" s="46">
        <f t="shared" si="21"/>
        <v>88.673469387755091</v>
      </c>
      <c r="I55" s="49" t="s">
        <v>224</v>
      </c>
      <c r="J55" s="52"/>
      <c r="K55" s="48"/>
      <c r="L55" s="50"/>
    </row>
    <row r="56" spans="2:12" s="95" customFormat="1" ht="12.75" customHeight="1" x14ac:dyDescent="0.25">
      <c r="B56" s="366"/>
      <c r="C56" s="58" t="s">
        <v>451</v>
      </c>
      <c r="D56" s="55">
        <v>17.920000000000002</v>
      </c>
      <c r="E56" s="40">
        <v>17.22</v>
      </c>
      <c r="F56" s="47">
        <f t="shared" si="17"/>
        <v>96.093749999999986</v>
      </c>
      <c r="G56" s="48">
        <v>15.73</v>
      </c>
      <c r="H56" s="46">
        <f t="shared" si="21"/>
        <v>87.779017857142847</v>
      </c>
      <c r="I56" s="49" t="s">
        <v>228</v>
      </c>
      <c r="J56" s="52"/>
      <c r="K56" s="48"/>
      <c r="L56" s="50"/>
    </row>
    <row r="57" spans="2:12" s="95" customFormat="1" ht="12.75" customHeight="1" x14ac:dyDescent="0.25">
      <c r="B57" s="366"/>
      <c r="C57" s="58" t="s">
        <v>452</v>
      </c>
      <c r="D57" s="55">
        <v>18.63</v>
      </c>
      <c r="E57" s="40">
        <v>17.75</v>
      </c>
      <c r="F57" s="47">
        <f t="shared" si="17"/>
        <v>95.276435856146009</v>
      </c>
      <c r="G57" s="48">
        <v>16.559999999999999</v>
      </c>
      <c r="H57" s="46">
        <f t="shared" si="21"/>
        <v>88.888888888888886</v>
      </c>
      <c r="I57" s="48">
        <v>15.97</v>
      </c>
      <c r="J57" s="46">
        <f t="shared" ref="J57:J58" si="22">I57/D57*100</f>
        <v>85.721953837895867</v>
      </c>
      <c r="K57" s="49" t="s">
        <v>224</v>
      </c>
      <c r="L57" s="50"/>
    </row>
    <row r="58" spans="2:12" s="95" customFormat="1" ht="12.75" customHeight="1" x14ac:dyDescent="0.25">
      <c r="B58" s="354" t="s">
        <v>864</v>
      </c>
      <c r="C58" s="58" t="s">
        <v>453</v>
      </c>
      <c r="D58" s="55">
        <v>19.239999999999998</v>
      </c>
      <c r="E58" s="40">
        <v>17.88</v>
      </c>
      <c r="F58" s="47">
        <f t="shared" si="17"/>
        <v>92.931392931392935</v>
      </c>
      <c r="G58" s="48">
        <v>16.690000000000001</v>
      </c>
      <c r="H58" s="46">
        <f t="shared" si="21"/>
        <v>86.746361746361757</v>
      </c>
      <c r="I58" s="48">
        <v>16.18</v>
      </c>
      <c r="J58" s="46">
        <f t="shared" si="22"/>
        <v>84.095634095634097</v>
      </c>
      <c r="K58" s="49" t="s">
        <v>341</v>
      </c>
      <c r="L58" s="50"/>
    </row>
    <row r="59" spans="2:12" s="95" customFormat="1" ht="12.75" customHeight="1" x14ac:dyDescent="0.25">
      <c r="B59" s="354"/>
      <c r="C59" s="58" t="s">
        <v>454</v>
      </c>
      <c r="D59" s="55">
        <v>18.010000000000002</v>
      </c>
      <c r="E59" s="40">
        <v>17.62</v>
      </c>
      <c r="F59" s="47">
        <f t="shared" si="17"/>
        <v>97.83453636868407</v>
      </c>
      <c r="G59" s="48">
        <v>16.55</v>
      </c>
      <c r="H59" s="46">
        <f t="shared" si="21"/>
        <v>91.893392559689062</v>
      </c>
      <c r="I59" s="49" t="s">
        <v>224</v>
      </c>
      <c r="J59" s="52"/>
      <c r="K59" s="48"/>
      <c r="L59" s="50"/>
    </row>
    <row r="60" spans="2:12" s="95" customFormat="1" ht="12.75" customHeight="1" x14ac:dyDescent="0.25">
      <c r="B60" s="354"/>
      <c r="C60" s="58" t="s">
        <v>455</v>
      </c>
      <c r="D60" s="55">
        <v>17.86</v>
      </c>
      <c r="E60" s="40">
        <v>17.05</v>
      </c>
      <c r="F60" s="47">
        <f t="shared" si="17"/>
        <v>95.464725643896983</v>
      </c>
      <c r="G60" s="48">
        <v>16.260000000000002</v>
      </c>
      <c r="H60" s="46">
        <f t="shared" si="21"/>
        <v>91.041433370660712</v>
      </c>
      <c r="I60" s="49" t="s">
        <v>228</v>
      </c>
      <c r="J60" s="52"/>
      <c r="K60" s="48"/>
      <c r="L60" s="50"/>
    </row>
    <row r="61" spans="2:12" s="95" customFormat="1" ht="12.75" customHeight="1" x14ac:dyDescent="0.25">
      <c r="B61" s="354"/>
      <c r="C61" s="58" t="s">
        <v>456</v>
      </c>
      <c r="D61" s="55">
        <v>17.93</v>
      </c>
      <c r="E61" s="40">
        <v>17.12</v>
      </c>
      <c r="F61" s="47">
        <f t="shared" si="17"/>
        <v>95.4824316787507</v>
      </c>
      <c r="G61" s="48">
        <v>16.149999999999999</v>
      </c>
      <c r="H61" s="46">
        <f t="shared" si="21"/>
        <v>90.072504182933628</v>
      </c>
      <c r="I61" s="49" t="s">
        <v>228</v>
      </c>
      <c r="J61" s="52"/>
      <c r="K61" s="48"/>
      <c r="L61" s="50"/>
    </row>
    <row r="62" spans="2:12" s="95" customFormat="1" ht="12.75" customHeight="1" x14ac:dyDescent="0.25">
      <c r="B62" s="354"/>
      <c r="C62" s="58" t="s">
        <v>457</v>
      </c>
      <c r="D62" s="55">
        <v>18.55</v>
      </c>
      <c r="E62" s="40">
        <v>17.63</v>
      </c>
      <c r="F62" s="47">
        <f t="shared" si="17"/>
        <v>95.040431266846355</v>
      </c>
      <c r="G62" s="48">
        <v>16.63</v>
      </c>
      <c r="H62" s="46">
        <f t="shared" si="21"/>
        <v>89.649595687331527</v>
      </c>
      <c r="I62" s="49" t="s">
        <v>228</v>
      </c>
      <c r="J62" s="52"/>
      <c r="K62" s="48"/>
      <c r="L62" s="50"/>
    </row>
    <row r="63" spans="2:12" s="95" customFormat="1" ht="12.75" customHeight="1" x14ac:dyDescent="0.25">
      <c r="B63" s="5"/>
      <c r="C63" s="96"/>
      <c r="D63" s="98"/>
      <c r="E63" s="98"/>
      <c r="F63" s="98"/>
    </row>
    <row r="64" spans="2:12" s="95" customFormat="1" ht="12.75" customHeight="1" x14ac:dyDescent="0.25">
      <c r="B64" s="5"/>
      <c r="C64" s="96"/>
      <c r="D64" s="98"/>
      <c r="E64" s="98"/>
      <c r="F64" s="98"/>
    </row>
    <row r="65" spans="2:6" s="95" customFormat="1" ht="12.75" customHeight="1" x14ac:dyDescent="0.25">
      <c r="B65" s="5"/>
      <c r="C65" s="96"/>
      <c r="D65" s="98"/>
      <c r="E65" s="98"/>
      <c r="F65" s="98"/>
    </row>
    <row r="66" spans="2:6" s="95" customFormat="1" ht="12.75" customHeight="1" x14ac:dyDescent="0.25">
      <c r="B66" s="5"/>
      <c r="C66" s="96"/>
      <c r="D66" s="98"/>
      <c r="E66" s="98"/>
      <c r="F66" s="98"/>
    </row>
    <row r="67" spans="2:6" s="95" customFormat="1" ht="12.75" customHeight="1" x14ac:dyDescent="0.25">
      <c r="B67" s="5"/>
      <c r="C67" s="96"/>
      <c r="D67" s="98"/>
      <c r="E67" s="98"/>
      <c r="F67" s="98"/>
    </row>
    <row r="68" spans="2:6" s="95" customFormat="1" ht="12.75" customHeight="1" x14ac:dyDescent="0.25">
      <c r="B68" s="5"/>
      <c r="C68" s="96"/>
      <c r="D68" s="98"/>
      <c r="E68" s="98"/>
      <c r="F68" s="98"/>
    </row>
    <row r="69" spans="2:6" s="95" customFormat="1" ht="12.75" customHeight="1" x14ac:dyDescent="0.25">
      <c r="B69" s="5"/>
      <c r="C69" s="96"/>
      <c r="D69" s="98"/>
      <c r="E69" s="98"/>
      <c r="F69" s="98"/>
    </row>
    <row r="70" spans="2:6" s="95" customFormat="1" ht="12.75" customHeight="1" x14ac:dyDescent="0.25">
      <c r="B70" s="5"/>
      <c r="C70" s="96"/>
      <c r="D70" s="98"/>
      <c r="E70" s="98"/>
      <c r="F70" s="98"/>
    </row>
    <row r="71" spans="2:6" s="95" customFormat="1" ht="12.5" x14ac:dyDescent="0.25">
      <c r="B71" s="5"/>
      <c r="C71" s="96"/>
      <c r="D71" s="98"/>
      <c r="E71" s="98"/>
      <c r="F71" s="98"/>
    </row>
    <row r="72" spans="2:6" s="95" customFormat="1" ht="12.5" x14ac:dyDescent="0.25">
      <c r="B72" s="5"/>
      <c r="C72" s="96"/>
      <c r="D72" s="98"/>
      <c r="E72" s="98"/>
      <c r="F72" s="98"/>
    </row>
  </sheetData>
  <mergeCells count="25">
    <mergeCell ref="B58:B62"/>
    <mergeCell ref="B38:B42"/>
    <mergeCell ref="B43:B47"/>
    <mergeCell ref="B48:B52"/>
    <mergeCell ref="U4:V4"/>
    <mergeCell ref="I4:J4"/>
    <mergeCell ref="K4:L4"/>
    <mergeCell ref="Q4:R4"/>
    <mergeCell ref="S4:T4"/>
    <mergeCell ref="W4:X4"/>
    <mergeCell ref="B6:B10"/>
    <mergeCell ref="M4:N4"/>
    <mergeCell ref="B53:B57"/>
    <mergeCell ref="Y4:Z4"/>
    <mergeCell ref="B16:B20"/>
    <mergeCell ref="B21:B25"/>
    <mergeCell ref="B26:B30"/>
    <mergeCell ref="E36:F36"/>
    <mergeCell ref="G36:H36"/>
    <mergeCell ref="I36:J36"/>
    <mergeCell ref="K36:L36"/>
    <mergeCell ref="O4:P4"/>
    <mergeCell ref="B11:B15"/>
    <mergeCell ref="E4:F4"/>
    <mergeCell ref="G4:H4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C2D3-EE82-4EDC-84FD-CB6923BEA524}">
  <dimension ref="B2:AE68"/>
  <sheetViews>
    <sheetView zoomScale="90" zoomScaleNormal="90" workbookViewId="0">
      <selection activeCell="Y32" sqref="Y32"/>
    </sheetView>
  </sheetViews>
  <sheetFormatPr defaultColWidth="9" defaultRowHeight="14" x14ac:dyDescent="0.3"/>
  <cols>
    <col min="1" max="1" width="5.25" style="25" customWidth="1"/>
    <col min="2" max="2" width="14.25" style="37" customWidth="1"/>
    <col min="3" max="3" width="6.33203125" style="35" customWidth="1"/>
    <col min="4" max="5" width="6.5" style="36" customWidth="1"/>
    <col min="6" max="6" width="6.75" style="36" bestFit="1" customWidth="1"/>
    <col min="7" max="7" width="6.08203125" style="25" bestFit="1" customWidth="1"/>
    <col min="8" max="8" width="6.75" style="25" customWidth="1"/>
    <col min="9" max="9" width="6.08203125" style="25" bestFit="1" customWidth="1"/>
    <col min="10" max="10" width="6.75" style="25" customWidth="1"/>
    <col min="11" max="11" width="6.08203125" style="25" bestFit="1" customWidth="1"/>
    <col min="12" max="12" width="6.75" style="25" customWidth="1"/>
    <col min="13" max="13" width="6.08203125" style="25" bestFit="1" customWidth="1"/>
    <col min="14" max="14" width="6.75" style="25" customWidth="1"/>
    <col min="15" max="15" width="6.08203125" style="25" bestFit="1" customWidth="1"/>
    <col min="16" max="16" width="6.75" style="25" customWidth="1"/>
    <col min="17" max="17" width="6.08203125" style="25" bestFit="1" customWidth="1"/>
    <col min="18" max="18" width="6.75" style="25" customWidth="1"/>
    <col min="19" max="19" width="5.75" style="25" customWidth="1"/>
    <col min="20" max="20" width="6.75" style="25" bestFit="1" customWidth="1"/>
    <col min="21" max="21" width="6.08203125" style="25" bestFit="1" customWidth="1"/>
    <col min="22" max="22" width="6.75" style="25" bestFit="1" customWidth="1"/>
    <col min="23" max="23" width="6.08203125" style="25" bestFit="1" customWidth="1"/>
    <col min="24" max="24" width="6.75" style="25" bestFit="1" customWidth="1"/>
    <col min="25" max="25" width="5.33203125" style="25" customWidth="1"/>
    <col min="26" max="26" width="38.75" style="25" bestFit="1" customWidth="1"/>
    <col min="27" max="30" width="9" style="25"/>
    <col min="31" max="31" width="14.08203125" style="25" bestFit="1" customWidth="1"/>
    <col min="32" max="16384" width="9" style="25"/>
  </cols>
  <sheetData>
    <row r="2" spans="2:31" s="95" customFormat="1" ht="13" x14ac:dyDescent="0.25">
      <c r="C2" s="100" t="s">
        <v>108</v>
      </c>
      <c r="D2" s="101"/>
      <c r="E2" s="101"/>
    </row>
    <row r="3" spans="2:31" s="95" customFormat="1" ht="13" x14ac:dyDescent="0.3">
      <c r="C3" s="100"/>
      <c r="D3" s="101"/>
      <c r="E3" s="101"/>
      <c r="Z3" s="103" t="s">
        <v>71</v>
      </c>
    </row>
    <row r="4" spans="2:31" s="95" customFormat="1" ht="12.5" x14ac:dyDescent="0.25">
      <c r="B4" s="4"/>
      <c r="C4" s="263" t="s">
        <v>72</v>
      </c>
      <c r="D4" s="263" t="s">
        <v>172</v>
      </c>
      <c r="E4" s="358" t="s">
        <v>173</v>
      </c>
      <c r="F4" s="359"/>
      <c r="G4" s="358" t="s">
        <v>174</v>
      </c>
      <c r="H4" s="359"/>
      <c r="I4" s="358" t="s">
        <v>103</v>
      </c>
      <c r="J4" s="359"/>
      <c r="K4" s="358" t="s">
        <v>175</v>
      </c>
      <c r="L4" s="359"/>
      <c r="M4" s="358" t="s">
        <v>74</v>
      </c>
      <c r="N4" s="359"/>
      <c r="O4" s="358" t="s">
        <v>176</v>
      </c>
      <c r="P4" s="359"/>
      <c r="Q4" s="358" t="s">
        <v>75</v>
      </c>
      <c r="R4" s="359"/>
      <c r="S4" s="358" t="s">
        <v>264</v>
      </c>
      <c r="T4" s="359"/>
      <c r="U4" s="358" t="s">
        <v>278</v>
      </c>
      <c r="V4" s="359"/>
      <c r="W4" s="358" t="s">
        <v>333</v>
      </c>
      <c r="X4" s="359"/>
    </row>
    <row r="5" spans="2:31" s="95" customFormat="1" ht="12.75" customHeight="1" x14ac:dyDescent="0.3">
      <c r="B5" s="4"/>
      <c r="C5" s="263"/>
      <c r="D5" s="263"/>
      <c r="E5" s="263"/>
      <c r="F5" s="27"/>
      <c r="G5" s="263"/>
      <c r="H5" s="27"/>
      <c r="I5" s="263"/>
      <c r="J5" s="27"/>
      <c r="K5" s="263"/>
      <c r="L5" s="27"/>
      <c r="M5" s="263"/>
      <c r="N5" s="27"/>
      <c r="O5" s="263"/>
      <c r="P5" s="27"/>
      <c r="Q5" s="263"/>
      <c r="R5" s="27"/>
      <c r="S5" s="263"/>
      <c r="T5" s="27"/>
      <c r="U5" s="263"/>
      <c r="V5" s="27"/>
      <c r="W5" s="263"/>
      <c r="X5" s="27"/>
      <c r="Z5" s="2" t="s">
        <v>41</v>
      </c>
      <c r="AA5" s="8" t="s">
        <v>401</v>
      </c>
      <c r="AB5" s="3"/>
      <c r="AC5" s="3"/>
      <c r="AD5" s="3"/>
      <c r="AE5" s="3"/>
    </row>
    <row r="6" spans="2:31" s="95" customFormat="1" ht="12.75" customHeight="1" x14ac:dyDescent="0.25">
      <c r="B6" s="354" t="s">
        <v>364</v>
      </c>
      <c r="C6" s="58" t="s">
        <v>372</v>
      </c>
      <c r="D6" s="55">
        <v>18.53</v>
      </c>
      <c r="E6" s="40">
        <v>17.46</v>
      </c>
      <c r="F6" s="47">
        <f>E6/D6*100</f>
        <v>94.225580140312999</v>
      </c>
      <c r="G6" s="40">
        <v>18.05</v>
      </c>
      <c r="H6" s="47">
        <f>G6/D6*100</f>
        <v>97.409606044252556</v>
      </c>
      <c r="I6" s="40">
        <v>17.86</v>
      </c>
      <c r="J6" s="47">
        <f>I6/D6*100</f>
        <v>96.384241770102534</v>
      </c>
      <c r="K6" s="40">
        <v>18.239999999999998</v>
      </c>
      <c r="L6" s="47">
        <f>K6/D6*100</f>
        <v>98.434970318402577</v>
      </c>
      <c r="M6" s="40">
        <v>18.329999999999998</v>
      </c>
      <c r="N6" s="47">
        <f>M6/D6*100</f>
        <v>98.920669185105211</v>
      </c>
      <c r="O6" s="40">
        <v>18.36</v>
      </c>
      <c r="P6" s="47">
        <f>O6/D6*100</f>
        <v>99.082568807339442</v>
      </c>
      <c r="Q6" s="40">
        <v>18.75</v>
      </c>
      <c r="R6" s="47">
        <f>Q6/D6*100</f>
        <v>101.18726389638424</v>
      </c>
      <c r="S6" s="40">
        <v>19.010000000000002</v>
      </c>
      <c r="T6" s="47">
        <f>S6/D6*100</f>
        <v>102.59039395574744</v>
      </c>
      <c r="U6" s="40">
        <v>18.54</v>
      </c>
      <c r="V6" s="47">
        <f>U6/D6*100</f>
        <v>100.05396654074472</v>
      </c>
      <c r="W6" s="40">
        <v>18.600000000000001</v>
      </c>
      <c r="X6" s="47">
        <f>W6/D6*100</f>
        <v>100.37776578521319</v>
      </c>
      <c r="Z6" s="2"/>
      <c r="AA6" s="3"/>
      <c r="AB6" s="3"/>
      <c r="AC6" s="3"/>
      <c r="AD6" s="3"/>
      <c r="AE6" s="3"/>
    </row>
    <row r="7" spans="2:31" s="95" customFormat="1" ht="12.75" customHeight="1" x14ac:dyDescent="0.25">
      <c r="B7" s="354"/>
      <c r="C7" s="58" t="s">
        <v>373</v>
      </c>
      <c r="D7" s="55">
        <v>17.809999999999999</v>
      </c>
      <c r="E7" s="40">
        <v>17.66</v>
      </c>
      <c r="F7" s="47">
        <f t="shared" ref="F7:F30" si="0">E7/D7*100</f>
        <v>99.157776530039314</v>
      </c>
      <c r="G7" s="40">
        <v>18.100000000000001</v>
      </c>
      <c r="H7" s="47">
        <f t="shared" ref="H7:H30" si="1">G7/D7*100</f>
        <v>101.62829870859069</v>
      </c>
      <c r="I7" s="40">
        <v>18.46</v>
      </c>
      <c r="J7" s="47">
        <f t="shared" ref="J7:J30" si="2">I7/D7*100</f>
        <v>103.64963503649636</v>
      </c>
      <c r="K7" s="40">
        <v>19.079999999999998</v>
      </c>
      <c r="L7" s="47">
        <f t="shared" ref="L7:L30" si="3">K7/D7*100</f>
        <v>107.13082537900056</v>
      </c>
      <c r="M7" s="40">
        <v>19.02</v>
      </c>
      <c r="N7" s="47">
        <f t="shared" ref="N7:N30" si="4">M7/D7*100</f>
        <v>106.7939359910163</v>
      </c>
      <c r="O7" s="40">
        <v>18.309999999999999</v>
      </c>
      <c r="P7" s="47">
        <f t="shared" ref="P7:P30" si="5">O7/D7*100</f>
        <v>102.80741156653565</v>
      </c>
      <c r="Q7" s="40">
        <v>18.41</v>
      </c>
      <c r="R7" s="47">
        <f t="shared" ref="R7:R30" si="6">Q7/D7*100</f>
        <v>103.36889387984279</v>
      </c>
      <c r="S7" s="40">
        <v>18.55</v>
      </c>
      <c r="T7" s="47">
        <f t="shared" ref="T7:T30" si="7">S7/D7*100</f>
        <v>104.15496911847278</v>
      </c>
      <c r="U7" s="40">
        <v>18.32</v>
      </c>
      <c r="V7" s="47">
        <f t="shared" ref="V7:V22" si="8">U7/D7*100</f>
        <v>102.86355979786637</v>
      </c>
      <c r="W7" s="40">
        <v>18.440000000000001</v>
      </c>
      <c r="X7" s="47">
        <f t="shared" ref="X7:X22" si="9">W7/D7*100</f>
        <v>103.53733857383493</v>
      </c>
      <c r="Z7" s="2" t="s">
        <v>402</v>
      </c>
      <c r="AA7" s="3"/>
      <c r="AB7" s="3"/>
      <c r="AC7" s="3"/>
      <c r="AD7" s="3"/>
      <c r="AE7" s="3"/>
    </row>
    <row r="8" spans="2:31" s="95" customFormat="1" ht="12.75" customHeight="1" x14ac:dyDescent="0.3">
      <c r="B8" s="354"/>
      <c r="C8" s="58" t="s">
        <v>374</v>
      </c>
      <c r="D8" s="55">
        <v>17.95</v>
      </c>
      <c r="E8" s="40">
        <v>17.34</v>
      </c>
      <c r="F8" s="47">
        <f t="shared" si="0"/>
        <v>96.601671309192199</v>
      </c>
      <c r="G8" s="40">
        <v>17.510000000000002</v>
      </c>
      <c r="H8" s="47">
        <f t="shared" si="1"/>
        <v>97.548746518105872</v>
      </c>
      <c r="I8" s="40">
        <v>17.32</v>
      </c>
      <c r="J8" s="47">
        <f t="shared" si="2"/>
        <v>96.490250696378837</v>
      </c>
      <c r="K8" s="40">
        <v>18.010000000000002</v>
      </c>
      <c r="L8" s="47">
        <f t="shared" si="3"/>
        <v>100.33426183844011</v>
      </c>
      <c r="M8" s="40">
        <v>17.899999999999999</v>
      </c>
      <c r="N8" s="47">
        <f t="shared" si="4"/>
        <v>99.721448467966567</v>
      </c>
      <c r="O8" s="40">
        <v>18.07</v>
      </c>
      <c r="P8" s="47">
        <f t="shared" si="5"/>
        <v>100.66852367688024</v>
      </c>
      <c r="Q8" s="40">
        <v>18.75</v>
      </c>
      <c r="R8" s="47">
        <f t="shared" si="6"/>
        <v>104.45682451253482</v>
      </c>
      <c r="S8" s="40">
        <v>18.64</v>
      </c>
      <c r="T8" s="47">
        <f t="shared" si="7"/>
        <v>103.84401114206131</v>
      </c>
      <c r="U8" s="40">
        <v>18.420000000000002</v>
      </c>
      <c r="V8" s="47">
        <f t="shared" si="8"/>
        <v>102.61838440111421</v>
      </c>
      <c r="W8" s="40">
        <v>18.5</v>
      </c>
      <c r="X8" s="47">
        <f t="shared" si="9"/>
        <v>103.06406685236769</v>
      </c>
      <c r="Z8" s="2" t="s">
        <v>47</v>
      </c>
      <c r="AA8" s="8">
        <v>2.1100000000000001E-2</v>
      </c>
      <c r="AB8" s="3"/>
      <c r="AC8" s="3"/>
      <c r="AD8" s="3"/>
      <c r="AE8" s="3"/>
    </row>
    <row r="9" spans="2:31" s="95" customFormat="1" ht="12.75" customHeight="1" x14ac:dyDescent="0.3">
      <c r="B9" s="354"/>
      <c r="C9" s="58" t="s">
        <v>375</v>
      </c>
      <c r="D9" s="55">
        <v>17.63</v>
      </c>
      <c r="E9" s="40">
        <v>17.45</v>
      </c>
      <c r="F9" s="47">
        <f t="shared" si="0"/>
        <v>98.979013045944413</v>
      </c>
      <c r="G9" s="40">
        <v>17.13</v>
      </c>
      <c r="H9" s="47">
        <f t="shared" si="1"/>
        <v>97.163925127623372</v>
      </c>
      <c r="I9" s="40">
        <v>17.28</v>
      </c>
      <c r="J9" s="47">
        <f t="shared" si="2"/>
        <v>98.014747589336366</v>
      </c>
      <c r="K9" s="40">
        <v>18.329999999999998</v>
      </c>
      <c r="L9" s="47">
        <f t="shared" si="3"/>
        <v>103.97050482132728</v>
      </c>
      <c r="M9" s="40">
        <v>18.16</v>
      </c>
      <c r="N9" s="47">
        <f t="shared" si="4"/>
        <v>103.00623936471925</v>
      </c>
      <c r="O9" s="40">
        <v>18.16</v>
      </c>
      <c r="P9" s="47">
        <f t="shared" si="5"/>
        <v>103.00623936471925</v>
      </c>
      <c r="Q9" s="40">
        <v>18.079999999999998</v>
      </c>
      <c r="R9" s="47">
        <f t="shared" si="6"/>
        <v>102.55246738513897</v>
      </c>
      <c r="S9" s="40">
        <v>17.940000000000001</v>
      </c>
      <c r="T9" s="47">
        <f t="shared" si="7"/>
        <v>101.75836642087353</v>
      </c>
      <c r="U9" s="40">
        <v>18.02</v>
      </c>
      <c r="V9" s="47">
        <f t="shared" si="8"/>
        <v>102.21213840045378</v>
      </c>
      <c r="W9" s="40">
        <v>18.170000000000002</v>
      </c>
      <c r="X9" s="47">
        <f t="shared" si="9"/>
        <v>103.06296086216678</v>
      </c>
      <c r="Z9" s="7" t="s">
        <v>49</v>
      </c>
      <c r="AA9" s="8" t="s">
        <v>332</v>
      </c>
      <c r="AB9" s="3"/>
      <c r="AC9" s="3"/>
      <c r="AD9" s="3"/>
      <c r="AE9" s="3"/>
    </row>
    <row r="10" spans="2:31" s="95" customFormat="1" ht="12.75" customHeight="1" x14ac:dyDescent="0.3">
      <c r="B10" s="354"/>
      <c r="C10" s="58" t="s">
        <v>376</v>
      </c>
      <c r="D10" s="55">
        <v>17.54</v>
      </c>
      <c r="E10" s="40">
        <v>17.260000000000002</v>
      </c>
      <c r="F10" s="47">
        <f t="shared" si="0"/>
        <v>98.403648802736626</v>
      </c>
      <c r="G10" s="40">
        <v>17.21</v>
      </c>
      <c r="H10" s="47">
        <f t="shared" si="1"/>
        <v>98.11858608893958</v>
      </c>
      <c r="I10" s="40">
        <v>17.18</v>
      </c>
      <c r="J10" s="47">
        <f t="shared" si="2"/>
        <v>97.947548460661352</v>
      </c>
      <c r="K10" s="40">
        <v>17.88</v>
      </c>
      <c r="L10" s="47">
        <f t="shared" si="3"/>
        <v>101.93842645381983</v>
      </c>
      <c r="M10" s="40">
        <v>17.88</v>
      </c>
      <c r="N10" s="47">
        <f t="shared" si="4"/>
        <v>101.93842645381983</v>
      </c>
      <c r="O10" s="40">
        <v>17.940000000000001</v>
      </c>
      <c r="P10" s="47">
        <f t="shared" si="5"/>
        <v>102.2805017103763</v>
      </c>
      <c r="Q10" s="40">
        <v>18.21</v>
      </c>
      <c r="R10" s="47">
        <f t="shared" si="6"/>
        <v>103.81984036488028</v>
      </c>
      <c r="S10" s="40">
        <v>18.23</v>
      </c>
      <c r="T10" s="47">
        <f t="shared" si="7"/>
        <v>103.93386545039908</v>
      </c>
      <c r="U10" s="40">
        <v>18.66</v>
      </c>
      <c r="V10" s="47">
        <f t="shared" si="8"/>
        <v>106.38540478905361</v>
      </c>
      <c r="W10" s="40">
        <v>18.45</v>
      </c>
      <c r="X10" s="47">
        <f t="shared" si="9"/>
        <v>105.18814139110604</v>
      </c>
      <c r="Z10" s="7" t="s">
        <v>51</v>
      </c>
      <c r="AA10" s="8" t="s">
        <v>52</v>
      </c>
      <c r="AB10" s="3"/>
      <c r="AC10" s="3"/>
      <c r="AD10" s="3"/>
      <c r="AE10" s="3"/>
    </row>
    <row r="11" spans="2:31" s="95" customFormat="1" ht="12.75" customHeight="1" x14ac:dyDescent="0.25">
      <c r="B11" s="366" t="s">
        <v>365</v>
      </c>
      <c r="C11" s="58" t="s">
        <v>377</v>
      </c>
      <c r="D11" s="55">
        <v>17.36</v>
      </c>
      <c r="E11" s="48">
        <v>16.28</v>
      </c>
      <c r="F11" s="47">
        <f t="shared" si="0"/>
        <v>93.778801843317979</v>
      </c>
      <c r="G11" s="48">
        <v>15.83</v>
      </c>
      <c r="H11" s="47">
        <f t="shared" si="1"/>
        <v>91.18663594470047</v>
      </c>
      <c r="I11" s="48">
        <v>15.83</v>
      </c>
      <c r="J11" s="47">
        <f t="shared" si="2"/>
        <v>91.18663594470047</v>
      </c>
      <c r="K11" s="48">
        <v>16.579999999999998</v>
      </c>
      <c r="L11" s="47">
        <f t="shared" si="3"/>
        <v>95.506912442396313</v>
      </c>
      <c r="M11" s="40">
        <v>17.66</v>
      </c>
      <c r="N11" s="47">
        <f t="shared" si="4"/>
        <v>101.72811059907833</v>
      </c>
      <c r="O11" s="40">
        <v>18.559999999999999</v>
      </c>
      <c r="P11" s="47">
        <f t="shared" si="5"/>
        <v>106.91244239631337</v>
      </c>
      <c r="Q11" s="40">
        <v>18.21</v>
      </c>
      <c r="R11" s="47">
        <f t="shared" si="6"/>
        <v>104.89631336405532</v>
      </c>
      <c r="S11" s="40">
        <v>19.47</v>
      </c>
      <c r="T11" s="47">
        <f t="shared" si="7"/>
        <v>112.15437788018431</v>
      </c>
      <c r="U11" s="40">
        <v>18.920000000000002</v>
      </c>
      <c r="V11" s="47">
        <f t="shared" si="8"/>
        <v>108.98617511520739</v>
      </c>
      <c r="W11" s="40">
        <v>18.86</v>
      </c>
      <c r="X11" s="47">
        <f t="shared" si="9"/>
        <v>108.6405529953917</v>
      </c>
      <c r="Z11" s="2" t="s">
        <v>403</v>
      </c>
      <c r="AA11" s="3">
        <v>3</v>
      </c>
      <c r="AB11" s="3"/>
      <c r="AC11" s="3"/>
      <c r="AD11" s="3"/>
      <c r="AE11" s="3"/>
    </row>
    <row r="12" spans="2:31" s="95" customFormat="1" ht="12.75" customHeight="1" x14ac:dyDescent="0.25">
      <c r="B12" s="366"/>
      <c r="C12" s="58" t="s">
        <v>378</v>
      </c>
      <c r="D12" s="55">
        <v>16.54</v>
      </c>
      <c r="E12" s="48">
        <v>15.66</v>
      </c>
      <c r="F12" s="47">
        <f t="shared" si="0"/>
        <v>94.679564691656594</v>
      </c>
      <c r="G12" s="48">
        <v>14.25</v>
      </c>
      <c r="H12" s="47">
        <f t="shared" si="1"/>
        <v>86.154776299879089</v>
      </c>
      <c r="I12" s="48">
        <v>14.37</v>
      </c>
      <c r="J12" s="47">
        <f t="shared" si="2"/>
        <v>86.880290205562275</v>
      </c>
      <c r="K12" s="48">
        <v>15.24</v>
      </c>
      <c r="L12" s="47">
        <f t="shared" si="3"/>
        <v>92.140266021765427</v>
      </c>
      <c r="M12" s="48">
        <v>15.65</v>
      </c>
      <c r="N12" s="47">
        <f t="shared" si="4"/>
        <v>94.619105199516326</v>
      </c>
      <c r="O12" s="48">
        <v>15.8</v>
      </c>
      <c r="P12" s="47">
        <f t="shared" si="5"/>
        <v>95.525997581620331</v>
      </c>
      <c r="Q12" s="48">
        <v>16.34</v>
      </c>
      <c r="R12" s="47">
        <f t="shared" si="6"/>
        <v>98.790810157194684</v>
      </c>
      <c r="S12" s="40">
        <v>17.64</v>
      </c>
      <c r="T12" s="47">
        <f t="shared" si="7"/>
        <v>106.65054413542927</v>
      </c>
      <c r="U12" s="40">
        <v>17.850000000000001</v>
      </c>
      <c r="V12" s="47">
        <f t="shared" si="8"/>
        <v>107.92019347037487</v>
      </c>
      <c r="W12" s="40">
        <v>18.66</v>
      </c>
      <c r="X12" s="47">
        <f t="shared" si="9"/>
        <v>112.81741233373641</v>
      </c>
      <c r="Z12" s="2" t="s">
        <v>404</v>
      </c>
      <c r="AA12" s="3">
        <v>5.4130000000000003</v>
      </c>
      <c r="AB12" s="3"/>
      <c r="AC12" s="3"/>
      <c r="AD12" s="3"/>
      <c r="AE12" s="3"/>
    </row>
    <row r="13" spans="2:31" s="95" customFormat="1" ht="12.75" customHeight="1" x14ac:dyDescent="0.25">
      <c r="B13" s="366"/>
      <c r="C13" s="58" t="s">
        <v>379</v>
      </c>
      <c r="D13" s="55">
        <v>16.87</v>
      </c>
      <c r="E13" s="48">
        <v>16.489999999999998</v>
      </c>
      <c r="F13" s="47">
        <f t="shared" si="0"/>
        <v>97.747480735032582</v>
      </c>
      <c r="G13" s="48">
        <v>15.15</v>
      </c>
      <c r="H13" s="47">
        <f t="shared" si="1"/>
        <v>89.804386484884404</v>
      </c>
      <c r="I13" s="48">
        <v>15.28</v>
      </c>
      <c r="J13" s="47">
        <f t="shared" si="2"/>
        <v>90.5749851807943</v>
      </c>
      <c r="K13" s="48">
        <v>15.91</v>
      </c>
      <c r="L13" s="47">
        <f t="shared" si="3"/>
        <v>94.309425014819197</v>
      </c>
      <c r="M13" s="48">
        <v>16.84</v>
      </c>
      <c r="N13" s="47">
        <f t="shared" si="4"/>
        <v>99.822169531713087</v>
      </c>
      <c r="O13" s="40">
        <v>17.38</v>
      </c>
      <c r="P13" s="47">
        <f t="shared" si="5"/>
        <v>103.02311796087729</v>
      </c>
      <c r="Q13" s="40">
        <v>17.27</v>
      </c>
      <c r="R13" s="47">
        <f t="shared" si="6"/>
        <v>102.37107291049199</v>
      </c>
      <c r="S13" s="40">
        <v>18.149999999999999</v>
      </c>
      <c r="T13" s="47">
        <f t="shared" si="7"/>
        <v>107.58743331357439</v>
      </c>
      <c r="U13" s="40">
        <v>17.8</v>
      </c>
      <c r="V13" s="47">
        <f t="shared" si="8"/>
        <v>105.5127445168939</v>
      </c>
      <c r="W13" s="40">
        <v>18.16</v>
      </c>
      <c r="X13" s="47">
        <f t="shared" si="9"/>
        <v>107.64671013633669</v>
      </c>
      <c r="Z13" s="2" t="s">
        <v>66</v>
      </c>
      <c r="AA13" s="3">
        <v>0.4743</v>
      </c>
      <c r="AB13" s="3"/>
      <c r="AC13" s="3"/>
      <c r="AD13" s="3"/>
      <c r="AE13" s="3"/>
    </row>
    <row r="14" spans="2:31" s="95" customFormat="1" ht="12.75" customHeight="1" x14ac:dyDescent="0.25">
      <c r="B14" s="366"/>
      <c r="C14" s="58" t="s">
        <v>380</v>
      </c>
      <c r="D14" s="55">
        <v>17.36</v>
      </c>
      <c r="E14" s="48">
        <v>15.55</v>
      </c>
      <c r="F14" s="47">
        <f t="shared" si="0"/>
        <v>89.573732718894021</v>
      </c>
      <c r="G14" s="48">
        <v>14.58</v>
      </c>
      <c r="H14" s="47">
        <f t="shared" si="1"/>
        <v>83.986175115207374</v>
      </c>
      <c r="I14" s="48">
        <v>14.25</v>
      </c>
      <c r="J14" s="47">
        <f t="shared" si="2"/>
        <v>82.085253456221196</v>
      </c>
      <c r="K14" s="48">
        <v>14.45</v>
      </c>
      <c r="L14" s="47">
        <f t="shared" si="3"/>
        <v>83.237327188940085</v>
      </c>
      <c r="M14" s="48">
        <v>15.08</v>
      </c>
      <c r="N14" s="47">
        <f t="shared" si="4"/>
        <v>86.866359447004612</v>
      </c>
      <c r="O14" s="48">
        <v>15.69</v>
      </c>
      <c r="P14" s="47">
        <f t="shared" si="5"/>
        <v>90.380184331797224</v>
      </c>
      <c r="Q14" s="40">
        <v>17.02</v>
      </c>
      <c r="R14" s="47">
        <f t="shared" si="6"/>
        <v>98.041474654377879</v>
      </c>
      <c r="S14" s="40">
        <v>17.77</v>
      </c>
      <c r="T14" s="47">
        <f t="shared" si="7"/>
        <v>102.36175115207374</v>
      </c>
      <c r="U14" s="40">
        <v>18.07</v>
      </c>
      <c r="V14" s="47">
        <f t="shared" si="8"/>
        <v>104.08986175115207</v>
      </c>
      <c r="W14" s="40">
        <v>18.47</v>
      </c>
      <c r="X14" s="47">
        <f t="shared" si="9"/>
        <v>106.39400921658986</v>
      </c>
      <c r="Z14" s="2"/>
      <c r="AA14" s="3"/>
      <c r="AB14" s="3"/>
      <c r="AC14" s="3"/>
      <c r="AD14" s="3"/>
      <c r="AE14" s="3"/>
    </row>
    <row r="15" spans="2:31" s="95" customFormat="1" ht="12.75" customHeight="1" x14ac:dyDescent="0.25">
      <c r="B15" s="366"/>
      <c r="C15" s="58" t="s">
        <v>381</v>
      </c>
      <c r="D15" s="55">
        <v>17.100000000000001</v>
      </c>
      <c r="E15" s="48">
        <v>16.22</v>
      </c>
      <c r="F15" s="47">
        <f t="shared" si="0"/>
        <v>94.853801169590625</v>
      </c>
      <c r="G15" s="48">
        <v>14.72</v>
      </c>
      <c r="H15" s="47">
        <f t="shared" si="1"/>
        <v>86.081871345029242</v>
      </c>
      <c r="I15" s="48">
        <v>15.2</v>
      </c>
      <c r="J15" s="47">
        <f t="shared" si="2"/>
        <v>88.888888888888872</v>
      </c>
      <c r="K15" s="48">
        <v>15.29</v>
      </c>
      <c r="L15" s="47">
        <f t="shared" si="3"/>
        <v>89.415204678362556</v>
      </c>
      <c r="M15" s="48">
        <v>15.42</v>
      </c>
      <c r="N15" s="47">
        <f t="shared" si="4"/>
        <v>90.175438596491219</v>
      </c>
      <c r="O15" s="48">
        <v>15.09</v>
      </c>
      <c r="P15" s="47">
        <f t="shared" si="5"/>
        <v>88.245614035087712</v>
      </c>
      <c r="Q15" s="48">
        <v>14.89</v>
      </c>
      <c r="R15" s="47">
        <f t="shared" si="6"/>
        <v>87.076023391812868</v>
      </c>
      <c r="S15" s="48">
        <v>13.91</v>
      </c>
      <c r="T15" s="47">
        <f t="shared" si="7"/>
        <v>81.345029239766077</v>
      </c>
      <c r="U15" s="48">
        <v>13.16</v>
      </c>
      <c r="V15" s="50">
        <f t="shared" si="8"/>
        <v>76.959064327485365</v>
      </c>
      <c r="W15" s="48">
        <v>12.89</v>
      </c>
      <c r="X15" s="50">
        <f t="shared" si="9"/>
        <v>75.380116959064324</v>
      </c>
      <c r="Z15" s="2" t="s">
        <v>405</v>
      </c>
      <c r="AA15" s="3"/>
      <c r="AB15" s="3"/>
      <c r="AC15" s="3"/>
      <c r="AD15" s="3"/>
      <c r="AE15" s="3"/>
    </row>
    <row r="16" spans="2:31" s="95" customFormat="1" ht="12.75" customHeight="1" x14ac:dyDescent="0.25">
      <c r="B16" s="366" t="s">
        <v>862</v>
      </c>
      <c r="C16" s="58" t="s">
        <v>382</v>
      </c>
      <c r="D16" s="55">
        <v>19.21</v>
      </c>
      <c r="E16" s="40">
        <v>19.05</v>
      </c>
      <c r="F16" s="47">
        <f t="shared" si="0"/>
        <v>99.167100468505993</v>
      </c>
      <c r="G16" s="40">
        <v>18.38</v>
      </c>
      <c r="H16" s="47">
        <f t="shared" si="1"/>
        <v>95.679333680374796</v>
      </c>
      <c r="I16" s="40">
        <v>18.760000000000002</v>
      </c>
      <c r="J16" s="47">
        <f t="shared" si="2"/>
        <v>97.657470067673088</v>
      </c>
      <c r="K16" s="40">
        <v>19.34</v>
      </c>
      <c r="L16" s="47">
        <f t="shared" si="3"/>
        <v>100.67673086933888</v>
      </c>
      <c r="M16" s="40">
        <v>19.52</v>
      </c>
      <c r="N16" s="47">
        <f t="shared" si="4"/>
        <v>101.61374284226964</v>
      </c>
      <c r="O16" s="40">
        <v>19.32</v>
      </c>
      <c r="P16" s="47">
        <f t="shared" si="5"/>
        <v>100.57261842790213</v>
      </c>
      <c r="Q16" s="40">
        <v>19.489999999999998</v>
      </c>
      <c r="R16" s="47">
        <f t="shared" si="6"/>
        <v>101.45757418011452</v>
      </c>
      <c r="S16" s="40">
        <v>20.39</v>
      </c>
      <c r="T16" s="47">
        <f t="shared" si="7"/>
        <v>106.14263404476836</v>
      </c>
      <c r="U16" s="40">
        <v>20.149999999999999</v>
      </c>
      <c r="V16" s="47">
        <f t="shared" si="8"/>
        <v>104.89328474752733</v>
      </c>
      <c r="W16" s="40">
        <v>20.11</v>
      </c>
      <c r="X16" s="47">
        <f t="shared" si="9"/>
        <v>104.68505986465382</v>
      </c>
      <c r="Z16" s="2" t="s">
        <v>406</v>
      </c>
      <c r="AA16" s="3">
        <v>0.98929999999999996</v>
      </c>
      <c r="AB16" s="3"/>
      <c r="AC16" s="3"/>
      <c r="AD16" s="3"/>
      <c r="AE16" s="3"/>
    </row>
    <row r="17" spans="2:31" s="95" customFormat="1" ht="12.75" customHeight="1" x14ac:dyDescent="0.25">
      <c r="B17" s="366"/>
      <c r="C17" s="58" t="s">
        <v>383</v>
      </c>
      <c r="D17" s="55">
        <v>17.7</v>
      </c>
      <c r="E17" s="48">
        <v>16.75</v>
      </c>
      <c r="F17" s="47">
        <f t="shared" si="0"/>
        <v>94.632768361581924</v>
      </c>
      <c r="G17" s="48">
        <v>15.36</v>
      </c>
      <c r="H17" s="47">
        <f t="shared" si="1"/>
        <v>86.779661016949149</v>
      </c>
      <c r="I17" s="48">
        <v>16.649999999999999</v>
      </c>
      <c r="J17" s="47">
        <f t="shared" si="2"/>
        <v>94.067796610169481</v>
      </c>
      <c r="K17" s="48">
        <v>16.559999999999999</v>
      </c>
      <c r="L17" s="47">
        <f t="shared" si="3"/>
        <v>93.559322033898312</v>
      </c>
      <c r="M17" s="40">
        <v>17.07</v>
      </c>
      <c r="N17" s="47">
        <f t="shared" si="4"/>
        <v>96.440677966101703</v>
      </c>
      <c r="O17" s="48">
        <v>16.920000000000002</v>
      </c>
      <c r="P17" s="47">
        <f t="shared" si="5"/>
        <v>95.593220338983059</v>
      </c>
      <c r="Q17" s="48">
        <v>14.37</v>
      </c>
      <c r="R17" s="47">
        <f t="shared" si="6"/>
        <v>81.186440677966104</v>
      </c>
      <c r="S17" s="40">
        <v>17.170000000000002</v>
      </c>
      <c r="T17" s="47">
        <f t="shared" si="7"/>
        <v>97.005649717514146</v>
      </c>
      <c r="U17" s="40">
        <v>17.8</v>
      </c>
      <c r="V17" s="47">
        <f t="shared" si="8"/>
        <v>100.56497175141243</v>
      </c>
      <c r="W17" s="40">
        <v>17.43</v>
      </c>
      <c r="X17" s="47">
        <f t="shared" si="9"/>
        <v>98.474576271186436</v>
      </c>
      <c r="Z17" s="2" t="s">
        <v>47</v>
      </c>
      <c r="AA17" s="3">
        <v>0.60980000000000001</v>
      </c>
      <c r="AB17" s="3"/>
      <c r="AC17" s="3"/>
      <c r="AD17" s="3"/>
      <c r="AE17" s="3"/>
    </row>
    <row r="18" spans="2:31" s="95" customFormat="1" ht="12.75" customHeight="1" x14ac:dyDescent="0.25">
      <c r="B18" s="366"/>
      <c r="C18" s="58" t="s">
        <v>384</v>
      </c>
      <c r="D18" s="55">
        <v>18.57</v>
      </c>
      <c r="E18" s="40">
        <v>17.260000000000002</v>
      </c>
      <c r="F18" s="47">
        <f t="shared" si="0"/>
        <v>92.945611200861606</v>
      </c>
      <c r="G18" s="48">
        <v>16.59</v>
      </c>
      <c r="H18" s="47">
        <f t="shared" si="1"/>
        <v>89.337641357027465</v>
      </c>
      <c r="I18" s="40">
        <v>17.100000000000001</v>
      </c>
      <c r="J18" s="47">
        <f t="shared" si="2"/>
        <v>92.084006462035546</v>
      </c>
      <c r="K18" s="40">
        <v>18.54</v>
      </c>
      <c r="L18" s="47">
        <f t="shared" si="3"/>
        <v>99.838449111470112</v>
      </c>
      <c r="M18" s="40">
        <v>17.8</v>
      </c>
      <c r="N18" s="47">
        <f t="shared" si="4"/>
        <v>95.853527194399561</v>
      </c>
      <c r="O18" s="40">
        <v>17.940000000000001</v>
      </c>
      <c r="P18" s="47">
        <f t="shared" si="5"/>
        <v>96.607431340872381</v>
      </c>
      <c r="Q18" s="40">
        <v>18.21</v>
      </c>
      <c r="R18" s="47">
        <f t="shared" si="6"/>
        <v>98.061389337641359</v>
      </c>
      <c r="S18" s="40">
        <v>19.22</v>
      </c>
      <c r="T18" s="47">
        <f t="shared" si="7"/>
        <v>103.50026925148089</v>
      </c>
      <c r="U18" s="40">
        <v>18.98</v>
      </c>
      <c r="V18" s="47">
        <f t="shared" si="8"/>
        <v>102.20786214324178</v>
      </c>
      <c r="W18" s="40">
        <v>19.57</v>
      </c>
      <c r="X18" s="47">
        <f t="shared" si="9"/>
        <v>105.38502961766289</v>
      </c>
      <c r="Z18" s="2" t="s">
        <v>49</v>
      </c>
      <c r="AA18" s="3" t="s">
        <v>203</v>
      </c>
      <c r="AB18" s="3"/>
      <c r="AC18" s="3"/>
      <c r="AD18" s="3"/>
      <c r="AE18" s="3"/>
    </row>
    <row r="19" spans="2:31" s="95" customFormat="1" ht="12.75" customHeight="1" x14ac:dyDescent="0.25">
      <c r="B19" s="366"/>
      <c r="C19" s="58" t="s">
        <v>385</v>
      </c>
      <c r="D19" s="55">
        <v>18.47</v>
      </c>
      <c r="E19" s="40">
        <v>18.309999999999999</v>
      </c>
      <c r="F19" s="47">
        <f t="shared" si="0"/>
        <v>99.133730373578771</v>
      </c>
      <c r="G19" s="40">
        <v>17.13</v>
      </c>
      <c r="H19" s="47">
        <f t="shared" si="1"/>
        <v>92.744991878722246</v>
      </c>
      <c r="I19" s="40">
        <v>17.16</v>
      </c>
      <c r="J19" s="47">
        <f t="shared" si="2"/>
        <v>92.907417433676244</v>
      </c>
      <c r="K19" s="40">
        <v>17.46</v>
      </c>
      <c r="L19" s="47">
        <f t="shared" si="3"/>
        <v>94.531672983216041</v>
      </c>
      <c r="M19" s="40">
        <v>17.36</v>
      </c>
      <c r="N19" s="47">
        <f t="shared" si="4"/>
        <v>93.990254466702766</v>
      </c>
      <c r="O19" s="48">
        <v>16.18</v>
      </c>
      <c r="P19" s="47">
        <f t="shared" si="5"/>
        <v>87.60151597184624</v>
      </c>
      <c r="Q19" s="48">
        <v>13.38</v>
      </c>
      <c r="R19" s="50">
        <f t="shared" si="6"/>
        <v>72.441797509474839</v>
      </c>
      <c r="S19" s="48">
        <v>13.73</v>
      </c>
      <c r="T19" s="50">
        <f t="shared" si="7"/>
        <v>74.336762317271251</v>
      </c>
      <c r="U19" s="48">
        <v>12.87</v>
      </c>
      <c r="V19" s="50">
        <f t="shared" si="8"/>
        <v>69.680563075257169</v>
      </c>
      <c r="W19" s="48">
        <v>12.38</v>
      </c>
      <c r="X19" s="50">
        <f t="shared" si="9"/>
        <v>67.027612344342174</v>
      </c>
      <c r="Z19" s="2" t="s">
        <v>407</v>
      </c>
      <c r="AA19" s="3" t="s">
        <v>204</v>
      </c>
      <c r="AB19" s="3"/>
      <c r="AC19" s="3"/>
      <c r="AD19" s="3"/>
      <c r="AE19" s="3"/>
    </row>
    <row r="20" spans="2:31" s="95" customFormat="1" ht="12.75" customHeight="1" x14ac:dyDescent="0.25">
      <c r="B20" s="366"/>
      <c r="C20" s="58" t="s">
        <v>386</v>
      </c>
      <c r="D20" s="55">
        <v>17.71</v>
      </c>
      <c r="E20" s="48">
        <v>16.2</v>
      </c>
      <c r="F20" s="47">
        <f t="shared" si="0"/>
        <v>91.473743647656676</v>
      </c>
      <c r="G20" s="48">
        <v>15.4</v>
      </c>
      <c r="H20" s="47">
        <f t="shared" si="1"/>
        <v>86.956521739130437</v>
      </c>
      <c r="I20" s="48">
        <v>15.92</v>
      </c>
      <c r="J20" s="47">
        <f t="shared" si="2"/>
        <v>89.892715979672502</v>
      </c>
      <c r="K20" s="48">
        <v>16.54</v>
      </c>
      <c r="L20" s="47">
        <f t="shared" si="3"/>
        <v>93.393562958780336</v>
      </c>
      <c r="M20" s="48">
        <v>16.86</v>
      </c>
      <c r="N20" s="47">
        <f t="shared" si="4"/>
        <v>95.200451722190849</v>
      </c>
      <c r="O20" s="48">
        <v>16.829999999999998</v>
      </c>
      <c r="P20" s="47">
        <f t="shared" si="5"/>
        <v>95.031055900621112</v>
      </c>
      <c r="Q20" s="48">
        <v>16.25</v>
      </c>
      <c r="R20" s="47">
        <f t="shared" si="6"/>
        <v>91.756070016939574</v>
      </c>
      <c r="S20" s="48">
        <v>15.12</v>
      </c>
      <c r="T20" s="47">
        <f t="shared" si="7"/>
        <v>85.375494071146235</v>
      </c>
      <c r="U20" s="48">
        <v>13.48</v>
      </c>
      <c r="V20" s="50">
        <f t="shared" si="8"/>
        <v>76.11518915866742</v>
      </c>
      <c r="W20" s="48">
        <v>12.94</v>
      </c>
      <c r="X20" s="50">
        <f t="shared" si="9"/>
        <v>73.066064370412192</v>
      </c>
      <c r="Z20" s="2"/>
      <c r="AA20" s="3"/>
      <c r="AB20" s="3"/>
      <c r="AC20" s="3"/>
      <c r="AD20" s="3"/>
      <c r="AE20" s="3"/>
    </row>
    <row r="21" spans="2:31" s="95" customFormat="1" ht="12.75" customHeight="1" x14ac:dyDescent="0.25">
      <c r="B21" s="366" t="s">
        <v>863</v>
      </c>
      <c r="C21" s="58" t="s">
        <v>387</v>
      </c>
      <c r="D21" s="55">
        <v>17.059999999999999</v>
      </c>
      <c r="E21" s="40">
        <v>17.260000000000002</v>
      </c>
      <c r="F21" s="47">
        <f t="shared" si="0"/>
        <v>101.1723329425557</v>
      </c>
      <c r="G21" s="48">
        <v>16.23</v>
      </c>
      <c r="H21" s="47">
        <f t="shared" si="1"/>
        <v>95.134818288393916</v>
      </c>
      <c r="I21" s="48">
        <v>16.260000000000002</v>
      </c>
      <c r="J21" s="47">
        <f t="shared" si="2"/>
        <v>95.310668229777278</v>
      </c>
      <c r="K21" s="40">
        <v>17.489999999999998</v>
      </c>
      <c r="L21" s="47">
        <f t="shared" si="3"/>
        <v>102.52051582649473</v>
      </c>
      <c r="M21" s="40">
        <v>17.12</v>
      </c>
      <c r="N21" s="47">
        <f t="shared" si="4"/>
        <v>100.35169988276671</v>
      </c>
      <c r="O21" s="40">
        <v>17.98</v>
      </c>
      <c r="P21" s="47">
        <f t="shared" si="5"/>
        <v>105.39273153575617</v>
      </c>
      <c r="Q21" s="40">
        <v>17.16</v>
      </c>
      <c r="R21" s="47">
        <f t="shared" si="6"/>
        <v>100.58616647127785</v>
      </c>
      <c r="S21" s="40">
        <v>18.149999999999999</v>
      </c>
      <c r="T21" s="47">
        <f t="shared" si="7"/>
        <v>106.38921453692849</v>
      </c>
      <c r="U21" s="40">
        <v>18.16</v>
      </c>
      <c r="V21" s="47">
        <f t="shared" si="8"/>
        <v>106.44783118405627</v>
      </c>
      <c r="W21" s="40">
        <v>18.32</v>
      </c>
      <c r="X21" s="47">
        <f t="shared" si="9"/>
        <v>107.38569753810083</v>
      </c>
      <c r="Z21" s="2" t="s">
        <v>408</v>
      </c>
      <c r="AA21" s="3" t="s">
        <v>409</v>
      </c>
      <c r="AB21" s="3" t="s">
        <v>143</v>
      </c>
      <c r="AC21" s="3" t="s">
        <v>410</v>
      </c>
      <c r="AD21" s="3"/>
      <c r="AE21" s="3"/>
    </row>
    <row r="22" spans="2:31" s="95" customFormat="1" ht="12.75" customHeight="1" x14ac:dyDescent="0.25">
      <c r="B22" s="366"/>
      <c r="C22" s="58" t="s">
        <v>388</v>
      </c>
      <c r="D22" s="55">
        <v>16.72</v>
      </c>
      <c r="E22" s="48">
        <v>16.2</v>
      </c>
      <c r="F22" s="47">
        <f t="shared" si="0"/>
        <v>96.889952153110045</v>
      </c>
      <c r="G22" s="48">
        <v>14.56</v>
      </c>
      <c r="H22" s="47">
        <f t="shared" si="1"/>
        <v>87.081339712918677</v>
      </c>
      <c r="I22" s="48">
        <v>14.93</v>
      </c>
      <c r="J22" s="47">
        <f t="shared" si="2"/>
        <v>89.29425837320575</v>
      </c>
      <c r="K22" s="48">
        <v>15.23</v>
      </c>
      <c r="L22" s="47">
        <f t="shared" si="3"/>
        <v>91.0885167464115</v>
      </c>
      <c r="M22" s="48">
        <v>16.13</v>
      </c>
      <c r="N22" s="47">
        <f t="shared" si="4"/>
        <v>96.471291866028707</v>
      </c>
      <c r="O22" s="48">
        <v>16.850000000000001</v>
      </c>
      <c r="P22" s="47">
        <f t="shared" si="5"/>
        <v>100.77751196172251</v>
      </c>
      <c r="Q22" s="48">
        <v>16.43</v>
      </c>
      <c r="R22" s="47">
        <f t="shared" si="6"/>
        <v>98.265550239234457</v>
      </c>
      <c r="S22" s="48">
        <v>16.38</v>
      </c>
      <c r="T22" s="47">
        <f t="shared" si="7"/>
        <v>97.966507177033492</v>
      </c>
      <c r="U22" s="48">
        <v>15.11</v>
      </c>
      <c r="V22" s="47">
        <f t="shared" si="8"/>
        <v>90.370813397129197</v>
      </c>
      <c r="W22" s="48">
        <v>13.19</v>
      </c>
      <c r="X22" s="50">
        <f t="shared" si="9"/>
        <v>78.887559808612437</v>
      </c>
      <c r="Z22" s="2" t="s">
        <v>411</v>
      </c>
      <c r="AA22" s="3">
        <v>94.81</v>
      </c>
      <c r="AB22" s="3">
        <v>2</v>
      </c>
      <c r="AC22" s="3">
        <v>47.41</v>
      </c>
      <c r="AD22" s="3"/>
      <c r="AE22" s="3"/>
    </row>
    <row r="23" spans="2:31" s="95" customFormat="1" ht="12.75" customHeight="1" x14ac:dyDescent="0.3">
      <c r="B23" s="366"/>
      <c r="C23" s="58" t="s">
        <v>389</v>
      </c>
      <c r="D23" s="55">
        <v>17.39</v>
      </c>
      <c r="E23" s="48">
        <v>16.61</v>
      </c>
      <c r="F23" s="47">
        <f t="shared" si="0"/>
        <v>95.514663599769975</v>
      </c>
      <c r="G23" s="48">
        <v>15.1</v>
      </c>
      <c r="H23" s="47">
        <f t="shared" si="1"/>
        <v>86.831512363427251</v>
      </c>
      <c r="I23" s="48">
        <v>15.4</v>
      </c>
      <c r="J23" s="47">
        <f t="shared" si="2"/>
        <v>88.556641748131099</v>
      </c>
      <c r="K23" s="48">
        <v>14.99</v>
      </c>
      <c r="L23" s="47">
        <f t="shared" si="3"/>
        <v>86.198964922369186</v>
      </c>
      <c r="M23" s="48">
        <v>15.83</v>
      </c>
      <c r="N23" s="47">
        <f t="shared" si="4"/>
        <v>91.029327199539964</v>
      </c>
      <c r="O23" s="48">
        <v>14.88</v>
      </c>
      <c r="P23" s="47">
        <f t="shared" si="5"/>
        <v>85.566417481311092</v>
      </c>
      <c r="Q23" s="48">
        <v>14.21</v>
      </c>
      <c r="R23" s="47">
        <f t="shared" si="6"/>
        <v>81.71362852213916</v>
      </c>
      <c r="S23" s="48">
        <v>14.04</v>
      </c>
      <c r="T23" s="47">
        <f t="shared" si="7"/>
        <v>80.7360552041403</v>
      </c>
      <c r="U23" s="49" t="s">
        <v>290</v>
      </c>
      <c r="V23" s="54"/>
      <c r="W23" s="48"/>
      <c r="X23" s="54"/>
      <c r="Z23" s="2" t="s">
        <v>412</v>
      </c>
      <c r="AA23" s="3">
        <v>105.1</v>
      </c>
      <c r="AB23" s="3">
        <v>12</v>
      </c>
      <c r="AC23" s="3">
        <v>8.7569999999999997</v>
      </c>
      <c r="AD23" s="3"/>
      <c r="AE23" s="3"/>
    </row>
    <row r="24" spans="2:31" s="95" customFormat="1" ht="12.75" customHeight="1" x14ac:dyDescent="0.25">
      <c r="B24" s="366"/>
      <c r="C24" s="58" t="s">
        <v>390</v>
      </c>
      <c r="D24" s="55">
        <v>18.2</v>
      </c>
      <c r="E24" s="40">
        <v>17.03</v>
      </c>
      <c r="F24" s="47">
        <f t="shared" si="0"/>
        <v>93.571428571428584</v>
      </c>
      <c r="G24" s="48">
        <v>16.100000000000001</v>
      </c>
      <c r="H24" s="47">
        <f t="shared" si="1"/>
        <v>88.461538461538467</v>
      </c>
      <c r="I24" s="48">
        <v>15.54</v>
      </c>
      <c r="J24" s="47">
        <f t="shared" si="2"/>
        <v>85.384615384615387</v>
      </c>
      <c r="K24" s="48">
        <v>14.58</v>
      </c>
      <c r="L24" s="47">
        <f t="shared" si="3"/>
        <v>80.109890109890117</v>
      </c>
      <c r="M24" s="48">
        <v>15.02</v>
      </c>
      <c r="N24" s="47">
        <f t="shared" si="4"/>
        <v>82.527472527472526</v>
      </c>
      <c r="O24" s="48">
        <v>14.28</v>
      </c>
      <c r="P24" s="47">
        <f t="shared" si="5"/>
        <v>78.461538461538467</v>
      </c>
      <c r="Q24" s="48">
        <v>14.22</v>
      </c>
      <c r="R24" s="50">
        <f t="shared" si="6"/>
        <v>78.131868131868146</v>
      </c>
      <c r="S24" s="48">
        <v>14.42</v>
      </c>
      <c r="T24" s="50">
        <f t="shared" si="7"/>
        <v>79.230769230769241</v>
      </c>
      <c r="U24" s="48">
        <v>13.62</v>
      </c>
      <c r="V24" s="50">
        <f t="shared" ref="V24:V30" si="10">U24/D24*100</f>
        <v>74.835164835164832</v>
      </c>
      <c r="W24" s="48">
        <v>13.22</v>
      </c>
      <c r="X24" s="50">
        <f t="shared" ref="X24:X27" si="11">W24/D24*100</f>
        <v>72.637362637362642</v>
      </c>
      <c r="Z24" s="2" t="s">
        <v>413</v>
      </c>
      <c r="AA24" s="3">
        <v>199.9</v>
      </c>
      <c r="AB24" s="3">
        <v>14</v>
      </c>
      <c r="AC24" s="3"/>
      <c r="AD24" s="3"/>
      <c r="AE24" s="3"/>
    </row>
    <row r="25" spans="2:31" s="95" customFormat="1" ht="12.75" customHeight="1" x14ac:dyDescent="0.25">
      <c r="B25" s="366"/>
      <c r="C25" s="58" t="s">
        <v>391</v>
      </c>
      <c r="D25" s="55">
        <v>18.73</v>
      </c>
      <c r="E25" s="40">
        <v>17.920000000000002</v>
      </c>
      <c r="F25" s="47">
        <f t="shared" si="0"/>
        <v>95.675387079551527</v>
      </c>
      <c r="G25" s="48">
        <v>16.84</v>
      </c>
      <c r="H25" s="47">
        <f t="shared" si="1"/>
        <v>89.909236518953549</v>
      </c>
      <c r="I25" s="40">
        <v>17.079999999999998</v>
      </c>
      <c r="J25" s="47">
        <f t="shared" si="2"/>
        <v>91.190603310197531</v>
      </c>
      <c r="K25" s="40">
        <v>17.690000000000001</v>
      </c>
      <c r="L25" s="47">
        <f t="shared" si="3"/>
        <v>94.447410571276038</v>
      </c>
      <c r="M25" s="40">
        <v>18.61</v>
      </c>
      <c r="N25" s="47">
        <f t="shared" si="4"/>
        <v>99.359316604377995</v>
      </c>
      <c r="O25" s="40">
        <v>19.39</v>
      </c>
      <c r="P25" s="47">
        <f t="shared" si="5"/>
        <v>103.52375867592099</v>
      </c>
      <c r="Q25" s="40">
        <v>18.71</v>
      </c>
      <c r="R25" s="47">
        <f t="shared" si="6"/>
        <v>99.893219434063013</v>
      </c>
      <c r="S25" s="40">
        <v>19.47</v>
      </c>
      <c r="T25" s="47">
        <f t="shared" si="7"/>
        <v>103.95088093966898</v>
      </c>
      <c r="U25" s="40">
        <v>19.100000000000001</v>
      </c>
      <c r="V25" s="47">
        <f t="shared" si="10"/>
        <v>101.9754404698345</v>
      </c>
      <c r="W25" s="40">
        <v>19.82</v>
      </c>
      <c r="X25" s="47">
        <f t="shared" si="11"/>
        <v>105.81954084356646</v>
      </c>
      <c r="Z25" s="2"/>
      <c r="AA25" s="3"/>
      <c r="AB25" s="3"/>
      <c r="AC25" s="3"/>
      <c r="AD25" s="3"/>
      <c r="AE25" s="3"/>
    </row>
    <row r="26" spans="2:31" s="95" customFormat="1" ht="12.75" customHeight="1" x14ac:dyDescent="0.25">
      <c r="B26" s="354" t="s">
        <v>864</v>
      </c>
      <c r="C26" s="58" t="s">
        <v>392</v>
      </c>
      <c r="D26" s="55">
        <v>18.34</v>
      </c>
      <c r="E26" s="40">
        <v>18.079999999999998</v>
      </c>
      <c r="F26" s="47">
        <f t="shared" si="0"/>
        <v>98.582333696837509</v>
      </c>
      <c r="G26" s="40">
        <v>17.07</v>
      </c>
      <c r="H26" s="47">
        <f t="shared" si="1"/>
        <v>93.075245365321706</v>
      </c>
      <c r="I26" s="40">
        <v>17.57</v>
      </c>
      <c r="J26" s="47">
        <f t="shared" si="2"/>
        <v>95.801526717557252</v>
      </c>
      <c r="K26" s="40">
        <v>18.48</v>
      </c>
      <c r="L26" s="47">
        <f t="shared" si="3"/>
        <v>100.76335877862597</v>
      </c>
      <c r="M26" s="40">
        <v>18.73</v>
      </c>
      <c r="N26" s="47">
        <f t="shared" si="4"/>
        <v>102.12649945474372</v>
      </c>
      <c r="O26" s="40">
        <v>18.72</v>
      </c>
      <c r="P26" s="47">
        <f t="shared" si="5"/>
        <v>102.07197382769901</v>
      </c>
      <c r="Q26" s="40">
        <v>18.98</v>
      </c>
      <c r="R26" s="47">
        <f t="shared" si="6"/>
        <v>103.4896401308615</v>
      </c>
      <c r="S26" s="40">
        <v>19.8</v>
      </c>
      <c r="T26" s="47">
        <f t="shared" si="7"/>
        <v>107.96074154852782</v>
      </c>
      <c r="U26" s="40">
        <v>19.54</v>
      </c>
      <c r="V26" s="47">
        <f t="shared" si="10"/>
        <v>106.54307524536533</v>
      </c>
      <c r="W26" s="40">
        <v>19.66</v>
      </c>
      <c r="X26" s="47">
        <f t="shared" si="11"/>
        <v>107.19738276990185</v>
      </c>
      <c r="Z26" s="2" t="s">
        <v>414</v>
      </c>
      <c r="AA26" s="3" t="s">
        <v>415</v>
      </c>
      <c r="AB26" s="3" t="s">
        <v>416</v>
      </c>
      <c r="AC26" s="3" t="s">
        <v>417</v>
      </c>
      <c r="AD26" s="3" t="s">
        <v>418</v>
      </c>
      <c r="AE26" s="3" t="s">
        <v>419</v>
      </c>
    </row>
    <row r="27" spans="2:31" s="95" customFormat="1" ht="12.75" customHeight="1" x14ac:dyDescent="0.3">
      <c r="B27" s="354"/>
      <c r="C27" s="58" t="s">
        <v>393</v>
      </c>
      <c r="D27" s="55">
        <v>18.350000000000001</v>
      </c>
      <c r="E27" s="40">
        <v>17.899999999999999</v>
      </c>
      <c r="F27" s="47">
        <f t="shared" si="0"/>
        <v>97.547683923705705</v>
      </c>
      <c r="G27" s="48">
        <v>16.22</v>
      </c>
      <c r="H27" s="47">
        <f t="shared" si="1"/>
        <v>88.392370572207071</v>
      </c>
      <c r="I27" s="48">
        <v>16.940000000000001</v>
      </c>
      <c r="J27" s="47">
        <f t="shared" si="2"/>
        <v>92.31607629427792</v>
      </c>
      <c r="K27" s="40">
        <v>18.52</v>
      </c>
      <c r="L27" s="47">
        <f t="shared" si="3"/>
        <v>100.92643051771115</v>
      </c>
      <c r="M27" s="40">
        <v>18.39</v>
      </c>
      <c r="N27" s="47">
        <f t="shared" si="4"/>
        <v>100.21798365122616</v>
      </c>
      <c r="O27" s="40">
        <v>18.59</v>
      </c>
      <c r="P27" s="47">
        <f t="shared" si="5"/>
        <v>101.30790190735695</v>
      </c>
      <c r="Q27" s="40">
        <v>18.7</v>
      </c>
      <c r="R27" s="47">
        <f t="shared" si="6"/>
        <v>101.90735694822888</v>
      </c>
      <c r="S27" s="40">
        <v>19.34</v>
      </c>
      <c r="T27" s="47">
        <f t="shared" si="7"/>
        <v>105.39509536784742</v>
      </c>
      <c r="U27" s="40">
        <v>19.45</v>
      </c>
      <c r="V27" s="47">
        <f t="shared" si="10"/>
        <v>105.99455040871932</v>
      </c>
      <c r="W27" s="40">
        <v>20.329999999999998</v>
      </c>
      <c r="X27" s="47">
        <f t="shared" si="11"/>
        <v>110.79019073569481</v>
      </c>
      <c r="Z27" s="7" t="s">
        <v>424</v>
      </c>
      <c r="AA27" s="8">
        <v>-5.3979999999999997</v>
      </c>
      <c r="AB27" s="8">
        <v>2.8839999999999999</v>
      </c>
      <c r="AC27" s="8" t="s">
        <v>52</v>
      </c>
      <c r="AD27" s="8" t="s">
        <v>332</v>
      </c>
      <c r="AE27" s="8" t="s">
        <v>421</v>
      </c>
    </row>
    <row r="28" spans="2:31" s="95" customFormat="1" ht="12.75" customHeight="1" x14ac:dyDescent="0.3">
      <c r="B28" s="354"/>
      <c r="C28" s="58" t="s">
        <v>283</v>
      </c>
      <c r="D28" s="55">
        <v>17.72</v>
      </c>
      <c r="E28" s="40">
        <v>17.149999999999999</v>
      </c>
      <c r="F28" s="47">
        <f t="shared" si="0"/>
        <v>96.783295711060944</v>
      </c>
      <c r="G28" s="48">
        <v>16.34</v>
      </c>
      <c r="H28" s="47">
        <f t="shared" si="1"/>
        <v>92.212189616252829</v>
      </c>
      <c r="I28" s="48">
        <v>16.11</v>
      </c>
      <c r="J28" s="47">
        <f t="shared" si="2"/>
        <v>90.914221218961629</v>
      </c>
      <c r="K28" s="48">
        <v>16.91</v>
      </c>
      <c r="L28" s="47">
        <f t="shared" si="3"/>
        <v>95.428893905191885</v>
      </c>
      <c r="M28" s="40">
        <v>17.29</v>
      </c>
      <c r="N28" s="47">
        <f t="shared" si="4"/>
        <v>97.573363431151236</v>
      </c>
      <c r="O28" s="40">
        <v>17.32</v>
      </c>
      <c r="P28" s="47">
        <f t="shared" si="5"/>
        <v>97.742663656884886</v>
      </c>
      <c r="Q28" s="48">
        <v>15.47</v>
      </c>
      <c r="R28" s="47">
        <f t="shared" si="6"/>
        <v>87.302483069977427</v>
      </c>
      <c r="S28" s="48">
        <v>15.44</v>
      </c>
      <c r="T28" s="47">
        <f t="shared" si="7"/>
        <v>87.133182844243791</v>
      </c>
      <c r="U28" s="48">
        <v>14.06</v>
      </c>
      <c r="V28" s="50">
        <f t="shared" si="10"/>
        <v>79.34537246049662</v>
      </c>
      <c r="W28" s="49" t="s">
        <v>394</v>
      </c>
      <c r="X28" s="54"/>
      <c r="Z28" s="7" t="s">
        <v>422</v>
      </c>
      <c r="AA28" s="8">
        <v>-5.266</v>
      </c>
      <c r="AB28" s="8">
        <v>2.8140000000000001</v>
      </c>
      <c r="AC28" s="8" t="s">
        <v>52</v>
      </c>
      <c r="AD28" s="8" t="s">
        <v>332</v>
      </c>
      <c r="AE28" s="8" t="s">
        <v>423</v>
      </c>
    </row>
    <row r="29" spans="2:31" s="95" customFormat="1" ht="12.75" customHeight="1" x14ac:dyDescent="0.25">
      <c r="B29" s="354"/>
      <c r="C29" s="58" t="s">
        <v>395</v>
      </c>
      <c r="D29" s="55">
        <v>16.62</v>
      </c>
      <c r="E29" s="48">
        <v>16.66</v>
      </c>
      <c r="F29" s="47">
        <f t="shared" si="0"/>
        <v>100.24067388688327</v>
      </c>
      <c r="G29" s="48">
        <v>15.6</v>
      </c>
      <c r="H29" s="47">
        <f t="shared" si="1"/>
        <v>93.862815884476518</v>
      </c>
      <c r="I29" s="48">
        <v>15.81</v>
      </c>
      <c r="J29" s="47">
        <f t="shared" si="2"/>
        <v>95.12635379061372</v>
      </c>
      <c r="K29" s="48">
        <v>16.600000000000001</v>
      </c>
      <c r="L29" s="47">
        <f t="shared" si="3"/>
        <v>99.879663056558371</v>
      </c>
      <c r="M29" s="48">
        <v>16.27</v>
      </c>
      <c r="N29" s="47">
        <f t="shared" si="4"/>
        <v>97.894103489771354</v>
      </c>
      <c r="O29" s="40">
        <v>17.7</v>
      </c>
      <c r="P29" s="47">
        <f t="shared" si="5"/>
        <v>106.49819494584835</v>
      </c>
      <c r="Q29" s="40">
        <v>18.11</v>
      </c>
      <c r="R29" s="47">
        <f t="shared" si="6"/>
        <v>108.9651022864019</v>
      </c>
      <c r="S29" s="40">
        <v>18.22</v>
      </c>
      <c r="T29" s="47">
        <f t="shared" si="7"/>
        <v>109.62695547533092</v>
      </c>
      <c r="U29" s="40">
        <v>18.329999999999998</v>
      </c>
      <c r="V29" s="47">
        <f t="shared" si="10"/>
        <v>110.28880866425992</v>
      </c>
      <c r="W29" s="40">
        <v>18.309999999999999</v>
      </c>
      <c r="X29" s="47">
        <f t="shared" ref="X29:X30" si="12">W29/D29*100</f>
        <v>110.16847172081827</v>
      </c>
    </row>
    <row r="30" spans="2:31" s="95" customFormat="1" ht="12.75" customHeight="1" x14ac:dyDescent="0.3">
      <c r="B30" s="354"/>
      <c r="C30" s="58" t="s">
        <v>396</v>
      </c>
      <c r="D30" s="55">
        <v>17.78</v>
      </c>
      <c r="E30" s="40">
        <v>17.07</v>
      </c>
      <c r="F30" s="47">
        <f t="shared" si="0"/>
        <v>96.006749156355454</v>
      </c>
      <c r="G30" s="48">
        <v>15.78</v>
      </c>
      <c r="H30" s="47">
        <f t="shared" si="1"/>
        <v>88.75140607424072</v>
      </c>
      <c r="I30" s="48">
        <v>16.32</v>
      </c>
      <c r="J30" s="47">
        <f t="shared" si="2"/>
        <v>91.788526434195717</v>
      </c>
      <c r="K30" s="40">
        <v>17.2</v>
      </c>
      <c r="L30" s="47">
        <f t="shared" si="3"/>
        <v>96.737907761529797</v>
      </c>
      <c r="M30" s="40">
        <v>17.27</v>
      </c>
      <c r="N30" s="47">
        <f t="shared" si="4"/>
        <v>97.131608548931368</v>
      </c>
      <c r="O30" s="40">
        <v>18.07</v>
      </c>
      <c r="P30" s="47">
        <f t="shared" si="5"/>
        <v>101.63104611923508</v>
      </c>
      <c r="Q30" s="40">
        <v>18.38</v>
      </c>
      <c r="R30" s="47">
        <f t="shared" si="6"/>
        <v>103.37457817772777</v>
      </c>
      <c r="S30" s="40">
        <v>19.2</v>
      </c>
      <c r="T30" s="47">
        <f t="shared" si="7"/>
        <v>107.98650168728908</v>
      </c>
      <c r="U30" s="40">
        <v>18.690000000000001</v>
      </c>
      <c r="V30" s="47">
        <f t="shared" si="10"/>
        <v>105.11811023622046</v>
      </c>
      <c r="W30" s="40">
        <v>19.41</v>
      </c>
      <c r="X30" s="47">
        <f t="shared" si="12"/>
        <v>109.16760404949382</v>
      </c>
      <c r="Z30" s="2" t="s">
        <v>41</v>
      </c>
      <c r="AA30" s="8" t="s">
        <v>425</v>
      </c>
      <c r="AB30" s="3"/>
      <c r="AC30" s="3"/>
      <c r="AD30" s="3"/>
      <c r="AE30" s="3"/>
    </row>
    <row r="31" spans="2:31" s="95" customFormat="1" ht="12.75" customHeight="1" x14ac:dyDescent="0.3">
      <c r="B31" s="5"/>
      <c r="C31" s="264"/>
      <c r="D31" s="265" t="s">
        <v>13</v>
      </c>
      <c r="E31" s="264"/>
      <c r="F31" s="264"/>
      <c r="Z31" s="2"/>
      <c r="AA31" s="3"/>
      <c r="AB31" s="3"/>
      <c r="AC31" s="3"/>
      <c r="AD31" s="3"/>
      <c r="AE31" s="3"/>
    </row>
    <row r="32" spans="2:31" s="95" customFormat="1" ht="12.75" customHeight="1" x14ac:dyDescent="0.3">
      <c r="B32" s="5"/>
      <c r="C32" s="264"/>
      <c r="D32" s="266" t="s">
        <v>107</v>
      </c>
      <c r="E32" s="264"/>
      <c r="F32" s="264"/>
      <c r="Z32" s="2" t="s">
        <v>402</v>
      </c>
      <c r="AA32" s="3"/>
      <c r="AB32" s="3"/>
      <c r="AC32" s="3"/>
      <c r="AD32" s="3"/>
      <c r="AE32" s="3"/>
    </row>
    <row r="33" spans="2:31" s="95" customFormat="1" ht="12.75" customHeight="1" x14ac:dyDescent="0.3">
      <c r="B33" s="5"/>
      <c r="C33" s="96"/>
      <c r="D33" s="98"/>
      <c r="E33" s="98"/>
      <c r="F33" s="98"/>
      <c r="Z33" s="7" t="s">
        <v>47</v>
      </c>
      <c r="AA33" s="8">
        <v>1.8700000000000001E-2</v>
      </c>
      <c r="AB33" s="3"/>
      <c r="AC33" s="3"/>
      <c r="AD33" s="3"/>
      <c r="AE33" s="3"/>
    </row>
    <row r="34" spans="2:31" s="95" customFormat="1" ht="12.75" customHeight="1" x14ac:dyDescent="0.3">
      <c r="B34" s="5"/>
      <c r="C34" s="96"/>
      <c r="D34" s="98"/>
      <c r="E34" s="98"/>
      <c r="F34" s="98"/>
      <c r="Z34" s="7" t="s">
        <v>49</v>
      </c>
      <c r="AA34" s="8" t="s">
        <v>332</v>
      </c>
      <c r="AB34" s="3"/>
      <c r="AC34" s="3"/>
      <c r="AD34" s="3"/>
      <c r="AE34" s="3"/>
    </row>
    <row r="35" spans="2:31" s="95" customFormat="1" ht="12.75" customHeight="1" x14ac:dyDescent="0.3">
      <c r="B35" s="99" t="s">
        <v>214</v>
      </c>
      <c r="C35" s="96"/>
      <c r="D35" s="98"/>
      <c r="E35" s="98"/>
      <c r="F35" s="98"/>
      <c r="Z35" s="2" t="s">
        <v>51</v>
      </c>
      <c r="AA35" s="3" t="s">
        <v>52</v>
      </c>
      <c r="AB35" s="3"/>
      <c r="AC35" s="3"/>
      <c r="AD35" s="3"/>
      <c r="AE35" s="3"/>
    </row>
    <row r="36" spans="2:31" s="95" customFormat="1" ht="12.75" customHeight="1" x14ac:dyDescent="0.25">
      <c r="B36" s="4"/>
      <c r="C36" s="263" t="s">
        <v>72</v>
      </c>
      <c r="D36" s="263" t="s">
        <v>172</v>
      </c>
      <c r="E36" s="358" t="s">
        <v>173</v>
      </c>
      <c r="F36" s="359"/>
      <c r="G36" s="358" t="s">
        <v>102</v>
      </c>
      <c r="H36" s="359"/>
      <c r="I36" s="358" t="s">
        <v>174</v>
      </c>
      <c r="J36" s="359"/>
      <c r="K36" s="358" t="s">
        <v>103</v>
      </c>
      <c r="L36" s="359"/>
      <c r="M36" s="358" t="s">
        <v>175</v>
      </c>
      <c r="N36" s="359"/>
      <c r="O36" s="358" t="s">
        <v>74</v>
      </c>
      <c r="P36" s="359"/>
      <c r="Q36" s="358" t="s">
        <v>176</v>
      </c>
      <c r="R36" s="359"/>
      <c r="S36" s="358" t="s">
        <v>75</v>
      </c>
      <c r="T36" s="359"/>
      <c r="U36" s="358" t="s">
        <v>264</v>
      </c>
      <c r="V36" s="359"/>
      <c r="Z36" s="2" t="s">
        <v>403</v>
      </c>
      <c r="AA36" s="3">
        <v>3</v>
      </c>
      <c r="AB36" s="3"/>
      <c r="AC36" s="3"/>
      <c r="AD36" s="3"/>
      <c r="AE36" s="3"/>
    </row>
    <row r="37" spans="2:31" s="95" customFormat="1" ht="12.75" customHeight="1" x14ac:dyDescent="0.25">
      <c r="B37" s="4"/>
      <c r="C37" s="263"/>
      <c r="D37" s="263"/>
      <c r="E37" s="263"/>
      <c r="F37" s="27"/>
      <c r="G37" s="263"/>
      <c r="H37" s="27"/>
      <c r="I37" s="263"/>
      <c r="J37" s="27"/>
      <c r="K37" s="263"/>
      <c r="L37" s="27"/>
      <c r="M37" s="263"/>
      <c r="N37" s="27"/>
      <c r="O37" s="263"/>
      <c r="P37" s="27"/>
      <c r="Q37" s="263"/>
      <c r="R37" s="27"/>
      <c r="S37" s="263"/>
      <c r="T37" s="27"/>
      <c r="U37" s="263"/>
      <c r="V37" s="27"/>
      <c r="Z37" s="2" t="s">
        <v>404</v>
      </c>
      <c r="AA37" s="3">
        <v>5.65</v>
      </c>
      <c r="AB37" s="3"/>
      <c r="AC37" s="3"/>
      <c r="AD37" s="3"/>
      <c r="AE37" s="3"/>
    </row>
    <row r="38" spans="2:31" s="95" customFormat="1" ht="12.75" customHeight="1" x14ac:dyDescent="0.25">
      <c r="B38" s="354" t="s">
        <v>364</v>
      </c>
      <c r="C38" s="58" t="s">
        <v>463</v>
      </c>
      <c r="D38" s="55">
        <v>18.059999999999999</v>
      </c>
      <c r="E38" s="40">
        <v>18.05</v>
      </c>
      <c r="F38" s="47">
        <f>E38/D38*100</f>
        <v>99.944629014396469</v>
      </c>
      <c r="G38" s="40">
        <v>17.600000000000001</v>
      </c>
      <c r="H38" s="47">
        <f>G38/D38*100</f>
        <v>97.452934662236999</v>
      </c>
      <c r="I38" s="40">
        <v>17.600000000000001</v>
      </c>
      <c r="J38" s="47">
        <f>I38/D38*100</f>
        <v>97.452934662236999</v>
      </c>
      <c r="K38" s="40">
        <v>18.28</v>
      </c>
      <c r="L38" s="47">
        <f>K38/D38*100</f>
        <v>101.21816168327797</v>
      </c>
      <c r="M38" s="40">
        <v>18.600000000000001</v>
      </c>
      <c r="N38" s="47">
        <f>M38/D38*100</f>
        <v>102.99003322259136</v>
      </c>
      <c r="O38" s="40">
        <v>18.43</v>
      </c>
      <c r="P38" s="47">
        <f>O38/D38*100</f>
        <v>102.04872646733112</v>
      </c>
      <c r="Q38" s="40">
        <v>18.2</v>
      </c>
      <c r="R38" s="47">
        <f>Q38/D38*100</f>
        <v>100.77519379844961</v>
      </c>
      <c r="S38" s="40">
        <v>18.309999999999999</v>
      </c>
      <c r="T38" s="47">
        <f>S38/D38*100</f>
        <v>101.38427464008859</v>
      </c>
      <c r="U38" s="40">
        <v>18.510000000000002</v>
      </c>
      <c r="V38" s="47">
        <f>U38/D38*100</f>
        <v>102.49169435215948</v>
      </c>
      <c r="Z38" s="2" t="s">
        <v>66</v>
      </c>
      <c r="AA38" s="3">
        <v>0.48499999999999999</v>
      </c>
      <c r="AB38" s="3"/>
      <c r="AC38" s="3"/>
      <c r="AD38" s="3"/>
      <c r="AE38" s="3"/>
    </row>
    <row r="39" spans="2:31" s="95" customFormat="1" ht="12.75" customHeight="1" x14ac:dyDescent="0.25">
      <c r="B39" s="354"/>
      <c r="C39" s="58" t="s">
        <v>464</v>
      </c>
      <c r="D39" s="55">
        <v>18.350000000000001</v>
      </c>
      <c r="E39" s="40">
        <v>17.510000000000002</v>
      </c>
      <c r="F39" s="47">
        <f t="shared" ref="F39:F62" si="13">E39/D39*100</f>
        <v>95.422343324250676</v>
      </c>
      <c r="G39" s="40">
        <v>17.5</v>
      </c>
      <c r="H39" s="47">
        <f t="shared" ref="H39:H62" si="14">G39/D39*100</f>
        <v>95.367847411444131</v>
      </c>
      <c r="I39" s="40">
        <v>17.5</v>
      </c>
      <c r="J39" s="47">
        <f t="shared" ref="J39:J62" si="15">I39/D39*100</f>
        <v>95.367847411444131</v>
      </c>
      <c r="K39" s="40">
        <v>18.27</v>
      </c>
      <c r="L39" s="47">
        <f t="shared" ref="L39:L62" si="16">K39/D39*100</f>
        <v>99.564032697547674</v>
      </c>
      <c r="M39" s="40">
        <v>18.91</v>
      </c>
      <c r="N39" s="47">
        <f t="shared" ref="N39:N62" si="17">M39/D39*100</f>
        <v>103.05177111716621</v>
      </c>
      <c r="O39" s="40">
        <v>18.739999999999998</v>
      </c>
      <c r="P39" s="47">
        <f t="shared" ref="P39:P62" si="18">O39/D39*100</f>
        <v>102.12534059945501</v>
      </c>
      <c r="Q39" s="40">
        <v>18.82</v>
      </c>
      <c r="R39" s="47">
        <f t="shared" ref="R39:R62" si="19">Q39/D39*100</f>
        <v>102.56130790190736</v>
      </c>
      <c r="S39" s="40">
        <v>19.079999999999998</v>
      </c>
      <c r="T39" s="47">
        <f t="shared" ref="T39:T62" si="20">S39/D39*100</f>
        <v>103.97820163487737</v>
      </c>
      <c r="U39" s="40">
        <v>18.88</v>
      </c>
      <c r="V39" s="47">
        <f t="shared" ref="V39:V60" si="21">U39/D39*100</f>
        <v>102.88828337874658</v>
      </c>
      <c r="Z39" s="2"/>
      <c r="AA39" s="3"/>
      <c r="AB39" s="3"/>
      <c r="AC39" s="3"/>
      <c r="AD39" s="3"/>
      <c r="AE39" s="3"/>
    </row>
    <row r="40" spans="2:31" s="95" customFormat="1" ht="12.75" customHeight="1" x14ac:dyDescent="0.25">
      <c r="B40" s="354"/>
      <c r="C40" s="58" t="s">
        <v>465</v>
      </c>
      <c r="D40" s="55">
        <v>18.02</v>
      </c>
      <c r="E40" s="40">
        <v>17.82</v>
      </c>
      <c r="F40" s="47">
        <f t="shared" si="13"/>
        <v>98.890122086570486</v>
      </c>
      <c r="G40" s="40">
        <v>17.55</v>
      </c>
      <c r="H40" s="47">
        <f t="shared" si="14"/>
        <v>97.391786903440618</v>
      </c>
      <c r="I40" s="40">
        <v>17.55</v>
      </c>
      <c r="J40" s="47">
        <f t="shared" si="15"/>
        <v>97.391786903440618</v>
      </c>
      <c r="K40" s="40">
        <v>17.899999999999999</v>
      </c>
      <c r="L40" s="47">
        <f t="shared" si="16"/>
        <v>99.334073251942272</v>
      </c>
      <c r="M40" s="40">
        <v>17.86</v>
      </c>
      <c r="N40" s="47">
        <f t="shared" si="17"/>
        <v>99.112097669256386</v>
      </c>
      <c r="O40" s="40">
        <v>18.36</v>
      </c>
      <c r="P40" s="47">
        <f t="shared" si="18"/>
        <v>101.88679245283019</v>
      </c>
      <c r="Q40" s="40">
        <v>18.09</v>
      </c>
      <c r="R40" s="47">
        <f t="shared" si="19"/>
        <v>100.38845726970034</v>
      </c>
      <c r="S40" s="40">
        <v>18.559999999999999</v>
      </c>
      <c r="T40" s="47">
        <f t="shared" si="20"/>
        <v>102.99667036625971</v>
      </c>
      <c r="U40" s="40">
        <v>18.760000000000002</v>
      </c>
      <c r="V40" s="47">
        <f t="shared" si="21"/>
        <v>104.10654827968924</v>
      </c>
      <c r="Z40" s="2" t="s">
        <v>405</v>
      </c>
      <c r="AA40" s="3"/>
      <c r="AB40" s="3"/>
      <c r="AC40" s="3"/>
      <c r="AD40" s="3"/>
      <c r="AE40" s="3"/>
    </row>
    <row r="41" spans="2:31" s="95" customFormat="1" ht="12.75" customHeight="1" x14ac:dyDescent="0.25">
      <c r="B41" s="354"/>
      <c r="C41" s="58" t="s">
        <v>466</v>
      </c>
      <c r="D41" s="55">
        <v>17.45</v>
      </c>
      <c r="E41" s="40">
        <v>17.03</v>
      </c>
      <c r="F41" s="47">
        <f t="shared" si="13"/>
        <v>97.593123209169065</v>
      </c>
      <c r="G41" s="48">
        <v>16.75</v>
      </c>
      <c r="H41" s="47">
        <f t="shared" si="14"/>
        <v>95.988538681948427</v>
      </c>
      <c r="I41" s="48">
        <v>16.75</v>
      </c>
      <c r="J41" s="47">
        <f t="shared" si="15"/>
        <v>95.988538681948427</v>
      </c>
      <c r="K41" s="40">
        <v>17.559999999999999</v>
      </c>
      <c r="L41" s="47">
        <f t="shared" si="16"/>
        <v>100.63037249283668</v>
      </c>
      <c r="M41" s="40">
        <v>18.27</v>
      </c>
      <c r="N41" s="47">
        <f t="shared" si="17"/>
        <v>104.69914040114614</v>
      </c>
      <c r="O41" s="40">
        <v>17.510000000000002</v>
      </c>
      <c r="P41" s="47">
        <f t="shared" si="18"/>
        <v>100.34383954154728</v>
      </c>
      <c r="Q41" s="40">
        <v>17.559999999999999</v>
      </c>
      <c r="R41" s="47">
        <f t="shared" si="19"/>
        <v>100.63037249283668</v>
      </c>
      <c r="S41" s="40">
        <v>17.989999999999998</v>
      </c>
      <c r="T41" s="47">
        <f t="shared" si="20"/>
        <v>103.09455587392549</v>
      </c>
      <c r="U41" s="40">
        <v>17.739999999999998</v>
      </c>
      <c r="V41" s="47">
        <f t="shared" si="21"/>
        <v>101.6618911174785</v>
      </c>
      <c r="Z41" s="2" t="s">
        <v>406</v>
      </c>
      <c r="AA41" s="3">
        <v>1.5269999999999999</v>
      </c>
      <c r="AB41" s="3"/>
      <c r="AC41" s="3"/>
      <c r="AD41" s="3"/>
      <c r="AE41" s="3"/>
    </row>
    <row r="42" spans="2:31" s="95" customFormat="1" ht="12.75" customHeight="1" x14ac:dyDescent="0.25">
      <c r="B42" s="354"/>
      <c r="C42" s="58" t="s">
        <v>467</v>
      </c>
      <c r="D42" s="55">
        <v>17.7</v>
      </c>
      <c r="E42" s="40">
        <v>17.239999999999998</v>
      </c>
      <c r="F42" s="47">
        <f t="shared" si="13"/>
        <v>97.401129943502823</v>
      </c>
      <c r="G42" s="48">
        <v>16.95</v>
      </c>
      <c r="H42" s="47">
        <f t="shared" si="14"/>
        <v>95.762711864406782</v>
      </c>
      <c r="I42" s="48">
        <v>16.95</v>
      </c>
      <c r="J42" s="47">
        <f t="shared" si="15"/>
        <v>95.762711864406782</v>
      </c>
      <c r="K42" s="40">
        <v>17.690000000000001</v>
      </c>
      <c r="L42" s="47">
        <f t="shared" si="16"/>
        <v>99.943502824858768</v>
      </c>
      <c r="M42" s="40">
        <v>18.54</v>
      </c>
      <c r="N42" s="47">
        <f t="shared" si="17"/>
        <v>104.7457627118644</v>
      </c>
      <c r="O42" s="40">
        <v>17.88</v>
      </c>
      <c r="P42" s="47">
        <f t="shared" si="18"/>
        <v>101.01694915254238</v>
      </c>
      <c r="Q42" s="40">
        <v>17.82</v>
      </c>
      <c r="R42" s="47">
        <f t="shared" si="19"/>
        <v>100.67796610169492</v>
      </c>
      <c r="S42" s="40">
        <v>17.75</v>
      </c>
      <c r="T42" s="47">
        <f t="shared" si="20"/>
        <v>100.28248587570623</v>
      </c>
      <c r="U42" s="40">
        <v>17.920000000000002</v>
      </c>
      <c r="V42" s="47">
        <f t="shared" si="21"/>
        <v>101.24293785310736</v>
      </c>
      <c r="Z42" s="2" t="s">
        <v>47</v>
      </c>
      <c r="AA42" s="3">
        <v>0.46610000000000001</v>
      </c>
      <c r="AB42" s="3"/>
      <c r="AC42" s="3"/>
      <c r="AD42" s="3"/>
      <c r="AE42" s="3"/>
    </row>
    <row r="43" spans="2:31" s="95" customFormat="1" ht="12.75" customHeight="1" x14ac:dyDescent="0.25">
      <c r="B43" s="366" t="s">
        <v>365</v>
      </c>
      <c r="C43" s="58" t="s">
        <v>468</v>
      </c>
      <c r="D43" s="55">
        <v>17.59</v>
      </c>
      <c r="E43" s="48">
        <v>16.61</v>
      </c>
      <c r="F43" s="47">
        <f t="shared" si="13"/>
        <v>94.42865264354748</v>
      </c>
      <c r="G43" s="48">
        <v>15.19</v>
      </c>
      <c r="H43" s="47">
        <f t="shared" si="14"/>
        <v>86.355884025014205</v>
      </c>
      <c r="I43" s="48">
        <v>15.19</v>
      </c>
      <c r="J43" s="47">
        <f t="shared" si="15"/>
        <v>86.355884025014205</v>
      </c>
      <c r="K43" s="48">
        <v>15.5</v>
      </c>
      <c r="L43" s="47">
        <f t="shared" si="16"/>
        <v>88.118249005116539</v>
      </c>
      <c r="M43" s="48">
        <v>15.28</v>
      </c>
      <c r="N43" s="47">
        <f t="shared" si="17"/>
        <v>86.867538374076176</v>
      </c>
      <c r="O43" s="48">
        <v>16.440000000000001</v>
      </c>
      <c r="P43" s="47">
        <f t="shared" si="18"/>
        <v>93.462194428652651</v>
      </c>
      <c r="Q43" s="48">
        <v>16.04</v>
      </c>
      <c r="R43" s="47">
        <f t="shared" si="19"/>
        <v>91.188175099488348</v>
      </c>
      <c r="S43" s="48">
        <v>16.28</v>
      </c>
      <c r="T43" s="47">
        <f t="shared" si="20"/>
        <v>92.552586696986921</v>
      </c>
      <c r="U43" s="48">
        <v>15.91</v>
      </c>
      <c r="V43" s="47">
        <f t="shared" si="21"/>
        <v>90.449118817509955</v>
      </c>
      <c r="Z43" s="2" t="s">
        <v>49</v>
      </c>
      <c r="AA43" s="3" t="s">
        <v>203</v>
      </c>
      <c r="AB43" s="3"/>
      <c r="AC43" s="3"/>
      <c r="AD43" s="3"/>
      <c r="AE43" s="3"/>
    </row>
    <row r="44" spans="2:31" s="95" customFormat="1" ht="12.75" customHeight="1" x14ac:dyDescent="0.25">
      <c r="B44" s="366"/>
      <c r="C44" s="58" t="s">
        <v>469</v>
      </c>
      <c r="D44" s="55">
        <v>17.600000000000001</v>
      </c>
      <c r="E44" s="48">
        <v>16.73</v>
      </c>
      <c r="F44" s="47">
        <f t="shared" si="13"/>
        <v>95.056818181818187</v>
      </c>
      <c r="G44" s="48">
        <v>15.31</v>
      </c>
      <c r="H44" s="47">
        <f t="shared" si="14"/>
        <v>86.98863636363636</v>
      </c>
      <c r="I44" s="48">
        <v>15.31</v>
      </c>
      <c r="J44" s="47">
        <f t="shared" si="15"/>
        <v>86.98863636363636</v>
      </c>
      <c r="K44" s="48">
        <v>16.52</v>
      </c>
      <c r="L44" s="47">
        <f t="shared" si="16"/>
        <v>93.863636363636346</v>
      </c>
      <c r="M44" s="48">
        <v>16.79</v>
      </c>
      <c r="N44" s="47">
        <f t="shared" si="17"/>
        <v>95.397727272727266</v>
      </c>
      <c r="O44" s="40">
        <v>18.07</v>
      </c>
      <c r="P44" s="47">
        <f t="shared" si="18"/>
        <v>102.67045454545453</v>
      </c>
      <c r="Q44" s="40">
        <v>17.86</v>
      </c>
      <c r="R44" s="47">
        <f t="shared" si="19"/>
        <v>101.47727272727272</v>
      </c>
      <c r="S44" s="40">
        <v>18.36</v>
      </c>
      <c r="T44" s="47">
        <f t="shared" si="20"/>
        <v>104.3181818181818</v>
      </c>
      <c r="U44" s="40">
        <v>18.579999999999998</v>
      </c>
      <c r="V44" s="47">
        <f t="shared" si="21"/>
        <v>105.5681818181818</v>
      </c>
      <c r="Z44" s="2" t="s">
        <v>407</v>
      </c>
      <c r="AA44" s="3" t="s">
        <v>204</v>
      </c>
      <c r="AB44" s="3"/>
      <c r="AC44" s="3"/>
      <c r="AD44" s="3"/>
      <c r="AE44" s="3"/>
    </row>
    <row r="45" spans="2:31" s="95" customFormat="1" ht="12.75" customHeight="1" x14ac:dyDescent="0.25">
      <c r="B45" s="366"/>
      <c r="C45" s="58" t="s">
        <v>470</v>
      </c>
      <c r="D45" s="55">
        <v>17.495000000000001</v>
      </c>
      <c r="E45" s="48">
        <v>16.5975</v>
      </c>
      <c r="F45" s="47">
        <f t="shared" si="13"/>
        <v>94.869962846527585</v>
      </c>
      <c r="G45" s="48">
        <v>15.077500000000001</v>
      </c>
      <c r="H45" s="47">
        <f t="shared" si="14"/>
        <v>86.181766218919691</v>
      </c>
      <c r="I45" s="48">
        <v>15.077500000000001</v>
      </c>
      <c r="J45" s="47">
        <f t="shared" si="15"/>
        <v>86.181766218919691</v>
      </c>
      <c r="K45" s="48">
        <v>15.83</v>
      </c>
      <c r="L45" s="47">
        <f t="shared" si="16"/>
        <v>90.48299514146899</v>
      </c>
      <c r="M45" s="48">
        <v>16.23</v>
      </c>
      <c r="N45" s="47">
        <f t="shared" si="17"/>
        <v>92.769362675050019</v>
      </c>
      <c r="O45" s="40">
        <v>18.66</v>
      </c>
      <c r="P45" s="47">
        <f t="shared" si="18"/>
        <v>106.65904544155474</v>
      </c>
      <c r="Q45" s="40">
        <v>18.78</v>
      </c>
      <c r="R45" s="47">
        <f t="shared" si="19"/>
        <v>107.34495570162903</v>
      </c>
      <c r="S45" s="40">
        <v>18.940000000000001</v>
      </c>
      <c r="T45" s="47">
        <f t="shared" si="20"/>
        <v>108.25950271506144</v>
      </c>
      <c r="U45" s="40">
        <v>19.39</v>
      </c>
      <c r="V45" s="47">
        <f t="shared" si="21"/>
        <v>110.83166619034009</v>
      </c>
      <c r="Z45" s="2"/>
      <c r="AA45" s="3"/>
      <c r="AB45" s="3"/>
      <c r="AC45" s="3"/>
      <c r="AD45" s="3"/>
      <c r="AE45" s="3"/>
    </row>
    <row r="46" spans="2:31" s="95" customFormat="1" ht="12.75" customHeight="1" x14ac:dyDescent="0.25">
      <c r="B46" s="366"/>
      <c r="C46" s="58" t="s">
        <v>471</v>
      </c>
      <c r="D46" s="55">
        <v>17.57</v>
      </c>
      <c r="E46" s="48">
        <v>16.7</v>
      </c>
      <c r="F46" s="47">
        <f t="shared" si="13"/>
        <v>95.048377916903803</v>
      </c>
      <c r="G46" s="48">
        <v>15.03</v>
      </c>
      <c r="H46" s="47">
        <f t="shared" si="14"/>
        <v>85.543540125213426</v>
      </c>
      <c r="I46" s="48">
        <v>15.03</v>
      </c>
      <c r="J46" s="47">
        <f t="shared" si="15"/>
        <v>85.543540125213426</v>
      </c>
      <c r="K46" s="48">
        <v>16.12</v>
      </c>
      <c r="L46" s="47">
        <f t="shared" si="16"/>
        <v>91.747296528173024</v>
      </c>
      <c r="M46" s="48">
        <v>16.93</v>
      </c>
      <c r="N46" s="47">
        <f t="shared" si="17"/>
        <v>96.357427433124641</v>
      </c>
      <c r="O46" s="40">
        <v>17.399999999999999</v>
      </c>
      <c r="P46" s="47">
        <f t="shared" si="18"/>
        <v>99.032441661923727</v>
      </c>
      <c r="Q46" s="40">
        <v>17.22</v>
      </c>
      <c r="R46" s="47">
        <f t="shared" si="19"/>
        <v>98.007968127490031</v>
      </c>
      <c r="S46" s="48">
        <v>16.649999999999999</v>
      </c>
      <c r="T46" s="47">
        <f t="shared" si="20"/>
        <v>94.763801935116661</v>
      </c>
      <c r="U46" s="48">
        <v>15.8</v>
      </c>
      <c r="V46" s="47">
        <f t="shared" si="21"/>
        <v>89.926010244735338</v>
      </c>
      <c r="Z46" s="2" t="s">
        <v>408</v>
      </c>
      <c r="AA46" s="3" t="s">
        <v>409</v>
      </c>
      <c r="AB46" s="3" t="s">
        <v>143</v>
      </c>
      <c r="AC46" s="3" t="s">
        <v>410</v>
      </c>
      <c r="AD46" s="3"/>
      <c r="AE46" s="3"/>
    </row>
    <row r="47" spans="2:31" s="95" customFormat="1" ht="12.75" customHeight="1" x14ac:dyDescent="0.25">
      <c r="B47" s="366"/>
      <c r="C47" s="58" t="s">
        <v>472</v>
      </c>
      <c r="D47" s="55">
        <v>17.22</v>
      </c>
      <c r="E47" s="48">
        <v>16.350000000000001</v>
      </c>
      <c r="F47" s="47">
        <f t="shared" si="13"/>
        <v>94.947735191637648</v>
      </c>
      <c r="G47" s="48">
        <v>14.78</v>
      </c>
      <c r="H47" s="47">
        <f t="shared" si="14"/>
        <v>85.830429732868765</v>
      </c>
      <c r="I47" s="48">
        <v>14.78</v>
      </c>
      <c r="J47" s="47">
        <f t="shared" si="15"/>
        <v>85.830429732868765</v>
      </c>
      <c r="K47" s="48">
        <v>15.2</v>
      </c>
      <c r="L47" s="47">
        <f t="shared" si="16"/>
        <v>88.269454123112652</v>
      </c>
      <c r="M47" s="48">
        <v>15.93</v>
      </c>
      <c r="N47" s="47">
        <f t="shared" si="17"/>
        <v>92.508710801393732</v>
      </c>
      <c r="O47" s="48">
        <v>16.78</v>
      </c>
      <c r="P47" s="47">
        <f t="shared" si="18"/>
        <v>97.44483159117307</v>
      </c>
      <c r="Q47" s="40">
        <v>17.440000000000001</v>
      </c>
      <c r="R47" s="47">
        <f t="shared" si="19"/>
        <v>101.27758420441349</v>
      </c>
      <c r="S47" s="40">
        <v>17.649999999999999</v>
      </c>
      <c r="T47" s="47">
        <f t="shared" si="20"/>
        <v>102.49709639953541</v>
      </c>
      <c r="U47" s="40">
        <v>17.64</v>
      </c>
      <c r="V47" s="47">
        <f t="shared" si="21"/>
        <v>102.4390243902439</v>
      </c>
      <c r="Z47" s="2" t="s">
        <v>411</v>
      </c>
      <c r="AA47" s="3">
        <v>161.19999999999999</v>
      </c>
      <c r="AB47" s="3">
        <v>2</v>
      </c>
      <c r="AC47" s="3">
        <v>80.599999999999994</v>
      </c>
      <c r="AD47" s="3"/>
      <c r="AE47" s="3"/>
    </row>
    <row r="48" spans="2:31" s="95" customFormat="1" ht="12.75" customHeight="1" x14ac:dyDescent="0.25">
      <c r="B48" s="366" t="s">
        <v>862</v>
      </c>
      <c r="C48" s="58" t="s">
        <v>473</v>
      </c>
      <c r="D48" s="55">
        <v>17</v>
      </c>
      <c r="E48" s="48">
        <v>15.93</v>
      </c>
      <c r="F48" s="47">
        <f t="shared" si="13"/>
        <v>93.705882352941174</v>
      </c>
      <c r="G48" s="48">
        <v>14.52</v>
      </c>
      <c r="H48" s="47">
        <f t="shared" si="14"/>
        <v>85.411764705882348</v>
      </c>
      <c r="I48" s="48">
        <v>14.52</v>
      </c>
      <c r="J48" s="47">
        <f t="shared" si="15"/>
        <v>85.411764705882348</v>
      </c>
      <c r="K48" s="48">
        <v>15.86</v>
      </c>
      <c r="L48" s="47">
        <f t="shared" si="16"/>
        <v>93.294117647058812</v>
      </c>
      <c r="M48" s="48">
        <v>16.190000000000001</v>
      </c>
      <c r="N48" s="47">
        <f t="shared" si="17"/>
        <v>95.235294117647058</v>
      </c>
      <c r="O48" s="48">
        <v>16.7</v>
      </c>
      <c r="P48" s="47">
        <f t="shared" si="18"/>
        <v>98.235294117647058</v>
      </c>
      <c r="Q48" s="48">
        <v>16.739999999999998</v>
      </c>
      <c r="R48" s="47">
        <f t="shared" si="19"/>
        <v>98.470588235294116</v>
      </c>
      <c r="S48" s="48">
        <v>15.85</v>
      </c>
      <c r="T48" s="47">
        <f t="shared" si="20"/>
        <v>93.235294117647058</v>
      </c>
      <c r="U48" s="48">
        <v>15.41</v>
      </c>
      <c r="V48" s="47">
        <f t="shared" si="21"/>
        <v>90.64705882352942</v>
      </c>
      <c r="Z48" s="2" t="s">
        <v>412</v>
      </c>
      <c r="AA48" s="3">
        <v>171.2</v>
      </c>
      <c r="AB48" s="3">
        <v>12</v>
      </c>
      <c r="AC48" s="3">
        <v>14.27</v>
      </c>
      <c r="AD48" s="3"/>
      <c r="AE48" s="3"/>
    </row>
    <row r="49" spans="2:31" s="95" customFormat="1" ht="12.75" customHeight="1" x14ac:dyDescent="0.25">
      <c r="B49" s="366"/>
      <c r="C49" s="58" t="s">
        <v>474</v>
      </c>
      <c r="D49" s="55">
        <v>17.010000000000002</v>
      </c>
      <c r="E49" s="48">
        <v>15.9</v>
      </c>
      <c r="F49" s="47">
        <f t="shared" si="13"/>
        <v>93.474426807760139</v>
      </c>
      <c r="G49" s="48">
        <v>14.32</v>
      </c>
      <c r="H49" s="47">
        <f t="shared" si="14"/>
        <v>84.185773074661967</v>
      </c>
      <c r="I49" s="48">
        <v>14.32</v>
      </c>
      <c r="J49" s="47">
        <f t="shared" si="15"/>
        <v>84.185773074661967</v>
      </c>
      <c r="K49" s="48">
        <v>16.43</v>
      </c>
      <c r="L49" s="47">
        <f t="shared" si="16"/>
        <v>96.590241034685462</v>
      </c>
      <c r="M49" s="48">
        <v>16.34</v>
      </c>
      <c r="N49" s="47">
        <f t="shared" si="17"/>
        <v>96.061140505584945</v>
      </c>
      <c r="O49" s="48">
        <v>15.71</v>
      </c>
      <c r="P49" s="47">
        <f t="shared" si="18"/>
        <v>92.357436801881249</v>
      </c>
      <c r="Q49" s="48">
        <v>13.9</v>
      </c>
      <c r="R49" s="47">
        <f t="shared" si="19"/>
        <v>81.716637272192827</v>
      </c>
      <c r="S49" s="48">
        <v>12.8</v>
      </c>
      <c r="T49" s="47">
        <f t="shared" si="20"/>
        <v>75.249853027630792</v>
      </c>
      <c r="U49" s="48">
        <v>11.47</v>
      </c>
      <c r="V49" s="50">
        <f t="shared" si="21"/>
        <v>67.430922986478535</v>
      </c>
      <c r="Z49" s="2" t="s">
        <v>413</v>
      </c>
      <c r="AA49" s="3">
        <v>332.4</v>
      </c>
      <c r="AB49" s="3">
        <v>14</v>
      </c>
      <c r="AC49" s="3"/>
      <c r="AD49" s="3"/>
      <c r="AE49" s="3"/>
    </row>
    <row r="50" spans="2:31" s="95" customFormat="1" ht="12.75" customHeight="1" x14ac:dyDescent="0.25">
      <c r="B50" s="366"/>
      <c r="C50" s="58" t="s">
        <v>475</v>
      </c>
      <c r="D50" s="55">
        <v>17.260000000000002</v>
      </c>
      <c r="E50" s="48">
        <v>15.92</v>
      </c>
      <c r="F50" s="47">
        <f t="shared" si="13"/>
        <v>92.236384704519111</v>
      </c>
      <c r="G50" s="48">
        <v>14.56</v>
      </c>
      <c r="H50" s="47">
        <f t="shared" si="14"/>
        <v>84.356894553881801</v>
      </c>
      <c r="I50" s="48">
        <v>14.56</v>
      </c>
      <c r="J50" s="47">
        <f t="shared" si="15"/>
        <v>84.356894553881801</v>
      </c>
      <c r="K50" s="48">
        <v>15.87</v>
      </c>
      <c r="L50" s="47">
        <f t="shared" si="16"/>
        <v>91.946697566628032</v>
      </c>
      <c r="M50" s="48">
        <v>16.18</v>
      </c>
      <c r="N50" s="47">
        <f t="shared" si="17"/>
        <v>93.742757821552715</v>
      </c>
      <c r="O50" s="48">
        <v>16.739999999999998</v>
      </c>
      <c r="P50" s="47">
        <f t="shared" si="18"/>
        <v>96.987253765932778</v>
      </c>
      <c r="Q50" s="48">
        <v>16.829999999999998</v>
      </c>
      <c r="R50" s="47">
        <f t="shared" si="19"/>
        <v>97.508690614136711</v>
      </c>
      <c r="S50" s="48">
        <v>15.38</v>
      </c>
      <c r="T50" s="47">
        <f t="shared" si="20"/>
        <v>89.107763615295482</v>
      </c>
      <c r="U50" s="48">
        <v>14.87</v>
      </c>
      <c r="V50" s="47">
        <f t="shared" si="21"/>
        <v>86.152954808806484</v>
      </c>
      <c r="Z50" s="2"/>
      <c r="AA50" s="3"/>
      <c r="AB50" s="3"/>
      <c r="AC50" s="3"/>
      <c r="AD50" s="3"/>
      <c r="AE50" s="3"/>
    </row>
    <row r="51" spans="2:31" s="95" customFormat="1" ht="12.75" customHeight="1" x14ac:dyDescent="0.25">
      <c r="B51" s="366"/>
      <c r="C51" s="58" t="s">
        <v>476</v>
      </c>
      <c r="D51" s="55">
        <v>17.89</v>
      </c>
      <c r="E51" s="40">
        <v>17.510000000000002</v>
      </c>
      <c r="F51" s="47">
        <f t="shared" si="13"/>
        <v>97.875908328675237</v>
      </c>
      <c r="G51" s="48">
        <v>16.03</v>
      </c>
      <c r="H51" s="47">
        <f t="shared" si="14"/>
        <v>89.603130240357743</v>
      </c>
      <c r="I51" s="48">
        <v>16.03</v>
      </c>
      <c r="J51" s="47">
        <f t="shared" si="15"/>
        <v>89.603130240357743</v>
      </c>
      <c r="K51" s="40">
        <v>17.37</v>
      </c>
      <c r="L51" s="47">
        <f t="shared" si="16"/>
        <v>97.093348239239802</v>
      </c>
      <c r="M51" s="40">
        <v>18.2</v>
      </c>
      <c r="N51" s="47">
        <f t="shared" si="17"/>
        <v>101.73281162660703</v>
      </c>
      <c r="O51" s="40">
        <v>18.260000000000002</v>
      </c>
      <c r="P51" s="47">
        <f t="shared" si="18"/>
        <v>102.06819452207938</v>
      </c>
      <c r="Q51" s="40">
        <v>18.39</v>
      </c>
      <c r="R51" s="47">
        <f t="shared" si="19"/>
        <v>102.79485746226942</v>
      </c>
      <c r="S51" s="48">
        <v>15.13</v>
      </c>
      <c r="T51" s="47">
        <f t="shared" si="20"/>
        <v>84.572386808272782</v>
      </c>
      <c r="U51" s="48">
        <v>14.62</v>
      </c>
      <c r="V51" s="47">
        <f t="shared" si="21"/>
        <v>81.721632196757952</v>
      </c>
      <c r="Z51" s="2" t="s">
        <v>414</v>
      </c>
      <c r="AA51" s="3" t="s">
        <v>415</v>
      </c>
      <c r="AB51" s="3" t="s">
        <v>416</v>
      </c>
      <c r="AC51" s="3" t="s">
        <v>417</v>
      </c>
      <c r="AD51" s="3" t="s">
        <v>418</v>
      </c>
      <c r="AE51" s="3" t="s">
        <v>419</v>
      </c>
    </row>
    <row r="52" spans="2:31" s="95" customFormat="1" ht="12.75" customHeight="1" x14ac:dyDescent="0.25">
      <c r="B52" s="366"/>
      <c r="C52" s="58" t="s">
        <v>477</v>
      </c>
      <c r="D52" s="55">
        <v>17.52</v>
      </c>
      <c r="E52" s="48">
        <v>16.7</v>
      </c>
      <c r="F52" s="47">
        <f t="shared" si="13"/>
        <v>95.319634703196343</v>
      </c>
      <c r="G52" s="48">
        <v>16.510000000000002</v>
      </c>
      <c r="H52" s="47">
        <f t="shared" si="14"/>
        <v>94.235159817351615</v>
      </c>
      <c r="I52" s="48">
        <v>16.510000000000002</v>
      </c>
      <c r="J52" s="47">
        <f t="shared" si="15"/>
        <v>94.235159817351615</v>
      </c>
      <c r="K52" s="40">
        <v>17.66</v>
      </c>
      <c r="L52" s="47">
        <f t="shared" si="16"/>
        <v>100.79908675799088</v>
      </c>
      <c r="M52" s="40">
        <v>17.12</v>
      </c>
      <c r="N52" s="47">
        <f t="shared" si="17"/>
        <v>97.716894977168948</v>
      </c>
      <c r="O52" s="40">
        <v>17.07</v>
      </c>
      <c r="P52" s="47">
        <f t="shared" si="18"/>
        <v>97.43150684931507</v>
      </c>
      <c r="Q52" s="40">
        <v>17.260000000000002</v>
      </c>
      <c r="R52" s="47">
        <f t="shared" si="19"/>
        <v>98.515981735159826</v>
      </c>
      <c r="S52" s="40">
        <v>17.559999999999999</v>
      </c>
      <c r="T52" s="47">
        <f t="shared" si="20"/>
        <v>100.22831050228309</v>
      </c>
      <c r="U52" s="40">
        <v>18.36</v>
      </c>
      <c r="V52" s="47">
        <f t="shared" si="21"/>
        <v>104.7945205479452</v>
      </c>
      <c r="Z52" s="2" t="s">
        <v>420</v>
      </c>
      <c r="AA52" s="3">
        <v>-5.476</v>
      </c>
      <c r="AB52" s="3">
        <v>2.2919999999999998</v>
      </c>
      <c r="AC52" s="3" t="s">
        <v>204</v>
      </c>
      <c r="AD52" s="3" t="s">
        <v>203</v>
      </c>
      <c r="AE52" s="3" t="s">
        <v>426</v>
      </c>
    </row>
    <row r="53" spans="2:31" s="95" customFormat="1" ht="12.75" customHeight="1" x14ac:dyDescent="0.3">
      <c r="B53" s="366" t="s">
        <v>863</v>
      </c>
      <c r="C53" s="58" t="s">
        <v>478</v>
      </c>
      <c r="D53" s="55">
        <v>18.04</v>
      </c>
      <c r="E53" s="48">
        <v>16.93</v>
      </c>
      <c r="F53" s="47">
        <f t="shared" si="13"/>
        <v>93.847006651884698</v>
      </c>
      <c r="G53" s="48">
        <v>15.57</v>
      </c>
      <c r="H53" s="47">
        <f t="shared" si="14"/>
        <v>86.308203991130824</v>
      </c>
      <c r="I53" s="48">
        <v>15.57</v>
      </c>
      <c r="J53" s="47">
        <f t="shared" si="15"/>
        <v>86.308203991130824</v>
      </c>
      <c r="K53" s="40">
        <v>17.010000000000002</v>
      </c>
      <c r="L53" s="47">
        <f t="shared" si="16"/>
        <v>94.290465631929052</v>
      </c>
      <c r="M53" s="48">
        <v>16.72</v>
      </c>
      <c r="N53" s="47">
        <f t="shared" si="17"/>
        <v>92.682926829268283</v>
      </c>
      <c r="O53" s="40">
        <v>18.329999999999998</v>
      </c>
      <c r="P53" s="47">
        <f t="shared" si="18"/>
        <v>101.60753880266076</v>
      </c>
      <c r="Q53" s="40">
        <v>19.21</v>
      </c>
      <c r="R53" s="47">
        <f t="shared" si="19"/>
        <v>106.48558758314857</v>
      </c>
      <c r="S53" s="40">
        <v>18.86</v>
      </c>
      <c r="T53" s="47">
        <f t="shared" si="20"/>
        <v>104.54545454545455</v>
      </c>
      <c r="U53" s="40">
        <v>19.18</v>
      </c>
      <c r="V53" s="47">
        <f t="shared" si="21"/>
        <v>106.31929046563194</v>
      </c>
      <c r="Z53" s="7" t="s">
        <v>422</v>
      </c>
      <c r="AA53" s="8">
        <v>-7.8239999999999998</v>
      </c>
      <c r="AB53" s="8">
        <v>3.2749999999999999</v>
      </c>
      <c r="AC53" s="8" t="s">
        <v>52</v>
      </c>
      <c r="AD53" s="8" t="s">
        <v>332</v>
      </c>
      <c r="AE53" s="8" t="s">
        <v>427</v>
      </c>
    </row>
    <row r="54" spans="2:31" s="95" customFormat="1" ht="12.75" customHeight="1" x14ac:dyDescent="0.25">
      <c r="B54" s="366"/>
      <c r="C54" s="58" t="s">
        <v>479</v>
      </c>
      <c r="D54" s="55">
        <v>18.32</v>
      </c>
      <c r="E54" s="40">
        <v>17.100000000000001</v>
      </c>
      <c r="F54" s="47">
        <f t="shared" si="13"/>
        <v>93.340611353711793</v>
      </c>
      <c r="G54" s="48">
        <v>15.8</v>
      </c>
      <c r="H54" s="47">
        <f t="shared" si="14"/>
        <v>86.244541484716166</v>
      </c>
      <c r="I54" s="48">
        <v>15.8</v>
      </c>
      <c r="J54" s="47">
        <f t="shared" si="15"/>
        <v>86.244541484716166</v>
      </c>
      <c r="K54" s="48">
        <v>16.239999999999998</v>
      </c>
      <c r="L54" s="47">
        <f t="shared" si="16"/>
        <v>88.646288209606965</v>
      </c>
      <c r="M54" s="48">
        <v>16.13</v>
      </c>
      <c r="N54" s="47">
        <f t="shared" si="17"/>
        <v>88.045851528384276</v>
      </c>
      <c r="O54" s="48">
        <v>16.79</v>
      </c>
      <c r="P54" s="47">
        <f t="shared" si="18"/>
        <v>91.648471615720524</v>
      </c>
      <c r="Q54" s="48">
        <v>16.82</v>
      </c>
      <c r="R54" s="47">
        <f t="shared" si="19"/>
        <v>91.812227074235807</v>
      </c>
      <c r="S54" s="40">
        <v>17.23</v>
      </c>
      <c r="T54" s="47">
        <f t="shared" si="20"/>
        <v>94.050218340611352</v>
      </c>
      <c r="U54" s="40">
        <v>17.59</v>
      </c>
      <c r="V54" s="47">
        <f t="shared" si="21"/>
        <v>96.015283842794759</v>
      </c>
    </row>
    <row r="55" spans="2:31" s="95" customFormat="1" ht="12.75" customHeight="1" x14ac:dyDescent="0.25">
      <c r="B55" s="366"/>
      <c r="C55" s="58" t="s">
        <v>480</v>
      </c>
      <c r="D55" s="55">
        <v>17.41</v>
      </c>
      <c r="E55" s="48">
        <v>16.350000000000001</v>
      </c>
      <c r="F55" s="47">
        <f t="shared" si="13"/>
        <v>93.911545089029303</v>
      </c>
      <c r="G55" s="48">
        <v>14.99</v>
      </c>
      <c r="H55" s="47">
        <f t="shared" si="14"/>
        <v>86.099942561746118</v>
      </c>
      <c r="I55" s="48">
        <v>14.99</v>
      </c>
      <c r="J55" s="47">
        <f t="shared" si="15"/>
        <v>86.099942561746118</v>
      </c>
      <c r="K55" s="48">
        <v>15.24</v>
      </c>
      <c r="L55" s="47">
        <f t="shared" si="16"/>
        <v>87.535898908673175</v>
      </c>
      <c r="M55" s="48">
        <v>14.95</v>
      </c>
      <c r="N55" s="47">
        <f t="shared" si="17"/>
        <v>85.870189546237782</v>
      </c>
      <c r="O55" s="48">
        <v>14.83</v>
      </c>
      <c r="P55" s="47">
        <f t="shared" si="18"/>
        <v>85.180930499712801</v>
      </c>
      <c r="Q55" s="48">
        <v>14.42</v>
      </c>
      <c r="R55" s="47">
        <f t="shared" si="19"/>
        <v>82.825962090752441</v>
      </c>
      <c r="S55" s="48">
        <v>12.39</v>
      </c>
      <c r="T55" s="47">
        <f t="shared" si="20"/>
        <v>71.165996553704773</v>
      </c>
      <c r="U55" s="48">
        <v>11.52</v>
      </c>
      <c r="V55" s="50">
        <f t="shared" si="21"/>
        <v>66.168868466398621</v>
      </c>
    </row>
    <row r="56" spans="2:31" s="95" customFormat="1" ht="12.75" customHeight="1" x14ac:dyDescent="0.25">
      <c r="B56" s="366"/>
      <c r="C56" s="58" t="s">
        <v>481</v>
      </c>
      <c r="D56" s="55">
        <v>18.09</v>
      </c>
      <c r="E56" s="40">
        <v>17.3</v>
      </c>
      <c r="F56" s="47">
        <f t="shared" si="13"/>
        <v>95.632946379215042</v>
      </c>
      <c r="G56" s="48">
        <v>15.6</v>
      </c>
      <c r="H56" s="47">
        <f t="shared" si="14"/>
        <v>86.235489220563849</v>
      </c>
      <c r="I56" s="48">
        <v>15.6</v>
      </c>
      <c r="J56" s="47">
        <f t="shared" si="15"/>
        <v>86.235489220563849</v>
      </c>
      <c r="K56" s="48">
        <v>16.170000000000002</v>
      </c>
      <c r="L56" s="47">
        <f t="shared" si="16"/>
        <v>89.386401326699854</v>
      </c>
      <c r="M56" s="48">
        <v>15.85</v>
      </c>
      <c r="N56" s="47">
        <f t="shared" si="17"/>
        <v>87.617468214483139</v>
      </c>
      <c r="O56" s="48">
        <v>16.8</v>
      </c>
      <c r="P56" s="47">
        <f t="shared" si="18"/>
        <v>92.868988391376448</v>
      </c>
      <c r="Q56" s="48">
        <v>16.989999999999998</v>
      </c>
      <c r="R56" s="47">
        <f t="shared" si="19"/>
        <v>93.919292426755106</v>
      </c>
      <c r="S56" s="48">
        <v>16.36</v>
      </c>
      <c r="T56" s="47">
        <f t="shared" si="20"/>
        <v>90.436705362078499</v>
      </c>
      <c r="U56" s="48">
        <v>15.89</v>
      </c>
      <c r="V56" s="47">
        <f t="shared" si="21"/>
        <v>87.838584853510227</v>
      </c>
    </row>
    <row r="57" spans="2:31" s="95" customFormat="1" ht="12.75" customHeight="1" x14ac:dyDescent="0.25">
      <c r="B57" s="366"/>
      <c r="C57" s="58" t="s">
        <v>482</v>
      </c>
      <c r="D57" s="55">
        <v>17.86</v>
      </c>
      <c r="E57" s="48">
        <v>15.98</v>
      </c>
      <c r="F57" s="47">
        <f t="shared" si="13"/>
        <v>89.473684210526315</v>
      </c>
      <c r="G57" s="48">
        <v>14.52</v>
      </c>
      <c r="H57" s="47">
        <f t="shared" si="14"/>
        <v>81.298992161254205</v>
      </c>
      <c r="I57" s="48">
        <v>14.52</v>
      </c>
      <c r="J57" s="47">
        <f t="shared" si="15"/>
        <v>81.298992161254205</v>
      </c>
      <c r="K57" s="48">
        <v>15.02</v>
      </c>
      <c r="L57" s="47">
        <f t="shared" si="16"/>
        <v>84.098544232922734</v>
      </c>
      <c r="M57" s="48">
        <v>15.58</v>
      </c>
      <c r="N57" s="47">
        <f t="shared" si="17"/>
        <v>87.2340425531915</v>
      </c>
      <c r="O57" s="48">
        <v>16.68</v>
      </c>
      <c r="P57" s="47">
        <f t="shared" si="18"/>
        <v>93.393057110862259</v>
      </c>
      <c r="Q57" s="48">
        <v>16.21</v>
      </c>
      <c r="R57" s="47">
        <f t="shared" si="19"/>
        <v>90.761478163493848</v>
      </c>
      <c r="S57" s="48">
        <v>15.34</v>
      </c>
      <c r="T57" s="47">
        <f t="shared" si="20"/>
        <v>85.890257558790594</v>
      </c>
      <c r="U57" s="48">
        <v>14.94</v>
      </c>
      <c r="V57" s="47">
        <f t="shared" si="21"/>
        <v>83.650615901455765</v>
      </c>
    </row>
    <row r="58" spans="2:31" s="95" customFormat="1" ht="12.75" customHeight="1" x14ac:dyDescent="0.25">
      <c r="B58" s="354" t="s">
        <v>864</v>
      </c>
      <c r="C58" s="58" t="s">
        <v>483</v>
      </c>
      <c r="D58" s="55">
        <v>17.260000000000002</v>
      </c>
      <c r="E58" s="48">
        <v>16.29</v>
      </c>
      <c r="F58" s="47">
        <f t="shared" si="13"/>
        <v>94.380069524913083</v>
      </c>
      <c r="G58" s="48">
        <v>15.38</v>
      </c>
      <c r="H58" s="47">
        <f t="shared" si="14"/>
        <v>89.107763615295482</v>
      </c>
      <c r="I58" s="48">
        <v>15.38</v>
      </c>
      <c r="J58" s="47">
        <f t="shared" si="15"/>
        <v>89.107763615295482</v>
      </c>
      <c r="K58" s="40">
        <v>17.12</v>
      </c>
      <c r="L58" s="47">
        <f t="shared" si="16"/>
        <v>99.188876013904974</v>
      </c>
      <c r="M58" s="40">
        <v>17.11</v>
      </c>
      <c r="N58" s="47">
        <f t="shared" si="17"/>
        <v>99.130938586326749</v>
      </c>
      <c r="O58" s="40">
        <v>17.440000000000001</v>
      </c>
      <c r="P58" s="47">
        <f t="shared" si="18"/>
        <v>101.04287369640788</v>
      </c>
      <c r="Q58" s="40">
        <v>18.190000000000001</v>
      </c>
      <c r="R58" s="47">
        <f t="shared" si="19"/>
        <v>105.38818076477403</v>
      </c>
      <c r="S58" s="40">
        <v>17.600000000000001</v>
      </c>
      <c r="T58" s="47">
        <f t="shared" si="20"/>
        <v>101.96987253765933</v>
      </c>
      <c r="U58" s="40">
        <v>18.510000000000002</v>
      </c>
      <c r="V58" s="47">
        <f t="shared" si="21"/>
        <v>107.24217844727694</v>
      </c>
    </row>
    <row r="59" spans="2:31" s="95" customFormat="1" ht="12.75" customHeight="1" x14ac:dyDescent="0.25">
      <c r="B59" s="354"/>
      <c r="C59" s="58" t="s">
        <v>484</v>
      </c>
      <c r="D59" s="55">
        <v>18.05</v>
      </c>
      <c r="E59" s="48">
        <v>16.93</v>
      </c>
      <c r="F59" s="47">
        <f t="shared" si="13"/>
        <v>93.795013850415515</v>
      </c>
      <c r="G59" s="48">
        <v>15.37</v>
      </c>
      <c r="H59" s="47">
        <f t="shared" si="14"/>
        <v>85.152354570637115</v>
      </c>
      <c r="I59" s="48">
        <v>15.37</v>
      </c>
      <c r="J59" s="47">
        <f t="shared" si="15"/>
        <v>85.152354570637115</v>
      </c>
      <c r="K59" s="48">
        <v>16.940000000000001</v>
      </c>
      <c r="L59" s="47">
        <f t="shared" si="16"/>
        <v>93.850415512465375</v>
      </c>
      <c r="M59" s="40">
        <v>17.3</v>
      </c>
      <c r="N59" s="47">
        <f t="shared" si="17"/>
        <v>95.84487534626038</v>
      </c>
      <c r="O59" s="40">
        <v>18.02</v>
      </c>
      <c r="P59" s="47">
        <f t="shared" si="18"/>
        <v>99.83379501385042</v>
      </c>
      <c r="Q59" s="40">
        <v>18.5</v>
      </c>
      <c r="R59" s="47">
        <f t="shared" si="19"/>
        <v>102.49307479224376</v>
      </c>
      <c r="S59" s="40">
        <v>18.27</v>
      </c>
      <c r="T59" s="47">
        <f t="shared" si="20"/>
        <v>101.21883656509694</v>
      </c>
      <c r="U59" s="40">
        <v>18.579999999999998</v>
      </c>
      <c r="V59" s="47">
        <f t="shared" si="21"/>
        <v>102.93628808864264</v>
      </c>
    </row>
    <row r="60" spans="2:31" s="95" customFormat="1" ht="12.75" customHeight="1" x14ac:dyDescent="0.25">
      <c r="B60" s="354"/>
      <c r="C60" s="58" t="s">
        <v>485</v>
      </c>
      <c r="D60" s="55">
        <v>17.239999999999998</v>
      </c>
      <c r="E60" s="48">
        <v>16.350000000000001</v>
      </c>
      <c r="F60" s="47">
        <f t="shared" si="13"/>
        <v>94.837587006960575</v>
      </c>
      <c r="G60" s="48">
        <v>15.02</v>
      </c>
      <c r="H60" s="47">
        <f t="shared" si="14"/>
        <v>87.122969837587021</v>
      </c>
      <c r="I60" s="48">
        <v>15.02</v>
      </c>
      <c r="J60" s="47">
        <f t="shared" si="15"/>
        <v>87.122969837587021</v>
      </c>
      <c r="K60" s="48">
        <v>16.36</v>
      </c>
      <c r="L60" s="47">
        <f t="shared" si="16"/>
        <v>94.895591647331784</v>
      </c>
      <c r="M60" s="48">
        <v>16.399999999999999</v>
      </c>
      <c r="N60" s="47">
        <f t="shared" si="17"/>
        <v>95.127610208816705</v>
      </c>
      <c r="O60" s="40">
        <v>17.22</v>
      </c>
      <c r="P60" s="47">
        <f t="shared" si="18"/>
        <v>99.88399071925754</v>
      </c>
      <c r="Q60" s="40">
        <v>17.48</v>
      </c>
      <c r="R60" s="47">
        <f t="shared" si="19"/>
        <v>101.39211136890953</v>
      </c>
      <c r="S60" s="40">
        <v>17.32</v>
      </c>
      <c r="T60" s="47">
        <f t="shared" si="20"/>
        <v>100.46403712296986</v>
      </c>
      <c r="U60" s="48">
        <v>16.52</v>
      </c>
      <c r="V60" s="47">
        <f t="shared" si="21"/>
        <v>95.823665893271468</v>
      </c>
    </row>
    <row r="61" spans="2:31" s="95" customFormat="1" ht="12.75" customHeight="1" x14ac:dyDescent="0.3">
      <c r="B61" s="354"/>
      <c r="C61" s="58" t="s">
        <v>486</v>
      </c>
      <c r="D61" s="55">
        <v>16.61</v>
      </c>
      <c r="E61" s="48">
        <v>16.100000000000001</v>
      </c>
      <c r="F61" s="47">
        <f t="shared" si="13"/>
        <v>96.929560505719465</v>
      </c>
      <c r="G61" s="48">
        <v>15.26</v>
      </c>
      <c r="H61" s="47">
        <f t="shared" si="14"/>
        <v>91.872366044551484</v>
      </c>
      <c r="I61" s="48">
        <v>15.26</v>
      </c>
      <c r="J61" s="47">
        <f t="shared" si="15"/>
        <v>91.872366044551484</v>
      </c>
      <c r="K61" s="48">
        <v>16.09</v>
      </c>
      <c r="L61" s="47">
        <f t="shared" si="16"/>
        <v>96.869355809753159</v>
      </c>
      <c r="M61" s="48">
        <v>15.97</v>
      </c>
      <c r="N61" s="47">
        <f t="shared" si="17"/>
        <v>96.146899458157748</v>
      </c>
      <c r="O61" s="48">
        <v>15.8</v>
      </c>
      <c r="P61" s="47">
        <f t="shared" si="18"/>
        <v>95.123419626730893</v>
      </c>
      <c r="Q61" s="48">
        <v>15.9</v>
      </c>
      <c r="R61" s="47">
        <f t="shared" si="19"/>
        <v>95.72546658639375</v>
      </c>
      <c r="S61" s="48">
        <v>13.78</v>
      </c>
      <c r="T61" s="47">
        <f t="shared" si="20"/>
        <v>82.962071041541236</v>
      </c>
      <c r="U61" s="49" t="s">
        <v>487</v>
      </c>
      <c r="V61" s="54"/>
    </row>
    <row r="62" spans="2:31" s="95" customFormat="1" ht="12.75" customHeight="1" x14ac:dyDescent="0.25">
      <c r="B62" s="354"/>
      <c r="C62" s="58" t="s">
        <v>488</v>
      </c>
      <c r="D62" s="55">
        <v>18.09</v>
      </c>
      <c r="E62" s="40">
        <v>17.61</v>
      </c>
      <c r="F62" s="47">
        <f t="shared" si="13"/>
        <v>97.346600331674964</v>
      </c>
      <c r="G62" s="48">
        <v>15.86</v>
      </c>
      <c r="H62" s="47">
        <f t="shared" si="14"/>
        <v>87.672747374239918</v>
      </c>
      <c r="I62" s="48">
        <v>15.86</v>
      </c>
      <c r="J62" s="47">
        <f t="shared" si="15"/>
        <v>87.672747374239918</v>
      </c>
      <c r="K62" s="40">
        <v>17.350000000000001</v>
      </c>
      <c r="L62" s="47">
        <f t="shared" si="16"/>
        <v>95.909342177998909</v>
      </c>
      <c r="M62" s="40">
        <v>17.170000000000002</v>
      </c>
      <c r="N62" s="47">
        <f t="shared" si="17"/>
        <v>94.914317302377015</v>
      </c>
      <c r="O62" s="40">
        <v>18.010000000000002</v>
      </c>
      <c r="P62" s="47">
        <f t="shared" si="18"/>
        <v>99.557766721945839</v>
      </c>
      <c r="Q62" s="40">
        <v>17.89</v>
      </c>
      <c r="R62" s="47">
        <f t="shared" si="19"/>
        <v>98.894416804864576</v>
      </c>
      <c r="S62" s="40">
        <v>17.8</v>
      </c>
      <c r="T62" s="47">
        <f t="shared" si="20"/>
        <v>98.396904367053622</v>
      </c>
      <c r="U62" s="40">
        <v>18.47</v>
      </c>
      <c r="V62" s="47">
        <f t="shared" ref="V62" si="22">U62/D62*100</f>
        <v>102.10060807075732</v>
      </c>
    </row>
    <row r="63" spans="2:31" s="95" customFormat="1" ht="12.75" customHeight="1" x14ac:dyDescent="0.3">
      <c r="B63" s="5"/>
      <c r="C63" s="264"/>
      <c r="D63" s="265" t="s">
        <v>13</v>
      </c>
      <c r="E63" s="264"/>
      <c r="F63" s="264"/>
    </row>
    <row r="64" spans="2:31" s="95" customFormat="1" ht="12.75" customHeight="1" x14ac:dyDescent="0.3">
      <c r="B64" s="5"/>
      <c r="C64" s="264"/>
      <c r="D64" s="266" t="s">
        <v>107</v>
      </c>
      <c r="E64" s="264"/>
      <c r="F64" s="264"/>
    </row>
    <row r="65" spans="2:6" s="95" customFormat="1" ht="12.75" customHeight="1" x14ac:dyDescent="0.25">
      <c r="B65" s="5"/>
      <c r="C65" s="96"/>
      <c r="D65" s="98"/>
      <c r="E65" s="98"/>
      <c r="F65" s="98"/>
    </row>
    <row r="66" spans="2:6" s="95" customFormat="1" ht="12.75" customHeight="1" x14ac:dyDescent="0.25">
      <c r="B66" s="5"/>
      <c r="C66" s="96"/>
      <c r="D66" s="98"/>
      <c r="E66" s="98"/>
      <c r="F66" s="98"/>
    </row>
    <row r="67" spans="2:6" s="95" customFormat="1" ht="12.75" customHeight="1" x14ac:dyDescent="0.25">
      <c r="B67" s="5"/>
      <c r="C67" s="96"/>
      <c r="D67" s="98"/>
      <c r="E67" s="98"/>
      <c r="F67" s="98"/>
    </row>
    <row r="68" spans="2:6" s="95" customFormat="1" ht="12.75" customHeight="1" x14ac:dyDescent="0.25">
      <c r="B68" s="5"/>
      <c r="C68" s="96"/>
      <c r="D68" s="98"/>
      <c r="E68" s="98"/>
      <c r="F68" s="98"/>
    </row>
  </sheetData>
  <mergeCells count="29">
    <mergeCell ref="B38:B42"/>
    <mergeCell ref="B43:B47"/>
    <mergeCell ref="B48:B52"/>
    <mergeCell ref="B53:B57"/>
    <mergeCell ref="B58:B62"/>
    <mergeCell ref="O36:P36"/>
    <mergeCell ref="Q36:R36"/>
    <mergeCell ref="S36:T36"/>
    <mergeCell ref="U36:V36"/>
    <mergeCell ref="E36:F36"/>
    <mergeCell ref="G36:H36"/>
    <mergeCell ref="I36:J36"/>
    <mergeCell ref="K36:L36"/>
    <mergeCell ref="M36:N36"/>
    <mergeCell ref="S4:T4"/>
    <mergeCell ref="U4:V4"/>
    <mergeCell ref="W4:X4"/>
    <mergeCell ref="B6:B10"/>
    <mergeCell ref="E4:F4"/>
    <mergeCell ref="G4:H4"/>
    <mergeCell ref="I4:J4"/>
    <mergeCell ref="K4:L4"/>
    <mergeCell ref="M4:N4"/>
    <mergeCell ref="O4:P4"/>
    <mergeCell ref="B11:B15"/>
    <mergeCell ref="B16:B20"/>
    <mergeCell ref="B21:B25"/>
    <mergeCell ref="B26:B30"/>
    <mergeCell ref="Q4:R4"/>
  </mergeCells>
  <phoneticPr fontId="3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F572-055C-4715-97A7-BA2781A56F4C}">
  <dimension ref="B2:Z45"/>
  <sheetViews>
    <sheetView zoomScale="90" zoomScaleNormal="90" workbookViewId="0">
      <selection activeCell="S34" sqref="S34"/>
    </sheetView>
  </sheetViews>
  <sheetFormatPr defaultColWidth="9" defaultRowHeight="14" x14ac:dyDescent="0.3"/>
  <cols>
    <col min="1" max="1" width="9" style="25"/>
    <col min="2" max="2" width="14.58203125" style="37" customWidth="1"/>
    <col min="3" max="3" width="6.33203125" style="35" customWidth="1"/>
    <col min="4" max="5" width="6.5" style="36" customWidth="1"/>
    <col min="6" max="6" width="6.75" style="36" bestFit="1" customWidth="1"/>
    <col min="7" max="7" width="6.08203125" style="25" bestFit="1" customWidth="1"/>
    <col min="8" max="8" width="6.75" style="25" customWidth="1"/>
    <col min="9" max="9" width="6.08203125" style="25" bestFit="1" customWidth="1"/>
    <col min="10" max="10" width="6.75" style="25" customWidth="1"/>
    <col min="11" max="11" width="6.08203125" style="25" bestFit="1" customWidth="1"/>
    <col min="12" max="12" width="6.75" style="25" customWidth="1"/>
    <col min="13" max="13" width="6.08203125" style="25" bestFit="1" customWidth="1"/>
    <col min="14" max="14" width="6.75" style="25" customWidth="1"/>
    <col min="15" max="15" width="6.08203125" style="25" bestFit="1" customWidth="1"/>
    <col min="16" max="16" width="6.75" style="25" customWidth="1"/>
    <col min="17" max="17" width="6.08203125" style="25" bestFit="1" customWidth="1"/>
    <col min="18" max="18" width="6.75" style="25" customWidth="1"/>
    <col min="19" max="19" width="5.75" style="25" customWidth="1"/>
    <col min="20" max="20" width="6.83203125" style="25" bestFit="1" customWidth="1"/>
    <col min="21" max="21" width="6.08203125" style="25" bestFit="1" customWidth="1"/>
    <col min="22" max="22" width="6.83203125" style="25" bestFit="1" customWidth="1"/>
    <col min="23" max="23" width="6.08203125" style="25" bestFit="1" customWidth="1"/>
    <col min="24" max="24" width="6.75" style="25" bestFit="1" customWidth="1"/>
    <col min="25" max="25" width="6" style="25" bestFit="1" customWidth="1"/>
    <col min="26" max="26" width="6.75" style="25" bestFit="1" customWidth="1"/>
    <col min="27" max="16384" width="9" style="25"/>
  </cols>
  <sheetData>
    <row r="2" spans="2:26" s="95" customFormat="1" ht="13" x14ac:dyDescent="0.25">
      <c r="C2" s="100" t="s">
        <v>108</v>
      </c>
      <c r="D2" s="101"/>
      <c r="E2" s="101"/>
    </row>
    <row r="3" spans="2:26" s="95" customFormat="1" ht="13" x14ac:dyDescent="0.25">
      <c r="C3" s="100"/>
      <c r="D3" s="101"/>
      <c r="E3" s="101"/>
    </row>
    <row r="4" spans="2:26" s="95" customFormat="1" ht="12.5" x14ac:dyDescent="0.25">
      <c r="B4" s="4"/>
      <c r="C4" s="263" t="s">
        <v>72</v>
      </c>
      <c r="D4" s="263" t="s">
        <v>172</v>
      </c>
      <c r="E4" s="358" t="s">
        <v>173</v>
      </c>
      <c r="F4" s="359"/>
      <c r="G4" s="358" t="s">
        <v>102</v>
      </c>
      <c r="H4" s="359"/>
      <c r="I4" s="358" t="s">
        <v>174</v>
      </c>
      <c r="J4" s="359"/>
      <c r="K4" s="358" t="s">
        <v>103</v>
      </c>
      <c r="L4" s="359"/>
      <c r="M4" s="358" t="s">
        <v>175</v>
      </c>
      <c r="N4" s="359"/>
      <c r="O4" s="358" t="s">
        <v>74</v>
      </c>
      <c r="P4" s="359"/>
      <c r="Q4" s="358" t="s">
        <v>176</v>
      </c>
      <c r="R4" s="359"/>
      <c r="S4" s="358" t="s">
        <v>75</v>
      </c>
      <c r="T4" s="359"/>
      <c r="U4" s="358" t="s">
        <v>264</v>
      </c>
      <c r="V4" s="359"/>
      <c r="W4" s="358" t="s">
        <v>278</v>
      </c>
      <c r="X4" s="359"/>
      <c r="Y4" s="358" t="s">
        <v>333</v>
      </c>
      <c r="Z4" s="359"/>
    </row>
    <row r="5" spans="2:26" s="95" customFormat="1" ht="12.75" customHeight="1" x14ac:dyDescent="0.25">
      <c r="B5" s="4"/>
      <c r="C5" s="263"/>
      <c r="D5" s="263"/>
      <c r="E5" s="263"/>
      <c r="F5" s="27"/>
      <c r="G5" s="263"/>
      <c r="H5" s="27"/>
      <c r="I5" s="263"/>
      <c r="J5" s="27"/>
      <c r="K5" s="263"/>
      <c r="L5" s="27"/>
      <c r="M5" s="263"/>
      <c r="N5" s="27"/>
      <c r="O5" s="263"/>
      <c r="P5" s="27"/>
      <c r="Q5" s="263"/>
      <c r="R5" s="27"/>
      <c r="S5" s="263"/>
      <c r="T5" s="27"/>
      <c r="U5" s="263"/>
      <c r="V5" s="27"/>
      <c r="W5" s="263"/>
      <c r="X5" s="27"/>
      <c r="Y5" s="263"/>
      <c r="Z5" s="27"/>
    </row>
    <row r="6" spans="2:26" s="95" customFormat="1" ht="12.75" customHeight="1" x14ac:dyDescent="0.25">
      <c r="B6" s="354" t="s">
        <v>364</v>
      </c>
      <c r="C6" s="58" t="s">
        <v>334</v>
      </c>
      <c r="D6" s="55">
        <v>17.559999999999999</v>
      </c>
      <c r="E6" s="40">
        <v>16.670000000000002</v>
      </c>
      <c r="F6" s="47">
        <f>E6/D6*100</f>
        <v>94.931662870159471</v>
      </c>
      <c r="G6" s="40">
        <v>16.239999999999998</v>
      </c>
      <c r="H6" s="47">
        <f>G6/D6*100</f>
        <v>92.482915717539854</v>
      </c>
      <c r="I6" s="40">
        <v>17.170000000000002</v>
      </c>
      <c r="J6" s="47">
        <f>I6/D6*100</f>
        <v>97.77904328018225</v>
      </c>
      <c r="K6" s="40">
        <v>17.02</v>
      </c>
      <c r="L6" s="47">
        <f>K6/D6*100</f>
        <v>96.924829157175409</v>
      </c>
      <c r="M6" s="40">
        <v>17.559999999999999</v>
      </c>
      <c r="N6" s="47">
        <f>M6/D6*100</f>
        <v>100</v>
      </c>
      <c r="O6" s="40">
        <v>18.18</v>
      </c>
      <c r="P6" s="47">
        <f>O6/D6*100</f>
        <v>103.53075170842826</v>
      </c>
      <c r="Q6" s="40">
        <v>18.21</v>
      </c>
      <c r="R6" s="47">
        <f>Q6/D6*100</f>
        <v>103.70159453302963</v>
      </c>
      <c r="S6" s="40">
        <v>18.46</v>
      </c>
      <c r="T6" s="47">
        <f>S6/D6*100</f>
        <v>105.12528473804102</v>
      </c>
      <c r="U6" s="40">
        <v>18.37</v>
      </c>
      <c r="V6" s="47">
        <f>U6/D6*100</f>
        <v>104.61275626423692</v>
      </c>
      <c r="W6" s="40">
        <v>18.86</v>
      </c>
      <c r="X6" s="47">
        <f>W6/D6*100</f>
        <v>107.40318906605924</v>
      </c>
      <c r="Y6" s="40">
        <v>19.04</v>
      </c>
      <c r="Z6" s="47">
        <f>Y6/D6*100</f>
        <v>108.42824601366743</v>
      </c>
    </row>
    <row r="7" spans="2:26" s="95" customFormat="1" ht="12.75" customHeight="1" x14ac:dyDescent="0.25">
      <c r="B7" s="354"/>
      <c r="C7" s="58" t="s">
        <v>335</v>
      </c>
      <c r="D7" s="55">
        <v>18.010000000000002</v>
      </c>
      <c r="E7" s="40">
        <v>18.440000000000001</v>
      </c>
      <c r="F7" s="47">
        <f t="shared" ref="F7:F20" si="0">E7/D7*100</f>
        <v>102.38756246529705</v>
      </c>
      <c r="G7" s="40">
        <v>17.97</v>
      </c>
      <c r="H7" s="47">
        <f t="shared" ref="H7:H20" si="1">G7/D7*100</f>
        <v>99.777901166018864</v>
      </c>
      <c r="I7" s="40">
        <v>18.010000000000002</v>
      </c>
      <c r="J7" s="47">
        <f t="shared" ref="J7:J15" si="2">I7/D7*100</f>
        <v>100</v>
      </c>
      <c r="K7" s="40">
        <v>18.07</v>
      </c>
      <c r="L7" s="47">
        <f t="shared" ref="L7:L15" si="3">K7/D7*100</f>
        <v>100.33314825097167</v>
      </c>
      <c r="M7" s="40">
        <v>18.22</v>
      </c>
      <c r="N7" s="47">
        <f t="shared" ref="N7:N11" si="4">M7/D7*100</f>
        <v>101.16601887840086</v>
      </c>
      <c r="O7" s="40">
        <v>18.43</v>
      </c>
      <c r="P7" s="47">
        <f t="shared" ref="P7:P10" si="5">O7/D7*100</f>
        <v>102.33203775680178</v>
      </c>
      <c r="Q7" s="40">
        <v>18.809999999999999</v>
      </c>
      <c r="R7" s="47">
        <f t="shared" ref="R7:R10" si="6">Q7/D7*100</f>
        <v>104.4419766796224</v>
      </c>
      <c r="S7" s="40">
        <v>18.97</v>
      </c>
      <c r="T7" s="47">
        <f t="shared" ref="T7:T10" si="7">S7/D7*100</f>
        <v>105.33037201554691</v>
      </c>
      <c r="U7" s="40">
        <v>19.07</v>
      </c>
      <c r="V7" s="47">
        <f t="shared" ref="V7:V10" si="8">U7/D7*100</f>
        <v>105.88561910049972</v>
      </c>
      <c r="W7" s="40">
        <v>19.170000000000002</v>
      </c>
      <c r="X7" s="47">
        <f t="shared" ref="X7:X10" si="9">W7/D7*100</f>
        <v>106.44086618545252</v>
      </c>
      <c r="Y7" s="40">
        <v>20.13</v>
      </c>
      <c r="Z7" s="47">
        <f t="shared" ref="Z7:Z10" si="10">Y7/D7*100</f>
        <v>111.77123820099943</v>
      </c>
    </row>
    <row r="8" spans="2:26" s="95" customFormat="1" ht="12.75" customHeight="1" x14ac:dyDescent="0.25">
      <c r="B8" s="354"/>
      <c r="C8" s="58" t="s">
        <v>336</v>
      </c>
      <c r="D8" s="55">
        <v>18.97</v>
      </c>
      <c r="E8" s="40">
        <v>18.079999999999998</v>
      </c>
      <c r="F8" s="47">
        <f t="shared" si="0"/>
        <v>95.308381655245128</v>
      </c>
      <c r="G8" s="40">
        <v>17.77</v>
      </c>
      <c r="H8" s="47">
        <f t="shared" si="1"/>
        <v>93.674222456510279</v>
      </c>
      <c r="I8" s="40">
        <v>18.12</v>
      </c>
      <c r="J8" s="47">
        <f t="shared" si="2"/>
        <v>95.51924090669479</v>
      </c>
      <c r="K8" s="40">
        <v>18.66</v>
      </c>
      <c r="L8" s="47">
        <f t="shared" si="3"/>
        <v>98.365840801265165</v>
      </c>
      <c r="M8" s="40">
        <v>18.89</v>
      </c>
      <c r="N8" s="47">
        <f t="shared" si="4"/>
        <v>99.57828149710069</v>
      </c>
      <c r="O8" s="40">
        <v>19.14</v>
      </c>
      <c r="P8" s="47">
        <f t="shared" si="5"/>
        <v>100.89615181866105</v>
      </c>
      <c r="Q8" s="40">
        <v>19.399999999999999</v>
      </c>
      <c r="R8" s="47">
        <f t="shared" si="6"/>
        <v>102.26673695308381</v>
      </c>
      <c r="S8" s="40">
        <v>19.809999999999999</v>
      </c>
      <c r="T8" s="47">
        <f t="shared" si="7"/>
        <v>104.4280442804428</v>
      </c>
      <c r="U8" s="40">
        <v>19.64</v>
      </c>
      <c r="V8" s="47">
        <f t="shared" si="8"/>
        <v>103.53189246178177</v>
      </c>
      <c r="W8" s="40">
        <v>19.88</v>
      </c>
      <c r="X8" s="47">
        <f t="shared" si="9"/>
        <v>104.79704797047971</v>
      </c>
      <c r="Y8" s="40">
        <v>20.52</v>
      </c>
      <c r="Z8" s="47">
        <f t="shared" si="10"/>
        <v>108.17079599367423</v>
      </c>
    </row>
    <row r="9" spans="2:26" s="95" customFormat="1" ht="12.75" customHeight="1" x14ac:dyDescent="0.25">
      <c r="B9" s="354"/>
      <c r="C9" s="58" t="s">
        <v>337</v>
      </c>
      <c r="D9" s="55">
        <v>17.07</v>
      </c>
      <c r="E9" s="40">
        <v>16.809999999999999</v>
      </c>
      <c r="F9" s="47">
        <f t="shared" si="0"/>
        <v>98.476859988283522</v>
      </c>
      <c r="G9" s="40">
        <v>16.48</v>
      </c>
      <c r="H9" s="47">
        <f t="shared" si="1"/>
        <v>96.543643819566498</v>
      </c>
      <c r="I9" s="40">
        <v>16.7</v>
      </c>
      <c r="J9" s="47">
        <f t="shared" si="2"/>
        <v>97.83245459871118</v>
      </c>
      <c r="K9" s="40">
        <v>16.89</v>
      </c>
      <c r="L9" s="47">
        <f t="shared" si="3"/>
        <v>98.945518453427056</v>
      </c>
      <c r="M9" s="40">
        <v>16.809999999999999</v>
      </c>
      <c r="N9" s="47">
        <f t="shared" si="4"/>
        <v>98.476859988283522</v>
      </c>
      <c r="O9" s="40">
        <v>17.48</v>
      </c>
      <c r="P9" s="47">
        <f t="shared" si="5"/>
        <v>102.40187463386057</v>
      </c>
      <c r="Q9" s="40">
        <v>17.82</v>
      </c>
      <c r="R9" s="47">
        <f t="shared" si="6"/>
        <v>104.39367311072057</v>
      </c>
      <c r="S9" s="40">
        <v>17.670000000000002</v>
      </c>
      <c r="T9" s="47">
        <f t="shared" si="7"/>
        <v>103.51493848857646</v>
      </c>
      <c r="U9" s="40">
        <v>17.989999999999998</v>
      </c>
      <c r="V9" s="47">
        <f t="shared" si="8"/>
        <v>105.38957234915054</v>
      </c>
      <c r="W9" s="40">
        <v>17.84</v>
      </c>
      <c r="X9" s="47">
        <f t="shared" si="9"/>
        <v>104.51083772700645</v>
      </c>
      <c r="Y9" s="40">
        <v>18.12</v>
      </c>
      <c r="Z9" s="47">
        <f t="shared" si="10"/>
        <v>106.1511423550088</v>
      </c>
    </row>
    <row r="10" spans="2:26" s="95" customFormat="1" ht="12.75" customHeight="1" x14ac:dyDescent="0.25">
      <c r="B10" s="354"/>
      <c r="C10" s="58" t="s">
        <v>338</v>
      </c>
      <c r="D10" s="55">
        <v>17.809999999999999</v>
      </c>
      <c r="E10" s="40">
        <v>17.84</v>
      </c>
      <c r="F10" s="47">
        <f t="shared" si="0"/>
        <v>100.16844469399216</v>
      </c>
      <c r="G10" s="40">
        <v>17.61</v>
      </c>
      <c r="H10" s="47">
        <f t="shared" si="1"/>
        <v>98.877035373385752</v>
      </c>
      <c r="I10" s="40">
        <v>17.809999999999999</v>
      </c>
      <c r="J10" s="47">
        <f t="shared" si="2"/>
        <v>100</v>
      </c>
      <c r="K10" s="40">
        <v>17.63</v>
      </c>
      <c r="L10" s="47">
        <f t="shared" si="3"/>
        <v>98.989331836047171</v>
      </c>
      <c r="M10" s="40">
        <v>17.73</v>
      </c>
      <c r="N10" s="47">
        <f t="shared" si="4"/>
        <v>99.550814149354309</v>
      </c>
      <c r="O10" s="40">
        <v>18.13</v>
      </c>
      <c r="P10" s="47">
        <f t="shared" si="5"/>
        <v>101.79674340258282</v>
      </c>
      <c r="Q10" s="40">
        <v>18.510000000000002</v>
      </c>
      <c r="R10" s="47">
        <f t="shared" si="6"/>
        <v>103.93037619314993</v>
      </c>
      <c r="S10" s="40">
        <v>19.010000000000002</v>
      </c>
      <c r="T10" s="47">
        <f t="shared" si="7"/>
        <v>106.73778775968559</v>
      </c>
      <c r="U10" s="40">
        <v>19.13</v>
      </c>
      <c r="V10" s="47">
        <f t="shared" si="8"/>
        <v>107.41156653565413</v>
      </c>
      <c r="W10" s="40">
        <v>19.600000000000001</v>
      </c>
      <c r="X10" s="47">
        <f t="shared" si="9"/>
        <v>110.05053340819767</v>
      </c>
      <c r="Y10" s="40">
        <v>19.61</v>
      </c>
      <c r="Z10" s="47">
        <f t="shared" si="10"/>
        <v>110.10668163952838</v>
      </c>
    </row>
    <row r="11" spans="2:26" s="95" customFormat="1" ht="12.75" customHeight="1" x14ac:dyDescent="0.25">
      <c r="B11" s="366" t="s">
        <v>365</v>
      </c>
      <c r="C11" s="58" t="s">
        <v>339</v>
      </c>
      <c r="D11" s="55">
        <v>16.97</v>
      </c>
      <c r="E11" s="40">
        <v>16.14</v>
      </c>
      <c r="F11" s="47">
        <f t="shared" si="0"/>
        <v>95.109015910430188</v>
      </c>
      <c r="G11" s="40">
        <v>14.29</v>
      </c>
      <c r="H11" s="47">
        <f t="shared" si="1"/>
        <v>84.207424867413081</v>
      </c>
      <c r="I11" s="40">
        <v>13.65</v>
      </c>
      <c r="J11" s="47">
        <f t="shared" si="2"/>
        <v>80.436063641720693</v>
      </c>
      <c r="K11" s="40">
        <v>11.86</v>
      </c>
      <c r="L11" s="50">
        <f t="shared" si="3"/>
        <v>69.888037713612263</v>
      </c>
      <c r="M11" s="40">
        <v>12.67</v>
      </c>
      <c r="N11" s="50">
        <f t="shared" si="4"/>
        <v>74.661166764879212</v>
      </c>
      <c r="O11" s="49" t="s">
        <v>126</v>
      </c>
      <c r="P11" s="50"/>
      <c r="Q11" s="48"/>
      <c r="R11" s="50"/>
      <c r="S11" s="59"/>
      <c r="T11" s="50"/>
      <c r="U11" s="59"/>
      <c r="V11" s="50"/>
      <c r="W11" s="59"/>
      <c r="X11" s="50"/>
      <c r="Y11" s="59"/>
      <c r="Z11" s="50"/>
    </row>
    <row r="12" spans="2:26" s="95" customFormat="1" ht="12.75" customHeight="1" x14ac:dyDescent="0.25">
      <c r="B12" s="366"/>
      <c r="C12" s="58" t="s">
        <v>340</v>
      </c>
      <c r="D12" s="55">
        <v>17.8</v>
      </c>
      <c r="E12" s="40">
        <v>16.8</v>
      </c>
      <c r="F12" s="47">
        <f t="shared" si="0"/>
        <v>94.382022471910105</v>
      </c>
      <c r="G12" s="40">
        <v>15.03</v>
      </c>
      <c r="H12" s="47">
        <f t="shared" si="1"/>
        <v>84.438202247191015</v>
      </c>
      <c r="I12" s="40">
        <v>14.2</v>
      </c>
      <c r="J12" s="50">
        <f t="shared" si="2"/>
        <v>79.775280898876403</v>
      </c>
      <c r="K12" s="49" t="s">
        <v>341</v>
      </c>
      <c r="L12" s="50"/>
      <c r="M12" s="48"/>
      <c r="N12" s="50"/>
      <c r="O12" s="49"/>
      <c r="P12" s="50"/>
      <c r="Q12" s="48"/>
      <c r="R12" s="50"/>
      <c r="S12" s="48"/>
      <c r="T12" s="50"/>
      <c r="U12" s="48"/>
      <c r="V12" s="50"/>
      <c r="W12" s="48"/>
      <c r="X12" s="50"/>
      <c r="Y12" s="48"/>
      <c r="Z12" s="50"/>
    </row>
    <row r="13" spans="2:26" s="95" customFormat="1" ht="12.75" customHeight="1" x14ac:dyDescent="0.25">
      <c r="B13" s="366"/>
      <c r="C13" s="58" t="s">
        <v>342</v>
      </c>
      <c r="D13" s="55">
        <v>17.95</v>
      </c>
      <c r="E13" s="40">
        <v>16.88</v>
      </c>
      <c r="F13" s="47">
        <f t="shared" si="0"/>
        <v>94.038997214484681</v>
      </c>
      <c r="G13" s="40">
        <v>14.99</v>
      </c>
      <c r="H13" s="47">
        <f t="shared" si="1"/>
        <v>83.509749303621177</v>
      </c>
      <c r="I13" s="40">
        <v>14.15</v>
      </c>
      <c r="J13" s="50">
        <f t="shared" si="2"/>
        <v>78.830083565459617</v>
      </c>
      <c r="K13" s="40">
        <v>12.32</v>
      </c>
      <c r="L13" s="50">
        <f t="shared" si="3"/>
        <v>68.635097493036213</v>
      </c>
      <c r="M13" s="40">
        <v>13.18</v>
      </c>
      <c r="N13" s="50">
        <f>M13/D13*100</f>
        <v>73.426183844011135</v>
      </c>
      <c r="O13" s="49" t="s">
        <v>128</v>
      </c>
      <c r="P13" s="50"/>
      <c r="Q13" s="48"/>
      <c r="R13" s="50"/>
      <c r="S13" s="48"/>
      <c r="T13" s="50"/>
      <c r="U13" s="48"/>
      <c r="V13" s="50"/>
      <c r="W13" s="48"/>
      <c r="X13" s="50"/>
      <c r="Y13" s="48"/>
      <c r="Z13" s="50"/>
    </row>
    <row r="14" spans="2:26" s="95" customFormat="1" ht="12.75" customHeight="1" x14ac:dyDescent="0.25">
      <c r="B14" s="366"/>
      <c r="C14" s="58" t="s">
        <v>343</v>
      </c>
      <c r="D14" s="55">
        <v>17.2</v>
      </c>
      <c r="E14" s="40">
        <v>16.2</v>
      </c>
      <c r="F14" s="47">
        <f t="shared" si="0"/>
        <v>94.186046511627907</v>
      </c>
      <c r="G14" s="40">
        <v>14.71</v>
      </c>
      <c r="H14" s="47">
        <f t="shared" si="1"/>
        <v>85.523255813953497</v>
      </c>
      <c r="I14" s="40">
        <v>14.1</v>
      </c>
      <c r="J14" s="47">
        <f t="shared" si="2"/>
        <v>81.976744186046517</v>
      </c>
      <c r="K14" s="49" t="s">
        <v>341</v>
      </c>
      <c r="L14" s="50"/>
      <c r="M14" s="48"/>
      <c r="N14" s="50"/>
      <c r="O14" s="49"/>
      <c r="P14" s="50"/>
      <c r="Q14" s="48"/>
      <c r="R14" s="50"/>
      <c r="S14" s="48"/>
      <c r="T14" s="50"/>
      <c r="U14" s="48"/>
      <c r="V14" s="50"/>
      <c r="W14" s="48"/>
      <c r="X14" s="50"/>
      <c r="Y14" s="48"/>
      <c r="Z14" s="50"/>
    </row>
    <row r="15" spans="2:26" s="95" customFormat="1" ht="12.75" customHeight="1" x14ac:dyDescent="0.25">
      <c r="B15" s="366"/>
      <c r="C15" s="58" t="s">
        <v>344</v>
      </c>
      <c r="D15" s="55">
        <v>17.350000000000001</v>
      </c>
      <c r="E15" s="40">
        <v>16.7</v>
      </c>
      <c r="F15" s="47">
        <f t="shared" si="0"/>
        <v>96.253602305475496</v>
      </c>
      <c r="G15" s="40">
        <v>14.93</v>
      </c>
      <c r="H15" s="47">
        <f t="shared" si="1"/>
        <v>86.051873198847247</v>
      </c>
      <c r="I15" s="40">
        <v>14.09</v>
      </c>
      <c r="J15" s="47">
        <f t="shared" si="2"/>
        <v>81.210374639769441</v>
      </c>
      <c r="K15" s="40">
        <v>12.61</v>
      </c>
      <c r="L15" s="50">
        <f t="shared" si="3"/>
        <v>72.680115273775201</v>
      </c>
      <c r="M15" s="40">
        <v>12.7</v>
      </c>
      <c r="N15" s="50">
        <f t="shared" ref="N15" si="11">M15/D15*100</f>
        <v>73.198847262247824</v>
      </c>
      <c r="O15" s="49" t="s">
        <v>345</v>
      </c>
      <c r="P15" s="50"/>
      <c r="Q15" s="48"/>
      <c r="R15" s="50"/>
      <c r="S15" s="48"/>
      <c r="T15" s="50"/>
      <c r="U15" s="48"/>
      <c r="V15" s="50"/>
      <c r="W15" s="48"/>
      <c r="X15" s="50"/>
      <c r="Y15" s="48"/>
      <c r="Z15" s="50"/>
    </row>
    <row r="16" spans="2:26" s="95" customFormat="1" ht="12.75" customHeight="1" x14ac:dyDescent="0.3">
      <c r="B16" s="354" t="s">
        <v>865</v>
      </c>
      <c r="C16" s="58" t="s">
        <v>367</v>
      </c>
      <c r="D16" s="55">
        <v>16.28</v>
      </c>
      <c r="E16" s="40">
        <v>15.53</v>
      </c>
      <c r="F16" s="41">
        <f t="shared" si="0"/>
        <v>95.393120393120384</v>
      </c>
      <c r="G16" s="40">
        <v>14.06</v>
      </c>
      <c r="H16" s="41">
        <f t="shared" si="1"/>
        <v>86.36363636363636</v>
      </c>
      <c r="I16" s="49" t="s">
        <v>228</v>
      </c>
      <c r="J16" s="57"/>
      <c r="K16" s="48"/>
      <c r="L16" s="56"/>
      <c r="M16" s="48"/>
      <c r="N16" s="56"/>
      <c r="O16" s="49"/>
      <c r="P16" s="56"/>
      <c r="Q16" s="48"/>
      <c r="R16" s="56"/>
      <c r="S16" s="48"/>
      <c r="T16" s="56"/>
      <c r="U16" s="48"/>
      <c r="V16" s="56"/>
      <c r="W16" s="48"/>
      <c r="X16" s="56"/>
      <c r="Y16" s="48"/>
      <c r="Z16" s="56"/>
    </row>
    <row r="17" spans="2:26" s="95" customFormat="1" ht="12.75" customHeight="1" x14ac:dyDescent="0.25">
      <c r="B17" s="354"/>
      <c r="C17" s="58" t="s">
        <v>368</v>
      </c>
      <c r="D17" s="55">
        <v>16.89</v>
      </c>
      <c r="E17" s="40">
        <v>16.420000000000002</v>
      </c>
      <c r="F17" s="41">
        <f t="shared" si="0"/>
        <v>97.217288336293677</v>
      </c>
      <c r="G17" s="40">
        <v>14.91</v>
      </c>
      <c r="H17" s="41">
        <f t="shared" si="1"/>
        <v>88.277087033747776</v>
      </c>
      <c r="I17" s="40">
        <v>14.08</v>
      </c>
      <c r="J17" s="41">
        <f t="shared" ref="J17:J20" si="12">I17/D17*100</f>
        <v>83.362936648904679</v>
      </c>
      <c r="K17" s="49" t="s">
        <v>366</v>
      </c>
      <c r="L17" s="56"/>
      <c r="M17" s="48"/>
      <c r="N17" s="56"/>
      <c r="O17" s="49"/>
      <c r="P17" s="56"/>
      <c r="Q17" s="48"/>
      <c r="R17" s="56"/>
      <c r="S17" s="48"/>
      <c r="T17" s="56"/>
      <c r="U17" s="48"/>
      <c r="V17" s="56"/>
      <c r="W17" s="48"/>
      <c r="X17" s="56"/>
      <c r="Y17" s="48"/>
      <c r="Z17" s="56"/>
    </row>
    <row r="18" spans="2:26" s="95" customFormat="1" ht="12.75" customHeight="1" x14ac:dyDescent="0.25">
      <c r="B18" s="354"/>
      <c r="C18" s="58" t="s">
        <v>369</v>
      </c>
      <c r="D18" s="55">
        <v>17.37</v>
      </c>
      <c r="E18" s="40">
        <v>16.100000000000001</v>
      </c>
      <c r="F18" s="41">
        <f t="shared" si="0"/>
        <v>92.688543465745539</v>
      </c>
      <c r="G18" s="40">
        <v>14.9</v>
      </c>
      <c r="H18" s="41">
        <f t="shared" si="1"/>
        <v>85.780080598733448</v>
      </c>
      <c r="I18" s="40">
        <v>13.76</v>
      </c>
      <c r="J18" s="56">
        <f t="shared" si="12"/>
        <v>79.217040875071959</v>
      </c>
      <c r="K18" s="40">
        <v>12.46</v>
      </c>
      <c r="L18" s="56">
        <f t="shared" ref="L18:L20" si="13">K18/D18*100</f>
        <v>71.732872769142205</v>
      </c>
      <c r="M18" s="40">
        <v>11.45</v>
      </c>
      <c r="N18" s="56">
        <f t="shared" ref="N18:N20" si="14">M18/D18*100</f>
        <v>65.918249856073686</v>
      </c>
      <c r="O18" s="49" t="s">
        <v>126</v>
      </c>
      <c r="P18" s="56"/>
      <c r="Q18" s="48"/>
      <c r="R18" s="56"/>
      <c r="S18" s="48"/>
      <c r="T18" s="56"/>
      <c r="U18" s="48"/>
      <c r="V18" s="56"/>
      <c r="W18" s="48"/>
      <c r="X18" s="56"/>
      <c r="Y18" s="48"/>
      <c r="Z18" s="56"/>
    </row>
    <row r="19" spans="2:26" s="95" customFormat="1" ht="12.75" customHeight="1" x14ac:dyDescent="0.25">
      <c r="B19" s="354"/>
      <c r="C19" s="58" t="s">
        <v>370</v>
      </c>
      <c r="D19" s="55">
        <v>17.79</v>
      </c>
      <c r="E19" s="40">
        <v>16.93</v>
      </c>
      <c r="F19" s="41">
        <f t="shared" si="0"/>
        <v>95.165823496346263</v>
      </c>
      <c r="G19" s="40">
        <v>15.4</v>
      </c>
      <c r="H19" s="41">
        <f t="shared" si="1"/>
        <v>86.565486228218106</v>
      </c>
      <c r="I19" s="40">
        <v>14.67</v>
      </c>
      <c r="J19" s="41">
        <f t="shared" si="12"/>
        <v>82.46205733558179</v>
      </c>
      <c r="K19" s="40">
        <v>13.57</v>
      </c>
      <c r="L19" s="56">
        <f t="shared" si="13"/>
        <v>76.2788083192805</v>
      </c>
      <c r="M19" s="40">
        <v>12.8</v>
      </c>
      <c r="N19" s="56">
        <f t="shared" si="14"/>
        <v>71.950534007869592</v>
      </c>
      <c r="O19" s="49" t="s">
        <v>186</v>
      </c>
      <c r="P19" s="56"/>
      <c r="Q19" s="48"/>
      <c r="R19" s="56"/>
      <c r="S19" s="48"/>
      <c r="T19" s="56"/>
      <c r="U19" s="48"/>
      <c r="V19" s="56"/>
      <c r="W19" s="48"/>
      <c r="X19" s="56"/>
      <c r="Y19" s="48"/>
      <c r="Z19" s="56"/>
    </row>
    <row r="20" spans="2:26" s="95" customFormat="1" ht="12.75" customHeight="1" x14ac:dyDescent="0.25">
      <c r="B20" s="354"/>
      <c r="C20" s="58" t="s">
        <v>371</v>
      </c>
      <c r="D20" s="55">
        <v>16.89</v>
      </c>
      <c r="E20" s="40">
        <v>16.260000000000002</v>
      </c>
      <c r="F20" s="41">
        <f t="shared" si="0"/>
        <v>96.26998223801067</v>
      </c>
      <c r="G20" s="40">
        <v>14.93</v>
      </c>
      <c r="H20" s="41">
        <f t="shared" si="1"/>
        <v>88.395500296033148</v>
      </c>
      <c r="I20" s="40">
        <v>14.05</v>
      </c>
      <c r="J20" s="41">
        <f t="shared" si="12"/>
        <v>83.185316755476606</v>
      </c>
      <c r="K20" s="40">
        <v>12.79</v>
      </c>
      <c r="L20" s="56">
        <f t="shared" si="13"/>
        <v>75.725281231497917</v>
      </c>
      <c r="M20" s="40">
        <v>12.73</v>
      </c>
      <c r="N20" s="56">
        <f t="shared" si="14"/>
        <v>75.370041444641799</v>
      </c>
      <c r="O20" s="49" t="s">
        <v>345</v>
      </c>
      <c r="P20" s="56"/>
      <c r="Q20" s="48"/>
      <c r="R20" s="56"/>
      <c r="S20" s="48"/>
      <c r="T20" s="56"/>
      <c r="U20" s="48"/>
      <c r="V20" s="56"/>
      <c r="W20" s="48"/>
      <c r="X20" s="56"/>
      <c r="Y20" s="48"/>
      <c r="Z20" s="56"/>
    </row>
    <row r="21" spans="2:26" s="95" customFormat="1" ht="12.75" customHeight="1" x14ac:dyDescent="0.3">
      <c r="B21" s="5"/>
      <c r="C21" s="264"/>
      <c r="D21" s="265" t="s">
        <v>13</v>
      </c>
      <c r="E21" s="264"/>
      <c r="F21" s="264"/>
    </row>
    <row r="22" spans="2:26" s="95" customFormat="1" ht="12.75" customHeight="1" x14ac:dyDescent="0.3">
      <c r="B22" s="5"/>
      <c r="C22" s="264"/>
      <c r="D22" s="266" t="s">
        <v>107</v>
      </c>
      <c r="E22" s="264"/>
      <c r="F22" s="264"/>
    </row>
    <row r="23" spans="2:26" s="95" customFormat="1" ht="12.75" customHeight="1" x14ac:dyDescent="0.25">
      <c r="B23" s="5"/>
      <c r="C23" s="96"/>
      <c r="D23" s="98"/>
      <c r="E23" s="98"/>
      <c r="F23" s="98"/>
    </row>
    <row r="24" spans="2:26" s="95" customFormat="1" ht="12.75" customHeight="1" x14ac:dyDescent="0.3">
      <c r="B24" s="99" t="s">
        <v>214</v>
      </c>
      <c r="C24" s="96"/>
      <c r="D24" s="98"/>
      <c r="E24" s="98"/>
      <c r="F24" s="98"/>
    </row>
    <row r="25" spans="2:26" s="95" customFormat="1" ht="12.75" customHeight="1" x14ac:dyDescent="0.25">
      <c r="B25" s="4"/>
      <c r="C25" s="263" t="s">
        <v>72</v>
      </c>
      <c r="D25" s="263" t="s">
        <v>172</v>
      </c>
      <c r="E25" s="358" t="s">
        <v>173</v>
      </c>
      <c r="F25" s="359"/>
      <c r="G25" s="358" t="s">
        <v>102</v>
      </c>
      <c r="H25" s="359"/>
      <c r="I25" s="358" t="s">
        <v>174</v>
      </c>
      <c r="J25" s="359"/>
      <c r="K25" s="358" t="s">
        <v>103</v>
      </c>
      <c r="L25" s="359"/>
    </row>
    <row r="26" spans="2:26" s="95" customFormat="1" ht="12.75" customHeight="1" x14ac:dyDescent="0.25">
      <c r="B26" s="4"/>
      <c r="C26" s="263"/>
      <c r="D26" s="263"/>
      <c r="E26" s="263"/>
      <c r="F26" s="27"/>
      <c r="G26" s="263"/>
      <c r="H26" s="27"/>
      <c r="I26" s="263"/>
      <c r="J26" s="27"/>
      <c r="K26" s="263"/>
      <c r="L26" s="27"/>
    </row>
    <row r="27" spans="2:26" s="95" customFormat="1" ht="12.75" customHeight="1" x14ac:dyDescent="0.25">
      <c r="B27" s="354" t="s">
        <v>364</v>
      </c>
      <c r="C27" s="58" t="s">
        <v>432</v>
      </c>
      <c r="D27" s="55">
        <v>18.47</v>
      </c>
      <c r="E27" s="40">
        <v>18.63</v>
      </c>
      <c r="F27" s="47">
        <f>E27/D27*100</f>
        <v>100.86626962642123</v>
      </c>
      <c r="G27" s="40">
        <v>18.61</v>
      </c>
      <c r="H27" s="46">
        <f>G27/D27*100</f>
        <v>100.75798592311858</v>
      </c>
      <c r="I27" s="40">
        <v>18.66</v>
      </c>
      <c r="J27" s="46">
        <f>I27/D27*100</f>
        <v>101.02869518137521</v>
      </c>
      <c r="K27" s="40">
        <v>18.329999999999998</v>
      </c>
      <c r="L27" s="47">
        <f>K27/D27*100</f>
        <v>99.242014076881418</v>
      </c>
    </row>
    <row r="28" spans="2:26" s="95" customFormat="1" ht="12.75" customHeight="1" x14ac:dyDescent="0.25">
      <c r="B28" s="354"/>
      <c r="C28" s="58" t="s">
        <v>433</v>
      </c>
      <c r="D28" s="55">
        <v>17.989999999999998</v>
      </c>
      <c r="E28" s="40">
        <v>17.809999999999999</v>
      </c>
      <c r="F28" s="47">
        <f t="shared" ref="F28:F41" si="15">E28/D28*100</f>
        <v>98.99944413563091</v>
      </c>
      <c r="G28" s="40">
        <v>18.059999999999999</v>
      </c>
      <c r="H28" s="46">
        <f t="shared" ref="H28:H41" si="16">G28/D28*100</f>
        <v>100.38910505836576</v>
      </c>
      <c r="I28" s="40">
        <v>17.82</v>
      </c>
      <c r="J28" s="46">
        <f t="shared" ref="J28:J31" si="17">I28/D28*100</f>
        <v>99.055030572540318</v>
      </c>
      <c r="K28" s="40">
        <v>17.18</v>
      </c>
      <c r="L28" s="47">
        <f t="shared" ref="L28:L31" si="18">K28/D28*100</f>
        <v>95.497498610339079</v>
      </c>
    </row>
    <row r="29" spans="2:26" s="95" customFormat="1" ht="12.75" customHeight="1" x14ac:dyDescent="0.25">
      <c r="B29" s="354"/>
      <c r="C29" s="58" t="s">
        <v>434</v>
      </c>
      <c r="D29" s="55">
        <v>18.28</v>
      </c>
      <c r="E29" s="40">
        <v>18.420000000000002</v>
      </c>
      <c r="F29" s="47">
        <f t="shared" si="15"/>
        <v>100.76586433260395</v>
      </c>
      <c r="G29" s="40">
        <v>18.45</v>
      </c>
      <c r="H29" s="46">
        <f t="shared" si="16"/>
        <v>100.92997811816191</v>
      </c>
      <c r="I29" s="40">
        <v>18.97</v>
      </c>
      <c r="J29" s="46">
        <f t="shared" si="17"/>
        <v>103.77461706783369</v>
      </c>
      <c r="K29" s="40">
        <v>18.18</v>
      </c>
      <c r="L29" s="47">
        <f t="shared" si="18"/>
        <v>99.452954048140043</v>
      </c>
    </row>
    <row r="30" spans="2:26" s="95" customFormat="1" ht="12.75" customHeight="1" x14ac:dyDescent="0.25">
      <c r="B30" s="354"/>
      <c r="C30" s="58" t="s">
        <v>435</v>
      </c>
      <c r="D30" s="55">
        <v>17.600000000000001</v>
      </c>
      <c r="E30" s="40">
        <v>17.739999999999998</v>
      </c>
      <c r="F30" s="47">
        <f t="shared" si="15"/>
        <v>100.79545454545453</v>
      </c>
      <c r="G30" s="40">
        <v>17.82</v>
      </c>
      <c r="H30" s="46">
        <f t="shared" si="16"/>
        <v>101.25</v>
      </c>
      <c r="I30" s="40">
        <v>17.760000000000002</v>
      </c>
      <c r="J30" s="46">
        <f t="shared" si="17"/>
        <v>100.90909090909091</v>
      </c>
      <c r="K30" s="40">
        <v>17.07</v>
      </c>
      <c r="L30" s="47">
        <f t="shared" si="18"/>
        <v>96.98863636363636</v>
      </c>
    </row>
    <row r="31" spans="2:26" s="95" customFormat="1" ht="12.75" customHeight="1" x14ac:dyDescent="0.25">
      <c r="B31" s="354"/>
      <c r="C31" s="58" t="s">
        <v>436</v>
      </c>
      <c r="D31" s="55">
        <v>17.04</v>
      </c>
      <c r="E31" s="40">
        <v>17.47</v>
      </c>
      <c r="F31" s="47">
        <f t="shared" si="15"/>
        <v>102.52347417840375</v>
      </c>
      <c r="G31" s="40">
        <v>17.37</v>
      </c>
      <c r="H31" s="46">
        <f t="shared" si="16"/>
        <v>101.93661971830987</v>
      </c>
      <c r="I31" s="40">
        <v>17.420000000000002</v>
      </c>
      <c r="J31" s="46">
        <f t="shared" si="17"/>
        <v>102.23004694835683</v>
      </c>
      <c r="K31" s="40">
        <v>17.29</v>
      </c>
      <c r="L31" s="47">
        <f t="shared" si="18"/>
        <v>101.46713615023475</v>
      </c>
    </row>
    <row r="32" spans="2:26" s="95" customFormat="1" ht="12.75" customHeight="1" x14ac:dyDescent="0.25">
      <c r="B32" s="366" t="s">
        <v>365</v>
      </c>
      <c r="C32" s="58" t="s">
        <v>437</v>
      </c>
      <c r="D32" s="55">
        <v>17.22</v>
      </c>
      <c r="E32" s="40">
        <v>16.54</v>
      </c>
      <c r="F32" s="47">
        <f t="shared" si="15"/>
        <v>96.051103368176541</v>
      </c>
      <c r="G32" s="48">
        <v>15.43</v>
      </c>
      <c r="H32" s="46">
        <f t="shared" si="16"/>
        <v>89.60511033681766</v>
      </c>
      <c r="I32" s="49" t="s">
        <v>224</v>
      </c>
      <c r="J32" s="52"/>
      <c r="K32" s="48"/>
      <c r="L32" s="50"/>
    </row>
    <row r="33" spans="2:12" s="95" customFormat="1" ht="12.75" customHeight="1" x14ac:dyDescent="0.25">
      <c r="B33" s="366"/>
      <c r="C33" s="58" t="s">
        <v>438</v>
      </c>
      <c r="D33" s="55">
        <v>17.68</v>
      </c>
      <c r="E33" s="40">
        <v>17.510000000000002</v>
      </c>
      <c r="F33" s="47">
        <f t="shared" si="15"/>
        <v>99.038461538461547</v>
      </c>
      <c r="G33" s="48">
        <v>15.93</v>
      </c>
      <c r="H33" s="46">
        <f t="shared" si="16"/>
        <v>90.101809954751133</v>
      </c>
      <c r="I33" s="49" t="s">
        <v>224</v>
      </c>
      <c r="J33" s="52"/>
      <c r="K33" s="48"/>
      <c r="L33" s="50"/>
    </row>
    <row r="34" spans="2:12" s="95" customFormat="1" ht="12.75" customHeight="1" x14ac:dyDescent="0.25">
      <c r="B34" s="366"/>
      <c r="C34" s="58" t="s">
        <v>439</v>
      </c>
      <c r="D34" s="55">
        <v>17.420000000000002</v>
      </c>
      <c r="E34" s="40">
        <v>16.7</v>
      </c>
      <c r="F34" s="47">
        <f t="shared" si="15"/>
        <v>95.866819747416756</v>
      </c>
      <c r="G34" s="48">
        <v>15.3</v>
      </c>
      <c r="H34" s="46">
        <f t="shared" si="16"/>
        <v>87.830080367393791</v>
      </c>
      <c r="I34" s="49" t="s">
        <v>440</v>
      </c>
      <c r="J34" s="52"/>
      <c r="K34" s="48"/>
      <c r="L34" s="50"/>
    </row>
    <row r="35" spans="2:12" s="95" customFormat="1" ht="12.75" customHeight="1" x14ac:dyDescent="0.25">
      <c r="B35" s="366"/>
      <c r="C35" s="58" t="s">
        <v>441</v>
      </c>
      <c r="D35" s="55">
        <v>17.940000000000001</v>
      </c>
      <c r="E35" s="40">
        <v>17.010000000000002</v>
      </c>
      <c r="F35" s="47">
        <f t="shared" si="15"/>
        <v>94.81605351170569</v>
      </c>
      <c r="G35" s="48">
        <v>15.77</v>
      </c>
      <c r="H35" s="46">
        <f t="shared" si="16"/>
        <v>87.90412486064659</v>
      </c>
      <c r="I35" s="49" t="s">
        <v>440</v>
      </c>
      <c r="J35" s="52"/>
      <c r="K35" s="48"/>
      <c r="L35" s="50"/>
    </row>
    <row r="36" spans="2:12" s="95" customFormat="1" ht="12.75" customHeight="1" x14ac:dyDescent="0.25">
      <c r="B36" s="366"/>
      <c r="C36" s="58" t="s">
        <v>442</v>
      </c>
      <c r="D36" s="55">
        <v>18.64</v>
      </c>
      <c r="E36" s="40">
        <v>17.690000000000001</v>
      </c>
      <c r="F36" s="47">
        <f t="shared" si="15"/>
        <v>94.903433476394852</v>
      </c>
      <c r="G36" s="48">
        <v>16.43</v>
      </c>
      <c r="H36" s="46">
        <f t="shared" si="16"/>
        <v>88.143776824034319</v>
      </c>
      <c r="I36" s="49" t="s">
        <v>228</v>
      </c>
      <c r="J36" s="52"/>
      <c r="K36" s="48"/>
      <c r="L36" s="50"/>
    </row>
    <row r="37" spans="2:12" s="95" customFormat="1" ht="12.75" customHeight="1" x14ac:dyDescent="0.25">
      <c r="B37" s="354" t="s">
        <v>865</v>
      </c>
      <c r="C37" s="58" t="s">
        <v>458</v>
      </c>
      <c r="D37" s="55">
        <v>20.66</v>
      </c>
      <c r="E37" s="40">
        <v>19.2</v>
      </c>
      <c r="F37" s="47">
        <f t="shared" si="15"/>
        <v>92.933204259438526</v>
      </c>
      <c r="G37" s="40">
        <v>18.559999999999999</v>
      </c>
      <c r="H37" s="46">
        <f t="shared" si="16"/>
        <v>89.835430784123901</v>
      </c>
      <c r="I37" s="49" t="s">
        <v>228</v>
      </c>
      <c r="J37" s="52"/>
      <c r="K37" s="48"/>
      <c r="L37" s="50"/>
    </row>
    <row r="38" spans="2:12" s="95" customFormat="1" ht="12.75" customHeight="1" x14ac:dyDescent="0.25">
      <c r="B38" s="354"/>
      <c r="C38" s="58" t="s">
        <v>459</v>
      </c>
      <c r="D38" s="55">
        <v>19.84</v>
      </c>
      <c r="E38" s="40">
        <v>19.489999999999998</v>
      </c>
      <c r="F38" s="47">
        <f t="shared" si="15"/>
        <v>98.235887096774192</v>
      </c>
      <c r="G38" s="40">
        <v>17.98</v>
      </c>
      <c r="H38" s="46">
        <f t="shared" si="16"/>
        <v>90.625</v>
      </c>
      <c r="I38" s="49" t="s">
        <v>228</v>
      </c>
      <c r="J38" s="52"/>
      <c r="K38" s="48"/>
      <c r="L38" s="50"/>
    </row>
    <row r="39" spans="2:12" s="95" customFormat="1" ht="12.75" customHeight="1" x14ac:dyDescent="0.3">
      <c r="B39" s="354"/>
      <c r="C39" s="58" t="s">
        <v>460</v>
      </c>
      <c r="D39" s="55">
        <v>19.78</v>
      </c>
      <c r="E39" s="40">
        <v>18.66</v>
      </c>
      <c r="F39" s="47">
        <f t="shared" si="15"/>
        <v>94.337714863498476</v>
      </c>
      <c r="G39" s="40">
        <v>17.149999999999999</v>
      </c>
      <c r="H39" s="46">
        <f t="shared" si="16"/>
        <v>86.703741152679456</v>
      </c>
      <c r="I39" s="48">
        <v>16.12</v>
      </c>
      <c r="J39" s="46">
        <f t="shared" ref="J39:J40" si="19">I39/D39*100</f>
        <v>81.496461071789682</v>
      </c>
      <c r="K39" s="49" t="s">
        <v>351</v>
      </c>
      <c r="L39" s="54"/>
    </row>
    <row r="40" spans="2:12" s="95" customFormat="1" ht="12.75" customHeight="1" x14ac:dyDescent="0.3">
      <c r="B40" s="354"/>
      <c r="C40" s="58" t="s">
        <v>461</v>
      </c>
      <c r="D40" s="55">
        <v>19.68</v>
      </c>
      <c r="E40" s="40">
        <v>18.93</v>
      </c>
      <c r="F40" s="47">
        <f t="shared" si="15"/>
        <v>96.189024390243901</v>
      </c>
      <c r="G40" s="48">
        <v>16.88</v>
      </c>
      <c r="H40" s="46">
        <f t="shared" si="16"/>
        <v>85.77235772357723</v>
      </c>
      <c r="I40" s="48">
        <v>16.149999999999999</v>
      </c>
      <c r="J40" s="46">
        <f t="shared" si="19"/>
        <v>82.0630081300813</v>
      </c>
      <c r="K40" s="49" t="s">
        <v>228</v>
      </c>
      <c r="L40" s="54"/>
    </row>
    <row r="41" spans="2:12" s="95" customFormat="1" ht="12.75" customHeight="1" x14ac:dyDescent="0.3">
      <c r="B41" s="354"/>
      <c r="C41" s="58" t="s">
        <v>462</v>
      </c>
      <c r="D41" s="55">
        <v>18.78</v>
      </c>
      <c r="E41" s="40">
        <v>18.12</v>
      </c>
      <c r="F41" s="47">
        <f t="shared" si="15"/>
        <v>96.485623003194888</v>
      </c>
      <c r="G41" s="48">
        <v>16.8</v>
      </c>
      <c r="H41" s="46">
        <f t="shared" si="16"/>
        <v>89.456869009584665</v>
      </c>
      <c r="I41" s="49" t="s">
        <v>228</v>
      </c>
      <c r="J41" s="63"/>
      <c r="K41" s="48"/>
      <c r="L41" s="64"/>
    </row>
    <row r="42" spans="2:12" s="95" customFormat="1" ht="12.75" customHeight="1" x14ac:dyDescent="0.25">
      <c r="B42" s="5"/>
      <c r="C42" s="96"/>
      <c r="D42" s="98"/>
      <c r="E42" s="98"/>
      <c r="F42" s="98"/>
    </row>
    <row r="43" spans="2:12" s="95" customFormat="1" ht="12.75" customHeight="1" x14ac:dyDescent="0.25">
      <c r="B43" s="5"/>
      <c r="C43" s="96"/>
      <c r="D43" s="98"/>
      <c r="E43" s="98"/>
      <c r="F43" s="98"/>
    </row>
    <row r="44" spans="2:12" s="95" customFormat="1" ht="12.5" x14ac:dyDescent="0.25">
      <c r="B44" s="5"/>
      <c r="C44" s="96"/>
      <c r="D44" s="98"/>
      <c r="E44" s="98"/>
      <c r="F44" s="98"/>
    </row>
    <row r="45" spans="2:12" s="95" customFormat="1" ht="12.5" x14ac:dyDescent="0.25">
      <c r="B45" s="5"/>
      <c r="C45" s="96"/>
      <c r="D45" s="98"/>
      <c r="E45" s="98"/>
      <c r="F45" s="98"/>
    </row>
  </sheetData>
  <mergeCells count="21">
    <mergeCell ref="B37:B41"/>
    <mergeCell ref="B27:B31"/>
    <mergeCell ref="B32:B36"/>
    <mergeCell ref="G25:H25"/>
    <mergeCell ref="I25:J25"/>
    <mergeCell ref="K25:L25"/>
    <mergeCell ref="B11:B15"/>
    <mergeCell ref="B16:B20"/>
    <mergeCell ref="E25:F25"/>
    <mergeCell ref="Q4:R4"/>
    <mergeCell ref="S4:T4"/>
    <mergeCell ref="U4:V4"/>
    <mergeCell ref="W4:X4"/>
    <mergeCell ref="Y4:Z4"/>
    <mergeCell ref="B6:B10"/>
    <mergeCell ref="E4:F4"/>
    <mergeCell ref="G4:H4"/>
    <mergeCell ref="I4:J4"/>
    <mergeCell ref="K4:L4"/>
    <mergeCell ref="M4:N4"/>
    <mergeCell ref="O4:P4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2569B-AA70-48F9-AC4A-39F6F1C56066}">
  <dimension ref="B2:AE53"/>
  <sheetViews>
    <sheetView zoomScale="90" zoomScaleNormal="90" workbookViewId="0">
      <selection activeCell="Q45" sqref="Q45"/>
    </sheetView>
  </sheetViews>
  <sheetFormatPr defaultColWidth="9" defaultRowHeight="14" x14ac:dyDescent="0.3"/>
  <cols>
    <col min="1" max="1" width="9" style="25"/>
    <col min="2" max="2" width="15.25" style="37" customWidth="1"/>
    <col min="3" max="3" width="6.33203125" style="35" customWidth="1"/>
    <col min="4" max="5" width="6.5" style="36" customWidth="1"/>
    <col min="6" max="6" width="6.75" style="36" bestFit="1" customWidth="1"/>
    <col min="7" max="7" width="6.08203125" style="25" bestFit="1" customWidth="1"/>
    <col min="8" max="8" width="6.75" style="25" customWidth="1"/>
    <col min="9" max="9" width="6.08203125" style="25" bestFit="1" customWidth="1"/>
    <col min="10" max="10" width="6.75" style="25" customWidth="1"/>
    <col min="11" max="11" width="6.08203125" style="25" bestFit="1" customWidth="1"/>
    <col min="12" max="12" width="6.75" style="25" customWidth="1"/>
    <col min="13" max="13" width="6.08203125" style="25" bestFit="1" customWidth="1"/>
    <col min="14" max="14" width="6.75" style="25" customWidth="1"/>
    <col min="15" max="15" width="6.08203125" style="25" bestFit="1" customWidth="1"/>
    <col min="16" max="16" width="6.75" style="25" customWidth="1"/>
    <col min="17" max="17" width="6.08203125" style="25" bestFit="1" customWidth="1"/>
    <col min="18" max="18" width="6.75" style="25" customWidth="1"/>
    <col min="19" max="19" width="5.75" style="25" customWidth="1"/>
    <col min="20" max="20" width="6.83203125" style="25" bestFit="1" customWidth="1"/>
    <col min="21" max="21" width="6.08203125" style="25" bestFit="1" customWidth="1"/>
    <col min="22" max="22" width="6.83203125" style="25" bestFit="1" customWidth="1"/>
    <col min="23" max="23" width="6.08203125" style="25" bestFit="1" customWidth="1"/>
    <col min="24" max="24" width="6.83203125" style="25" bestFit="1" customWidth="1"/>
    <col min="25" max="25" width="6.25" style="25" customWidth="1"/>
    <col min="26" max="26" width="38.75" style="25" bestFit="1" customWidth="1"/>
    <col min="27" max="30" width="9" style="25"/>
    <col min="31" max="31" width="14.08203125" style="25" bestFit="1" customWidth="1"/>
    <col min="32" max="16384" width="9" style="25"/>
  </cols>
  <sheetData>
    <row r="2" spans="2:31" s="95" customFormat="1" ht="13" x14ac:dyDescent="0.25">
      <c r="C2" s="100" t="s">
        <v>108</v>
      </c>
      <c r="D2" s="101"/>
      <c r="E2" s="101"/>
    </row>
    <row r="3" spans="2:31" s="95" customFormat="1" ht="13" x14ac:dyDescent="0.3">
      <c r="C3" s="100"/>
      <c r="D3" s="101"/>
      <c r="E3" s="101"/>
      <c r="Z3" s="103" t="s">
        <v>71</v>
      </c>
    </row>
    <row r="4" spans="2:31" s="95" customFormat="1" ht="12.5" x14ac:dyDescent="0.25">
      <c r="B4" s="4"/>
      <c r="C4" s="263" t="s">
        <v>72</v>
      </c>
      <c r="D4" s="263" t="s">
        <v>172</v>
      </c>
      <c r="E4" s="358" t="s">
        <v>173</v>
      </c>
      <c r="F4" s="359"/>
      <c r="G4" s="358" t="s">
        <v>174</v>
      </c>
      <c r="H4" s="359"/>
      <c r="I4" s="358" t="s">
        <v>103</v>
      </c>
      <c r="J4" s="359"/>
      <c r="K4" s="358" t="s">
        <v>175</v>
      </c>
      <c r="L4" s="359"/>
      <c r="M4" s="358" t="s">
        <v>74</v>
      </c>
      <c r="N4" s="359"/>
      <c r="O4" s="358" t="s">
        <v>176</v>
      </c>
      <c r="P4" s="359"/>
      <c r="Q4" s="358" t="s">
        <v>75</v>
      </c>
      <c r="R4" s="359"/>
      <c r="S4" s="358" t="s">
        <v>264</v>
      </c>
      <c r="T4" s="359"/>
      <c r="U4" s="358" t="s">
        <v>278</v>
      </c>
      <c r="V4" s="359"/>
      <c r="W4" s="358" t="s">
        <v>333</v>
      </c>
      <c r="X4" s="359"/>
    </row>
    <row r="5" spans="2:31" s="95" customFormat="1" ht="12.75" customHeight="1" x14ac:dyDescent="0.3">
      <c r="B5" s="4"/>
      <c r="C5" s="263"/>
      <c r="D5" s="263"/>
      <c r="E5" s="263"/>
      <c r="F5" s="27"/>
      <c r="G5" s="263"/>
      <c r="H5" s="27"/>
      <c r="I5" s="263"/>
      <c r="J5" s="27"/>
      <c r="K5" s="263"/>
      <c r="L5" s="27"/>
      <c r="M5" s="263"/>
      <c r="N5" s="27"/>
      <c r="O5" s="263"/>
      <c r="P5" s="27"/>
      <c r="Q5" s="263"/>
      <c r="R5" s="27"/>
      <c r="S5" s="263"/>
      <c r="T5" s="27"/>
      <c r="U5" s="263"/>
      <c r="V5" s="27"/>
      <c r="W5" s="263"/>
      <c r="X5" s="27"/>
      <c r="Z5" s="2" t="s">
        <v>41</v>
      </c>
      <c r="AA5" s="8" t="s">
        <v>425</v>
      </c>
      <c r="AB5" s="3"/>
      <c r="AC5" s="3"/>
      <c r="AD5" s="3"/>
      <c r="AE5" s="3"/>
    </row>
    <row r="6" spans="2:31" s="95" customFormat="1" ht="12.75" customHeight="1" x14ac:dyDescent="0.25">
      <c r="B6" s="354" t="s">
        <v>364</v>
      </c>
      <c r="C6" s="58" t="s">
        <v>372</v>
      </c>
      <c r="D6" s="55">
        <v>18.53</v>
      </c>
      <c r="E6" s="40">
        <v>17.46</v>
      </c>
      <c r="F6" s="47">
        <f>E6/D6*100</f>
        <v>94.225580140312999</v>
      </c>
      <c r="G6" s="40">
        <v>18.05</v>
      </c>
      <c r="H6" s="47">
        <f>G6/D6*100</f>
        <v>97.409606044252556</v>
      </c>
      <c r="I6" s="40">
        <v>17.86</v>
      </c>
      <c r="J6" s="47">
        <f>I6/D6*100</f>
        <v>96.384241770102534</v>
      </c>
      <c r="K6" s="40">
        <v>18.239999999999998</v>
      </c>
      <c r="L6" s="47">
        <f>K6/D6*100</f>
        <v>98.434970318402577</v>
      </c>
      <c r="M6" s="40">
        <v>18.329999999999998</v>
      </c>
      <c r="N6" s="47">
        <f>M6/D6*100</f>
        <v>98.920669185105211</v>
      </c>
      <c r="O6" s="40">
        <v>18.36</v>
      </c>
      <c r="P6" s="47">
        <f>O6/D6*100</f>
        <v>99.082568807339442</v>
      </c>
      <c r="Q6" s="40">
        <v>18.75</v>
      </c>
      <c r="R6" s="47">
        <f>Q6/D6*100</f>
        <v>101.18726389638424</v>
      </c>
      <c r="S6" s="40">
        <v>19.010000000000002</v>
      </c>
      <c r="T6" s="47">
        <f>S6/D6*100</f>
        <v>102.59039395574744</v>
      </c>
      <c r="U6" s="40">
        <v>18.54</v>
      </c>
      <c r="V6" s="47">
        <f>U6/D6*100</f>
        <v>100.05396654074472</v>
      </c>
      <c r="W6" s="40">
        <v>18.600000000000001</v>
      </c>
      <c r="X6" s="47">
        <f>W6/D6*100</f>
        <v>100.37776578521319</v>
      </c>
      <c r="Z6" s="2"/>
      <c r="AA6" s="3"/>
      <c r="AB6" s="3"/>
      <c r="AC6" s="3"/>
      <c r="AD6" s="3"/>
      <c r="AE6" s="3"/>
    </row>
    <row r="7" spans="2:31" s="95" customFormat="1" ht="12.75" customHeight="1" x14ac:dyDescent="0.25">
      <c r="B7" s="354"/>
      <c r="C7" s="58" t="s">
        <v>373</v>
      </c>
      <c r="D7" s="55">
        <v>17.809999999999999</v>
      </c>
      <c r="E7" s="40">
        <v>17.66</v>
      </c>
      <c r="F7" s="47">
        <f t="shared" ref="F7:F20" si="0">E7/D7*100</f>
        <v>99.157776530039314</v>
      </c>
      <c r="G7" s="40">
        <v>18.100000000000001</v>
      </c>
      <c r="H7" s="47">
        <f t="shared" ref="H7:H20" si="1">G7/D7*100</f>
        <v>101.62829870859069</v>
      </c>
      <c r="I7" s="40">
        <v>18.46</v>
      </c>
      <c r="J7" s="47">
        <f t="shared" ref="J7:J20" si="2">I7/D7*100</f>
        <v>103.64963503649636</v>
      </c>
      <c r="K7" s="40">
        <v>19.079999999999998</v>
      </c>
      <c r="L7" s="47">
        <f t="shared" ref="L7:L20" si="3">K7/D7*100</f>
        <v>107.13082537900056</v>
      </c>
      <c r="M7" s="40">
        <v>19.02</v>
      </c>
      <c r="N7" s="47">
        <f t="shared" ref="N7:N20" si="4">M7/D7*100</f>
        <v>106.7939359910163</v>
      </c>
      <c r="O7" s="40">
        <v>18.309999999999999</v>
      </c>
      <c r="P7" s="47">
        <f t="shared" ref="P7:P20" si="5">O7/D7*100</f>
        <v>102.80741156653565</v>
      </c>
      <c r="Q7" s="40">
        <v>18.41</v>
      </c>
      <c r="R7" s="47">
        <f t="shared" ref="R7:R20" si="6">Q7/D7*100</f>
        <v>103.36889387984279</v>
      </c>
      <c r="S7" s="40">
        <v>18.55</v>
      </c>
      <c r="T7" s="47">
        <f t="shared" ref="T7:T20" si="7">S7/D7*100</f>
        <v>104.15496911847278</v>
      </c>
      <c r="U7" s="40">
        <v>18.32</v>
      </c>
      <c r="V7" s="47">
        <f t="shared" ref="V7:V15" si="8">U7/D7*100</f>
        <v>102.86355979786637</v>
      </c>
      <c r="W7" s="40">
        <v>18.440000000000001</v>
      </c>
      <c r="X7" s="47">
        <f t="shared" ref="X7:X15" si="9">W7/D7*100</f>
        <v>103.53733857383493</v>
      </c>
      <c r="Z7" s="2" t="s">
        <v>402</v>
      </c>
      <c r="AA7" s="3"/>
      <c r="AB7" s="3"/>
      <c r="AC7" s="3"/>
      <c r="AD7" s="3"/>
      <c r="AE7" s="3"/>
    </row>
    <row r="8" spans="2:31" s="95" customFormat="1" ht="12.75" customHeight="1" x14ac:dyDescent="0.3">
      <c r="B8" s="354"/>
      <c r="C8" s="58" t="s">
        <v>374</v>
      </c>
      <c r="D8" s="55">
        <v>17.95</v>
      </c>
      <c r="E8" s="40">
        <v>17.34</v>
      </c>
      <c r="F8" s="47">
        <f t="shared" si="0"/>
        <v>96.601671309192199</v>
      </c>
      <c r="G8" s="40">
        <v>17.510000000000002</v>
      </c>
      <c r="H8" s="47">
        <f t="shared" si="1"/>
        <v>97.548746518105872</v>
      </c>
      <c r="I8" s="40">
        <v>17.32</v>
      </c>
      <c r="J8" s="47">
        <f t="shared" si="2"/>
        <v>96.490250696378837</v>
      </c>
      <c r="K8" s="40">
        <v>18.010000000000002</v>
      </c>
      <c r="L8" s="47">
        <f t="shared" si="3"/>
        <v>100.33426183844011</v>
      </c>
      <c r="M8" s="40">
        <v>17.899999999999999</v>
      </c>
      <c r="N8" s="47">
        <f t="shared" si="4"/>
        <v>99.721448467966567</v>
      </c>
      <c r="O8" s="40">
        <v>18.07</v>
      </c>
      <c r="P8" s="47">
        <f t="shared" si="5"/>
        <v>100.66852367688024</v>
      </c>
      <c r="Q8" s="40">
        <v>18.75</v>
      </c>
      <c r="R8" s="47">
        <f t="shared" si="6"/>
        <v>104.45682451253482</v>
      </c>
      <c r="S8" s="40">
        <v>18.64</v>
      </c>
      <c r="T8" s="47">
        <f t="shared" si="7"/>
        <v>103.84401114206131</v>
      </c>
      <c r="U8" s="40">
        <v>18.420000000000002</v>
      </c>
      <c r="V8" s="47">
        <f t="shared" si="8"/>
        <v>102.61838440111421</v>
      </c>
      <c r="W8" s="40">
        <v>18.5</v>
      </c>
      <c r="X8" s="47">
        <f t="shared" si="9"/>
        <v>103.06406685236769</v>
      </c>
      <c r="Z8" s="7" t="s">
        <v>47</v>
      </c>
      <c r="AA8" s="8">
        <v>2.8999999999999998E-3</v>
      </c>
      <c r="AB8" s="3"/>
      <c r="AC8" s="3"/>
      <c r="AD8" s="3"/>
      <c r="AE8" s="3"/>
    </row>
    <row r="9" spans="2:31" s="95" customFormat="1" ht="12.75" customHeight="1" x14ac:dyDescent="0.3">
      <c r="B9" s="354"/>
      <c r="C9" s="58" t="s">
        <v>375</v>
      </c>
      <c r="D9" s="55">
        <v>17.63</v>
      </c>
      <c r="E9" s="40">
        <v>17.45</v>
      </c>
      <c r="F9" s="47">
        <f t="shared" si="0"/>
        <v>98.979013045944413</v>
      </c>
      <c r="G9" s="40">
        <v>17.13</v>
      </c>
      <c r="H9" s="47">
        <f t="shared" si="1"/>
        <v>97.163925127623372</v>
      </c>
      <c r="I9" s="40">
        <v>17.28</v>
      </c>
      <c r="J9" s="47">
        <f t="shared" si="2"/>
        <v>98.014747589336366</v>
      </c>
      <c r="K9" s="40">
        <v>18.329999999999998</v>
      </c>
      <c r="L9" s="47">
        <f t="shared" si="3"/>
        <v>103.97050482132728</v>
      </c>
      <c r="M9" s="40">
        <v>18.16</v>
      </c>
      <c r="N9" s="47">
        <f t="shared" si="4"/>
        <v>103.00623936471925</v>
      </c>
      <c r="O9" s="40">
        <v>18.16</v>
      </c>
      <c r="P9" s="47">
        <f t="shared" si="5"/>
        <v>103.00623936471925</v>
      </c>
      <c r="Q9" s="40">
        <v>18.079999999999998</v>
      </c>
      <c r="R9" s="47">
        <f t="shared" si="6"/>
        <v>102.55246738513897</v>
      </c>
      <c r="S9" s="40">
        <v>17.940000000000001</v>
      </c>
      <c r="T9" s="47">
        <f t="shared" si="7"/>
        <v>101.75836642087353</v>
      </c>
      <c r="U9" s="40">
        <v>18.02</v>
      </c>
      <c r="V9" s="47">
        <f t="shared" si="8"/>
        <v>102.21213840045378</v>
      </c>
      <c r="W9" s="40">
        <v>18.170000000000002</v>
      </c>
      <c r="X9" s="47">
        <f t="shared" si="9"/>
        <v>103.06296086216678</v>
      </c>
      <c r="Z9" s="7" t="s">
        <v>49</v>
      </c>
      <c r="AA9" s="8" t="s">
        <v>146</v>
      </c>
      <c r="AB9" s="3"/>
      <c r="AC9" s="3"/>
      <c r="AD9" s="3"/>
      <c r="AE9" s="3"/>
    </row>
    <row r="10" spans="2:31" s="95" customFormat="1" ht="12.75" customHeight="1" x14ac:dyDescent="0.25">
      <c r="B10" s="354"/>
      <c r="C10" s="58" t="s">
        <v>376</v>
      </c>
      <c r="D10" s="55">
        <v>17.54</v>
      </c>
      <c r="E10" s="40">
        <v>17.260000000000002</v>
      </c>
      <c r="F10" s="47">
        <f t="shared" si="0"/>
        <v>98.403648802736626</v>
      </c>
      <c r="G10" s="40">
        <v>17.21</v>
      </c>
      <c r="H10" s="47">
        <f t="shared" si="1"/>
        <v>98.11858608893958</v>
      </c>
      <c r="I10" s="40">
        <v>17.18</v>
      </c>
      <c r="J10" s="47">
        <f t="shared" si="2"/>
        <v>97.947548460661352</v>
      </c>
      <c r="K10" s="40">
        <v>17.88</v>
      </c>
      <c r="L10" s="47">
        <f t="shared" si="3"/>
        <v>101.93842645381983</v>
      </c>
      <c r="M10" s="40">
        <v>17.88</v>
      </c>
      <c r="N10" s="47">
        <f t="shared" si="4"/>
        <v>101.93842645381983</v>
      </c>
      <c r="O10" s="40">
        <v>17.940000000000001</v>
      </c>
      <c r="P10" s="47">
        <f t="shared" si="5"/>
        <v>102.2805017103763</v>
      </c>
      <c r="Q10" s="40">
        <v>18.21</v>
      </c>
      <c r="R10" s="47">
        <f t="shared" si="6"/>
        <v>103.81984036488028</v>
      </c>
      <c r="S10" s="40">
        <v>18.23</v>
      </c>
      <c r="T10" s="47">
        <f t="shared" si="7"/>
        <v>103.93386545039908</v>
      </c>
      <c r="U10" s="40">
        <v>18.66</v>
      </c>
      <c r="V10" s="47">
        <f t="shared" si="8"/>
        <v>106.38540478905361</v>
      </c>
      <c r="W10" s="40">
        <v>18.45</v>
      </c>
      <c r="X10" s="47">
        <f t="shared" si="9"/>
        <v>105.18814139110604</v>
      </c>
      <c r="Z10" s="2" t="s">
        <v>51</v>
      </c>
      <c r="AA10" s="3" t="s">
        <v>52</v>
      </c>
      <c r="AB10" s="3"/>
      <c r="AC10" s="3"/>
      <c r="AD10" s="3"/>
      <c r="AE10" s="3"/>
    </row>
    <row r="11" spans="2:31" s="95" customFormat="1" ht="12.75" customHeight="1" x14ac:dyDescent="0.25">
      <c r="B11" s="366" t="s">
        <v>365</v>
      </c>
      <c r="C11" s="58" t="s">
        <v>377</v>
      </c>
      <c r="D11" s="55">
        <v>17.36</v>
      </c>
      <c r="E11" s="48">
        <v>16.28</v>
      </c>
      <c r="F11" s="47">
        <f t="shared" si="0"/>
        <v>93.778801843317979</v>
      </c>
      <c r="G11" s="48">
        <v>15.83</v>
      </c>
      <c r="H11" s="47">
        <f t="shared" si="1"/>
        <v>91.18663594470047</v>
      </c>
      <c r="I11" s="48">
        <v>15.83</v>
      </c>
      <c r="J11" s="47">
        <f t="shared" si="2"/>
        <v>91.18663594470047</v>
      </c>
      <c r="K11" s="48">
        <v>16.579999999999998</v>
      </c>
      <c r="L11" s="47">
        <f t="shared" si="3"/>
        <v>95.506912442396313</v>
      </c>
      <c r="M11" s="40">
        <v>17.66</v>
      </c>
      <c r="N11" s="47">
        <f t="shared" si="4"/>
        <v>101.72811059907833</v>
      </c>
      <c r="O11" s="40">
        <v>18.559999999999999</v>
      </c>
      <c r="P11" s="47">
        <f t="shared" si="5"/>
        <v>106.91244239631337</v>
      </c>
      <c r="Q11" s="40">
        <v>18.21</v>
      </c>
      <c r="R11" s="47">
        <f t="shared" si="6"/>
        <v>104.89631336405532</v>
      </c>
      <c r="S11" s="40">
        <v>19.47</v>
      </c>
      <c r="T11" s="47">
        <f t="shared" si="7"/>
        <v>112.15437788018431</v>
      </c>
      <c r="U11" s="40">
        <v>18.920000000000002</v>
      </c>
      <c r="V11" s="47">
        <f t="shared" si="8"/>
        <v>108.98617511520739</v>
      </c>
      <c r="W11" s="40">
        <v>18.86</v>
      </c>
      <c r="X11" s="47">
        <f t="shared" si="9"/>
        <v>108.6405529953917</v>
      </c>
      <c r="Z11" s="2" t="s">
        <v>403</v>
      </c>
      <c r="AA11" s="3">
        <v>3</v>
      </c>
      <c r="AB11" s="3"/>
      <c r="AC11" s="3"/>
      <c r="AD11" s="3"/>
      <c r="AE11" s="3"/>
    </row>
    <row r="12" spans="2:31" s="95" customFormat="1" ht="12.75" customHeight="1" x14ac:dyDescent="0.25">
      <c r="B12" s="366"/>
      <c r="C12" s="58" t="s">
        <v>378</v>
      </c>
      <c r="D12" s="55">
        <v>16.54</v>
      </c>
      <c r="E12" s="48">
        <v>15.66</v>
      </c>
      <c r="F12" s="47">
        <f t="shared" si="0"/>
        <v>94.679564691656594</v>
      </c>
      <c r="G12" s="48">
        <v>14.25</v>
      </c>
      <c r="H12" s="47">
        <f t="shared" si="1"/>
        <v>86.154776299879089</v>
      </c>
      <c r="I12" s="48">
        <v>14.37</v>
      </c>
      <c r="J12" s="47">
        <f t="shared" si="2"/>
        <v>86.880290205562275</v>
      </c>
      <c r="K12" s="48">
        <v>15.24</v>
      </c>
      <c r="L12" s="47">
        <f t="shared" si="3"/>
        <v>92.140266021765427</v>
      </c>
      <c r="M12" s="48">
        <v>15.65</v>
      </c>
      <c r="N12" s="47">
        <f t="shared" si="4"/>
        <v>94.619105199516326</v>
      </c>
      <c r="O12" s="48">
        <v>15.8</v>
      </c>
      <c r="P12" s="47">
        <f t="shared" si="5"/>
        <v>95.525997581620331</v>
      </c>
      <c r="Q12" s="48">
        <v>16.34</v>
      </c>
      <c r="R12" s="47">
        <f t="shared" si="6"/>
        <v>98.790810157194684</v>
      </c>
      <c r="S12" s="40">
        <v>17.64</v>
      </c>
      <c r="T12" s="47">
        <f t="shared" si="7"/>
        <v>106.65054413542927</v>
      </c>
      <c r="U12" s="40">
        <v>17.850000000000001</v>
      </c>
      <c r="V12" s="47">
        <f t="shared" si="8"/>
        <v>107.92019347037487</v>
      </c>
      <c r="W12" s="40">
        <v>18.66</v>
      </c>
      <c r="X12" s="47">
        <f t="shared" si="9"/>
        <v>112.81741233373641</v>
      </c>
      <c r="Z12" s="2" t="s">
        <v>404</v>
      </c>
      <c r="AA12" s="3">
        <v>9.4489999999999998</v>
      </c>
      <c r="AB12" s="3"/>
      <c r="AC12" s="3"/>
      <c r="AD12" s="3"/>
      <c r="AE12" s="3"/>
    </row>
    <row r="13" spans="2:31" s="95" customFormat="1" ht="12.75" customHeight="1" x14ac:dyDescent="0.25">
      <c r="B13" s="366"/>
      <c r="C13" s="58" t="s">
        <v>379</v>
      </c>
      <c r="D13" s="55">
        <v>16.87</v>
      </c>
      <c r="E13" s="48">
        <v>16.489999999999998</v>
      </c>
      <c r="F13" s="47">
        <f t="shared" si="0"/>
        <v>97.747480735032582</v>
      </c>
      <c r="G13" s="48">
        <v>15.15</v>
      </c>
      <c r="H13" s="47">
        <f t="shared" si="1"/>
        <v>89.804386484884404</v>
      </c>
      <c r="I13" s="48">
        <v>15.28</v>
      </c>
      <c r="J13" s="47">
        <f t="shared" si="2"/>
        <v>90.5749851807943</v>
      </c>
      <c r="K13" s="48">
        <v>15.91</v>
      </c>
      <c r="L13" s="47">
        <f t="shared" si="3"/>
        <v>94.309425014819197</v>
      </c>
      <c r="M13" s="48">
        <v>16.84</v>
      </c>
      <c r="N13" s="47">
        <f t="shared" si="4"/>
        <v>99.822169531713087</v>
      </c>
      <c r="O13" s="40">
        <v>17.38</v>
      </c>
      <c r="P13" s="47">
        <f t="shared" si="5"/>
        <v>103.02311796087729</v>
      </c>
      <c r="Q13" s="40">
        <v>17.27</v>
      </c>
      <c r="R13" s="47">
        <f t="shared" si="6"/>
        <v>102.37107291049199</v>
      </c>
      <c r="S13" s="40">
        <v>18.149999999999999</v>
      </c>
      <c r="T13" s="47">
        <f t="shared" si="7"/>
        <v>107.58743331357439</v>
      </c>
      <c r="U13" s="40">
        <v>17.8</v>
      </c>
      <c r="V13" s="47">
        <f t="shared" si="8"/>
        <v>105.5127445168939</v>
      </c>
      <c r="W13" s="40">
        <v>18.16</v>
      </c>
      <c r="X13" s="47">
        <f t="shared" si="9"/>
        <v>107.64671013633669</v>
      </c>
      <c r="Z13" s="2" t="s">
        <v>66</v>
      </c>
      <c r="AA13" s="3">
        <v>0.59250000000000003</v>
      </c>
      <c r="AB13" s="3"/>
      <c r="AC13" s="3"/>
      <c r="AD13" s="3"/>
      <c r="AE13" s="3"/>
    </row>
    <row r="14" spans="2:31" s="95" customFormat="1" ht="12.75" customHeight="1" x14ac:dyDescent="0.25">
      <c r="B14" s="366"/>
      <c r="C14" s="58" t="s">
        <v>380</v>
      </c>
      <c r="D14" s="55">
        <v>17.36</v>
      </c>
      <c r="E14" s="48">
        <v>15.55</v>
      </c>
      <c r="F14" s="47">
        <f t="shared" si="0"/>
        <v>89.573732718894021</v>
      </c>
      <c r="G14" s="48">
        <v>14.58</v>
      </c>
      <c r="H14" s="47">
        <f t="shared" si="1"/>
        <v>83.986175115207374</v>
      </c>
      <c r="I14" s="48">
        <v>14.25</v>
      </c>
      <c r="J14" s="47">
        <f t="shared" si="2"/>
        <v>82.085253456221196</v>
      </c>
      <c r="K14" s="48">
        <v>14.45</v>
      </c>
      <c r="L14" s="47">
        <f t="shared" si="3"/>
        <v>83.237327188940085</v>
      </c>
      <c r="M14" s="48">
        <v>15.08</v>
      </c>
      <c r="N14" s="47">
        <f t="shared" si="4"/>
        <v>86.866359447004612</v>
      </c>
      <c r="O14" s="48">
        <v>15.69</v>
      </c>
      <c r="P14" s="47">
        <f t="shared" si="5"/>
        <v>90.380184331797224</v>
      </c>
      <c r="Q14" s="40">
        <v>17.02</v>
      </c>
      <c r="R14" s="47">
        <f t="shared" si="6"/>
        <v>98.041474654377879</v>
      </c>
      <c r="S14" s="40">
        <v>17.77</v>
      </c>
      <c r="T14" s="47">
        <f t="shared" si="7"/>
        <v>102.36175115207374</v>
      </c>
      <c r="U14" s="40">
        <v>18.07</v>
      </c>
      <c r="V14" s="47">
        <f t="shared" si="8"/>
        <v>104.08986175115207</v>
      </c>
      <c r="W14" s="40">
        <v>18.47</v>
      </c>
      <c r="X14" s="47">
        <f t="shared" si="9"/>
        <v>106.39400921658986</v>
      </c>
      <c r="Z14" s="2"/>
      <c r="AA14" s="3"/>
      <c r="AB14" s="3"/>
      <c r="AC14" s="3"/>
      <c r="AD14" s="3"/>
      <c r="AE14" s="3"/>
    </row>
    <row r="15" spans="2:31" s="95" customFormat="1" ht="12.75" customHeight="1" x14ac:dyDescent="0.25">
      <c r="B15" s="366"/>
      <c r="C15" s="58" t="s">
        <v>381</v>
      </c>
      <c r="D15" s="55">
        <v>17.100000000000001</v>
      </c>
      <c r="E15" s="48">
        <v>16.22</v>
      </c>
      <c r="F15" s="47">
        <f t="shared" si="0"/>
        <v>94.853801169590625</v>
      </c>
      <c r="G15" s="48">
        <v>14.72</v>
      </c>
      <c r="H15" s="47">
        <f t="shared" si="1"/>
        <v>86.081871345029242</v>
      </c>
      <c r="I15" s="48">
        <v>15.2</v>
      </c>
      <c r="J15" s="47">
        <f t="shared" si="2"/>
        <v>88.888888888888872</v>
      </c>
      <c r="K15" s="48">
        <v>15.29</v>
      </c>
      <c r="L15" s="47">
        <f t="shared" si="3"/>
        <v>89.415204678362556</v>
      </c>
      <c r="M15" s="48">
        <v>15.42</v>
      </c>
      <c r="N15" s="47">
        <f t="shared" si="4"/>
        <v>90.175438596491219</v>
      </c>
      <c r="O15" s="48">
        <v>15.09</v>
      </c>
      <c r="P15" s="47">
        <f t="shared" si="5"/>
        <v>88.245614035087712</v>
      </c>
      <c r="Q15" s="48">
        <v>14.89</v>
      </c>
      <c r="R15" s="47">
        <f t="shared" si="6"/>
        <v>87.076023391812868</v>
      </c>
      <c r="S15" s="48">
        <v>13.91</v>
      </c>
      <c r="T15" s="47">
        <f t="shared" si="7"/>
        <v>81.345029239766077</v>
      </c>
      <c r="U15" s="48">
        <v>13.16</v>
      </c>
      <c r="V15" s="50">
        <f t="shared" si="8"/>
        <v>76.959064327485365</v>
      </c>
      <c r="W15" s="48">
        <v>12.89</v>
      </c>
      <c r="X15" s="50">
        <f t="shared" si="9"/>
        <v>75.380116959064324</v>
      </c>
      <c r="Z15" s="2" t="s">
        <v>405</v>
      </c>
      <c r="AA15" s="3"/>
      <c r="AB15" s="3"/>
      <c r="AC15" s="3"/>
      <c r="AD15" s="3"/>
      <c r="AE15" s="3"/>
    </row>
    <row r="16" spans="2:31" s="95" customFormat="1" ht="12.75" customHeight="1" x14ac:dyDescent="0.25">
      <c r="B16" s="354" t="s">
        <v>865</v>
      </c>
      <c r="C16" s="58" t="s">
        <v>397</v>
      </c>
      <c r="D16" s="55">
        <v>16.02</v>
      </c>
      <c r="E16" s="48">
        <v>15.65</v>
      </c>
      <c r="F16" s="47">
        <f t="shared" si="0"/>
        <v>97.690387016229721</v>
      </c>
      <c r="G16" s="48">
        <v>14.56</v>
      </c>
      <c r="H16" s="47">
        <f t="shared" si="1"/>
        <v>90.886392009987532</v>
      </c>
      <c r="I16" s="48">
        <v>15.08</v>
      </c>
      <c r="J16" s="47">
        <f t="shared" si="2"/>
        <v>94.132334581772795</v>
      </c>
      <c r="K16" s="48">
        <v>15.49</v>
      </c>
      <c r="L16" s="47">
        <f t="shared" si="3"/>
        <v>96.691635455680398</v>
      </c>
      <c r="M16" s="48">
        <v>16.07</v>
      </c>
      <c r="N16" s="47">
        <f t="shared" si="4"/>
        <v>100.31210986267168</v>
      </c>
      <c r="O16" s="48">
        <v>16.88</v>
      </c>
      <c r="P16" s="47">
        <f t="shared" si="5"/>
        <v>105.36828963795256</v>
      </c>
      <c r="Q16" s="48">
        <v>16.920000000000002</v>
      </c>
      <c r="R16" s="47">
        <f t="shared" si="6"/>
        <v>105.6179775280899</v>
      </c>
      <c r="S16" s="40">
        <v>17.68</v>
      </c>
      <c r="T16" s="47">
        <f t="shared" si="7"/>
        <v>110.36204744069913</v>
      </c>
      <c r="U16" s="40">
        <v>17.8</v>
      </c>
      <c r="V16" s="47">
        <f t="shared" ref="V16" si="10">U16/D16*100</f>
        <v>111.11111111111111</v>
      </c>
      <c r="W16" s="40">
        <v>17.73</v>
      </c>
      <c r="X16" s="47">
        <f t="shared" ref="X16" si="11">W16/D16*100</f>
        <v>110.67415730337081</v>
      </c>
      <c r="Z16" s="2" t="s">
        <v>406</v>
      </c>
      <c r="AA16" s="3">
        <v>0.66739999999999999</v>
      </c>
      <c r="AB16" s="3"/>
      <c r="AC16" s="3"/>
      <c r="AD16" s="3"/>
      <c r="AE16" s="3"/>
    </row>
    <row r="17" spans="2:31" s="95" customFormat="1" ht="12.75" customHeight="1" x14ac:dyDescent="0.3">
      <c r="B17" s="354"/>
      <c r="C17" s="58" t="s">
        <v>398</v>
      </c>
      <c r="D17" s="55">
        <v>16.66</v>
      </c>
      <c r="E17" s="48">
        <v>15.91</v>
      </c>
      <c r="F17" s="47">
        <f t="shared" si="0"/>
        <v>95.498199279711883</v>
      </c>
      <c r="G17" s="48">
        <v>15.89</v>
      </c>
      <c r="H17" s="47">
        <f t="shared" si="1"/>
        <v>95.378151260504211</v>
      </c>
      <c r="I17" s="48">
        <v>16.34</v>
      </c>
      <c r="J17" s="47">
        <f t="shared" si="2"/>
        <v>98.07923169267707</v>
      </c>
      <c r="K17" s="40">
        <v>17.079999999999998</v>
      </c>
      <c r="L17" s="47">
        <f t="shared" si="3"/>
        <v>102.52100840336134</v>
      </c>
      <c r="M17" s="40">
        <v>17.68</v>
      </c>
      <c r="N17" s="47">
        <f t="shared" si="4"/>
        <v>106.12244897959184</v>
      </c>
      <c r="O17" s="40">
        <v>17.64</v>
      </c>
      <c r="P17" s="47">
        <f t="shared" si="5"/>
        <v>105.88235294117648</v>
      </c>
      <c r="Q17" s="49" t="s">
        <v>91</v>
      </c>
      <c r="R17" s="54"/>
      <c r="S17" s="48"/>
      <c r="T17" s="50"/>
      <c r="U17" s="48"/>
      <c r="V17" s="50"/>
      <c r="W17" s="48"/>
      <c r="X17" s="50"/>
      <c r="Z17" s="2" t="s">
        <v>47</v>
      </c>
      <c r="AA17" s="3">
        <v>0.71630000000000005</v>
      </c>
      <c r="AB17" s="3"/>
      <c r="AC17" s="3"/>
      <c r="AD17" s="3"/>
      <c r="AE17" s="3"/>
    </row>
    <row r="18" spans="2:31" s="95" customFormat="1" ht="12.75" customHeight="1" x14ac:dyDescent="0.25">
      <c r="B18" s="354"/>
      <c r="C18" s="58" t="s">
        <v>279</v>
      </c>
      <c r="D18" s="55">
        <v>17.3</v>
      </c>
      <c r="E18" s="48">
        <v>16.18</v>
      </c>
      <c r="F18" s="47">
        <f t="shared" si="0"/>
        <v>93.526011560693632</v>
      </c>
      <c r="G18" s="48">
        <v>14.79</v>
      </c>
      <c r="H18" s="47">
        <f t="shared" si="1"/>
        <v>85.49132947976878</v>
      </c>
      <c r="I18" s="48">
        <v>15.28</v>
      </c>
      <c r="J18" s="47">
        <f t="shared" si="2"/>
        <v>88.323699421965301</v>
      </c>
      <c r="K18" s="48">
        <v>16.32</v>
      </c>
      <c r="L18" s="47">
        <f t="shared" si="3"/>
        <v>94.335260115606928</v>
      </c>
      <c r="M18" s="48">
        <v>16.88</v>
      </c>
      <c r="N18" s="47">
        <f t="shared" si="4"/>
        <v>97.572254335260112</v>
      </c>
      <c r="O18" s="40">
        <v>17.63</v>
      </c>
      <c r="P18" s="47">
        <f t="shared" si="5"/>
        <v>101.90751445086703</v>
      </c>
      <c r="Q18" s="40">
        <v>17.73</v>
      </c>
      <c r="R18" s="47">
        <f t="shared" si="6"/>
        <v>102.48554913294798</v>
      </c>
      <c r="S18" s="40">
        <v>17.920000000000002</v>
      </c>
      <c r="T18" s="47">
        <f t="shared" si="7"/>
        <v>103.58381502890175</v>
      </c>
      <c r="U18" s="40">
        <v>18.02</v>
      </c>
      <c r="V18" s="47">
        <f t="shared" ref="V18:V20" si="12">U18/D18*100</f>
        <v>104.16184971098265</v>
      </c>
      <c r="W18" s="40">
        <v>18.21</v>
      </c>
      <c r="X18" s="47">
        <f t="shared" ref="X18:X20" si="13">W18/D18*100</f>
        <v>105.26011560693642</v>
      </c>
      <c r="Z18" s="2" t="s">
        <v>49</v>
      </c>
      <c r="AA18" s="3" t="s">
        <v>203</v>
      </c>
      <c r="AB18" s="3"/>
      <c r="AC18" s="3"/>
      <c r="AD18" s="3"/>
      <c r="AE18" s="3"/>
    </row>
    <row r="19" spans="2:31" s="95" customFormat="1" ht="12.75" customHeight="1" x14ac:dyDescent="0.25">
      <c r="B19" s="354"/>
      <c r="C19" s="58" t="s">
        <v>399</v>
      </c>
      <c r="D19" s="55">
        <v>17.010000000000002</v>
      </c>
      <c r="E19" s="48">
        <v>16.2</v>
      </c>
      <c r="F19" s="47">
        <f t="shared" si="0"/>
        <v>95.238095238095227</v>
      </c>
      <c r="G19" s="48">
        <v>15.18</v>
      </c>
      <c r="H19" s="47">
        <f t="shared" si="1"/>
        <v>89.241622574955898</v>
      </c>
      <c r="I19" s="48">
        <v>16.07</v>
      </c>
      <c r="J19" s="47">
        <f t="shared" si="2"/>
        <v>94.473838918283363</v>
      </c>
      <c r="K19" s="48">
        <v>16.61</v>
      </c>
      <c r="L19" s="47">
        <f t="shared" si="3"/>
        <v>97.648442092886526</v>
      </c>
      <c r="M19" s="48">
        <v>16.87</v>
      </c>
      <c r="N19" s="47">
        <f t="shared" si="4"/>
        <v>99.176954732510282</v>
      </c>
      <c r="O19" s="40">
        <v>17.84</v>
      </c>
      <c r="P19" s="47">
        <f t="shared" si="5"/>
        <v>104.87948265726041</v>
      </c>
      <c r="Q19" s="40">
        <v>17.41</v>
      </c>
      <c r="R19" s="47">
        <f t="shared" si="6"/>
        <v>102.35155790711346</v>
      </c>
      <c r="S19" s="40">
        <v>18.57</v>
      </c>
      <c r="T19" s="47">
        <f t="shared" si="7"/>
        <v>109.17107583774251</v>
      </c>
      <c r="U19" s="40">
        <v>18.260000000000002</v>
      </c>
      <c r="V19" s="47">
        <f t="shared" si="12"/>
        <v>107.34861845972956</v>
      </c>
      <c r="W19" s="40">
        <v>18.47</v>
      </c>
      <c r="X19" s="47">
        <f t="shared" si="13"/>
        <v>108.58318636096411</v>
      </c>
      <c r="Z19" s="2" t="s">
        <v>407</v>
      </c>
      <c r="AA19" s="3" t="s">
        <v>204</v>
      </c>
      <c r="AB19" s="3"/>
      <c r="AC19" s="3"/>
      <c r="AD19" s="3"/>
      <c r="AE19" s="3"/>
    </row>
    <row r="20" spans="2:31" s="95" customFormat="1" ht="12.75" customHeight="1" x14ac:dyDescent="0.25">
      <c r="B20" s="354"/>
      <c r="C20" s="58" t="s">
        <v>400</v>
      </c>
      <c r="D20" s="55">
        <v>16.55</v>
      </c>
      <c r="E20" s="48">
        <v>15.86</v>
      </c>
      <c r="F20" s="47">
        <f t="shared" si="0"/>
        <v>95.830815709969784</v>
      </c>
      <c r="G20" s="48">
        <v>14.37</v>
      </c>
      <c r="H20" s="47">
        <f t="shared" si="1"/>
        <v>86.82779456193353</v>
      </c>
      <c r="I20" s="48">
        <v>15.07</v>
      </c>
      <c r="J20" s="47">
        <f t="shared" si="2"/>
        <v>91.057401812688823</v>
      </c>
      <c r="K20" s="48">
        <v>15.75</v>
      </c>
      <c r="L20" s="47">
        <f t="shared" si="3"/>
        <v>95.166163141993948</v>
      </c>
      <c r="M20" s="48">
        <v>15.9</v>
      </c>
      <c r="N20" s="47">
        <f t="shared" si="4"/>
        <v>96.072507552870093</v>
      </c>
      <c r="O20" s="48">
        <v>16.440000000000001</v>
      </c>
      <c r="P20" s="47">
        <f t="shared" si="5"/>
        <v>99.335347432024165</v>
      </c>
      <c r="Q20" s="48">
        <v>16.25</v>
      </c>
      <c r="R20" s="47">
        <f t="shared" si="6"/>
        <v>98.187311178247725</v>
      </c>
      <c r="S20" s="48">
        <v>16.57</v>
      </c>
      <c r="T20" s="47">
        <f t="shared" si="7"/>
        <v>100.12084592145014</v>
      </c>
      <c r="U20" s="48">
        <v>16.600000000000001</v>
      </c>
      <c r="V20" s="47">
        <f t="shared" si="12"/>
        <v>100.30211480362539</v>
      </c>
      <c r="W20" s="48">
        <v>16.739999999999998</v>
      </c>
      <c r="X20" s="47">
        <f t="shared" si="13"/>
        <v>101.14803625377643</v>
      </c>
      <c r="Z20" s="2"/>
      <c r="AA20" s="3"/>
      <c r="AB20" s="3"/>
      <c r="AC20" s="3"/>
      <c r="AD20" s="3"/>
      <c r="AE20" s="3"/>
    </row>
    <row r="21" spans="2:31" s="95" customFormat="1" ht="12.75" customHeight="1" x14ac:dyDescent="0.3">
      <c r="B21" s="5"/>
      <c r="C21" s="264"/>
      <c r="D21" s="265" t="s">
        <v>13</v>
      </c>
      <c r="E21" s="264"/>
      <c r="F21" s="264"/>
      <c r="Z21" s="2" t="s">
        <v>408</v>
      </c>
      <c r="AA21" s="3" t="s">
        <v>409</v>
      </c>
      <c r="AB21" s="3" t="s">
        <v>143</v>
      </c>
      <c r="AC21" s="3" t="s">
        <v>410</v>
      </c>
      <c r="AD21" s="3"/>
      <c r="AE21" s="3"/>
    </row>
    <row r="22" spans="2:31" s="95" customFormat="1" ht="12.75" customHeight="1" x14ac:dyDescent="0.3">
      <c r="B22" s="5"/>
      <c r="C22" s="264"/>
      <c r="D22" s="266" t="s">
        <v>107</v>
      </c>
      <c r="E22" s="264"/>
      <c r="F22" s="264"/>
      <c r="Z22" s="2" t="s">
        <v>411</v>
      </c>
      <c r="AA22" s="3">
        <v>302</v>
      </c>
      <c r="AB22" s="3">
        <v>2</v>
      </c>
      <c r="AC22" s="3">
        <v>151</v>
      </c>
      <c r="AD22" s="3"/>
      <c r="AE22" s="3"/>
    </row>
    <row r="23" spans="2:31" s="95" customFormat="1" ht="12.75" customHeight="1" x14ac:dyDescent="0.25">
      <c r="B23" s="5"/>
      <c r="C23" s="96"/>
      <c r="D23" s="98"/>
      <c r="E23" s="98"/>
      <c r="F23" s="98"/>
      <c r="Z23" s="2" t="s">
        <v>412</v>
      </c>
      <c r="AA23" s="3">
        <v>207.7</v>
      </c>
      <c r="AB23" s="3">
        <v>13</v>
      </c>
      <c r="AC23" s="3">
        <v>15.98</v>
      </c>
      <c r="AD23" s="3"/>
      <c r="AE23" s="3"/>
    </row>
    <row r="24" spans="2:31" s="95" customFormat="1" ht="12.75" customHeight="1" x14ac:dyDescent="0.3">
      <c r="B24" s="99" t="s">
        <v>214</v>
      </c>
      <c r="C24" s="96"/>
      <c r="D24" s="98"/>
      <c r="E24" s="98"/>
      <c r="F24" s="98"/>
      <c r="Z24" s="2" t="s">
        <v>413</v>
      </c>
      <c r="AA24" s="3">
        <v>509.7</v>
      </c>
      <c r="AB24" s="3">
        <v>15</v>
      </c>
      <c r="AC24" s="3"/>
      <c r="AD24" s="3"/>
      <c r="AE24" s="3"/>
    </row>
    <row r="25" spans="2:31" s="95" customFormat="1" ht="12.75" customHeight="1" x14ac:dyDescent="0.25">
      <c r="B25" s="4"/>
      <c r="C25" s="263" t="s">
        <v>72</v>
      </c>
      <c r="D25" s="263" t="s">
        <v>172</v>
      </c>
      <c r="E25" s="358" t="s">
        <v>173</v>
      </c>
      <c r="F25" s="359"/>
      <c r="G25" s="358" t="s">
        <v>102</v>
      </c>
      <c r="H25" s="359"/>
      <c r="I25" s="358" t="s">
        <v>174</v>
      </c>
      <c r="J25" s="359"/>
      <c r="K25" s="358" t="s">
        <v>103</v>
      </c>
      <c r="L25" s="359"/>
      <c r="M25" s="358" t="s">
        <v>175</v>
      </c>
      <c r="N25" s="359"/>
      <c r="O25" s="358" t="s">
        <v>74</v>
      </c>
      <c r="P25" s="359"/>
      <c r="Q25" s="358" t="s">
        <v>176</v>
      </c>
      <c r="R25" s="359"/>
      <c r="S25" s="358" t="s">
        <v>75</v>
      </c>
      <c r="T25" s="359"/>
      <c r="U25" s="358" t="s">
        <v>264</v>
      </c>
      <c r="V25" s="359"/>
      <c r="Z25" s="2"/>
      <c r="AA25" s="3"/>
      <c r="AB25" s="3"/>
      <c r="AC25" s="3"/>
      <c r="AD25" s="3"/>
      <c r="AE25" s="3"/>
    </row>
    <row r="26" spans="2:31" s="95" customFormat="1" ht="12.75" customHeight="1" x14ac:dyDescent="0.25">
      <c r="B26" s="4"/>
      <c r="C26" s="263"/>
      <c r="D26" s="263"/>
      <c r="E26" s="263"/>
      <c r="F26" s="27"/>
      <c r="G26" s="263"/>
      <c r="H26" s="27"/>
      <c r="I26" s="263"/>
      <c r="J26" s="27"/>
      <c r="K26" s="263"/>
      <c r="L26" s="27"/>
      <c r="M26" s="263"/>
      <c r="N26" s="27"/>
      <c r="O26" s="263"/>
      <c r="P26" s="27"/>
      <c r="Q26" s="263"/>
      <c r="R26" s="27"/>
      <c r="S26" s="263"/>
      <c r="T26" s="27"/>
      <c r="U26" s="263"/>
      <c r="V26" s="27"/>
      <c r="Z26" s="2" t="s">
        <v>414</v>
      </c>
      <c r="AA26" s="3" t="s">
        <v>415</v>
      </c>
      <c r="AB26" s="3" t="s">
        <v>416</v>
      </c>
      <c r="AC26" s="3" t="s">
        <v>417</v>
      </c>
      <c r="AD26" s="3" t="s">
        <v>418</v>
      </c>
      <c r="AE26" s="3" t="s">
        <v>419</v>
      </c>
    </row>
    <row r="27" spans="2:31" s="95" customFormat="1" ht="12.75" customHeight="1" x14ac:dyDescent="0.3">
      <c r="B27" s="354" t="s">
        <v>364</v>
      </c>
      <c r="C27" s="58" t="s">
        <v>463</v>
      </c>
      <c r="D27" s="55">
        <v>18.059999999999999</v>
      </c>
      <c r="E27" s="40">
        <v>18.05</v>
      </c>
      <c r="F27" s="47">
        <f>E27/D27*100</f>
        <v>99.944629014396469</v>
      </c>
      <c r="G27" s="40">
        <v>17.600000000000001</v>
      </c>
      <c r="H27" s="47">
        <f>G27/D27*100</f>
        <v>97.452934662236999</v>
      </c>
      <c r="I27" s="40">
        <v>17.600000000000001</v>
      </c>
      <c r="J27" s="47">
        <f>I27/D27*100</f>
        <v>97.452934662236999</v>
      </c>
      <c r="K27" s="40">
        <v>18.28</v>
      </c>
      <c r="L27" s="47">
        <f>K27/D27*100</f>
        <v>101.21816168327797</v>
      </c>
      <c r="M27" s="40">
        <v>18.600000000000001</v>
      </c>
      <c r="N27" s="47">
        <f>M27/D27*100</f>
        <v>102.99003322259136</v>
      </c>
      <c r="O27" s="40">
        <v>18.43</v>
      </c>
      <c r="P27" s="47">
        <f>O27/D27*100</f>
        <v>102.04872646733112</v>
      </c>
      <c r="Q27" s="40">
        <v>18.2</v>
      </c>
      <c r="R27" s="47">
        <f>Q27/D27*100</f>
        <v>100.77519379844961</v>
      </c>
      <c r="S27" s="40">
        <v>18.309999999999999</v>
      </c>
      <c r="T27" s="47">
        <f>S27/D27*100</f>
        <v>101.38427464008859</v>
      </c>
      <c r="U27" s="40">
        <v>18.510000000000002</v>
      </c>
      <c r="V27" s="47">
        <f>U27/D27*100</f>
        <v>102.49169435215948</v>
      </c>
      <c r="Z27" s="7" t="s">
        <v>428</v>
      </c>
      <c r="AA27" s="8">
        <v>-6.35</v>
      </c>
      <c r="AB27" s="8">
        <v>2.512</v>
      </c>
      <c r="AC27" s="8" t="s">
        <v>52</v>
      </c>
      <c r="AD27" s="8" t="s">
        <v>332</v>
      </c>
      <c r="AE27" s="8" t="s">
        <v>429</v>
      </c>
    </row>
    <row r="28" spans="2:31" s="95" customFormat="1" ht="12.75" customHeight="1" x14ac:dyDescent="0.25">
      <c r="B28" s="354"/>
      <c r="C28" s="58" t="s">
        <v>464</v>
      </c>
      <c r="D28" s="55">
        <v>18.350000000000001</v>
      </c>
      <c r="E28" s="40">
        <v>17.510000000000002</v>
      </c>
      <c r="F28" s="47">
        <f t="shared" ref="F28:F41" si="14">E28/D28*100</f>
        <v>95.422343324250676</v>
      </c>
      <c r="G28" s="40">
        <v>17.5</v>
      </c>
      <c r="H28" s="47">
        <f t="shared" ref="H28:H41" si="15">G28/D28*100</f>
        <v>95.367847411444131</v>
      </c>
      <c r="I28" s="40">
        <v>17.5</v>
      </c>
      <c r="J28" s="47">
        <f t="shared" ref="J28:J41" si="16">I28/D28*100</f>
        <v>95.367847411444131</v>
      </c>
      <c r="K28" s="40">
        <v>18.27</v>
      </c>
      <c r="L28" s="47">
        <f t="shared" ref="L28:L41" si="17">K28/D28*100</f>
        <v>99.564032697547674</v>
      </c>
      <c r="M28" s="40">
        <v>18.91</v>
      </c>
      <c r="N28" s="47">
        <f t="shared" ref="N28:N41" si="18">M28/D28*100</f>
        <v>103.05177111716621</v>
      </c>
      <c r="O28" s="40">
        <v>18.739999999999998</v>
      </c>
      <c r="P28" s="47">
        <f t="shared" ref="P28:P41" si="19">O28/D28*100</f>
        <v>102.12534059945501</v>
      </c>
      <c r="Q28" s="40">
        <v>18.82</v>
      </c>
      <c r="R28" s="47">
        <f t="shared" ref="R28:R37" si="20">Q28/D28*100</f>
        <v>102.56130790190736</v>
      </c>
      <c r="S28" s="40">
        <v>19.079999999999998</v>
      </c>
      <c r="T28" s="47">
        <f t="shared" ref="T28:T37" si="21">S28/D28*100</f>
        <v>103.97820163487737</v>
      </c>
      <c r="U28" s="40">
        <v>18.88</v>
      </c>
      <c r="V28" s="47">
        <f t="shared" ref="V28:V37" si="22">U28/D28*100</f>
        <v>102.88828337874658</v>
      </c>
      <c r="Z28" s="2" t="s">
        <v>430</v>
      </c>
      <c r="AA28" s="3">
        <v>-10.5</v>
      </c>
      <c r="AB28" s="3">
        <v>4.3380000000000001</v>
      </c>
      <c r="AC28" s="3" t="s">
        <v>52</v>
      </c>
      <c r="AD28" s="3" t="s">
        <v>146</v>
      </c>
      <c r="AE28" s="3" t="s">
        <v>431</v>
      </c>
    </row>
    <row r="29" spans="2:31" s="95" customFormat="1" ht="12.75" customHeight="1" x14ac:dyDescent="0.25">
      <c r="B29" s="354"/>
      <c r="C29" s="58" t="s">
        <v>465</v>
      </c>
      <c r="D29" s="55">
        <v>18.02</v>
      </c>
      <c r="E29" s="40">
        <v>17.82</v>
      </c>
      <c r="F29" s="47">
        <f t="shared" si="14"/>
        <v>98.890122086570486</v>
      </c>
      <c r="G29" s="40">
        <v>17.55</v>
      </c>
      <c r="H29" s="47">
        <f t="shared" si="15"/>
        <v>97.391786903440618</v>
      </c>
      <c r="I29" s="40">
        <v>17.55</v>
      </c>
      <c r="J29" s="47">
        <f t="shared" si="16"/>
        <v>97.391786903440618</v>
      </c>
      <c r="K29" s="40">
        <v>17.899999999999999</v>
      </c>
      <c r="L29" s="47">
        <f t="shared" si="17"/>
        <v>99.334073251942272</v>
      </c>
      <c r="M29" s="40">
        <v>17.86</v>
      </c>
      <c r="N29" s="47">
        <f t="shared" si="18"/>
        <v>99.112097669256386</v>
      </c>
      <c r="O29" s="40">
        <v>18.36</v>
      </c>
      <c r="P29" s="47">
        <f t="shared" si="19"/>
        <v>101.88679245283019</v>
      </c>
      <c r="Q29" s="40">
        <v>18.09</v>
      </c>
      <c r="R29" s="47">
        <f t="shared" si="20"/>
        <v>100.38845726970034</v>
      </c>
      <c r="S29" s="40">
        <v>18.559999999999999</v>
      </c>
      <c r="T29" s="47">
        <f t="shared" si="21"/>
        <v>102.99667036625971</v>
      </c>
      <c r="U29" s="40">
        <v>18.760000000000002</v>
      </c>
      <c r="V29" s="47">
        <f t="shared" si="22"/>
        <v>104.10654827968924</v>
      </c>
    </row>
    <row r="30" spans="2:31" s="95" customFormat="1" ht="12.75" customHeight="1" x14ac:dyDescent="0.25">
      <c r="B30" s="354"/>
      <c r="C30" s="58" t="s">
        <v>466</v>
      </c>
      <c r="D30" s="55">
        <v>17.45</v>
      </c>
      <c r="E30" s="40">
        <v>17.03</v>
      </c>
      <c r="F30" s="47">
        <f t="shared" si="14"/>
        <v>97.593123209169065</v>
      </c>
      <c r="G30" s="48">
        <v>16.75</v>
      </c>
      <c r="H30" s="47">
        <f t="shared" si="15"/>
        <v>95.988538681948427</v>
      </c>
      <c r="I30" s="48">
        <v>16.75</v>
      </c>
      <c r="J30" s="47">
        <f t="shared" si="16"/>
        <v>95.988538681948427</v>
      </c>
      <c r="K30" s="40">
        <v>17.559999999999999</v>
      </c>
      <c r="L30" s="47">
        <f t="shared" si="17"/>
        <v>100.63037249283668</v>
      </c>
      <c r="M30" s="40">
        <v>18.27</v>
      </c>
      <c r="N30" s="47">
        <f t="shared" si="18"/>
        <v>104.69914040114614</v>
      </c>
      <c r="O30" s="40">
        <v>17.510000000000002</v>
      </c>
      <c r="P30" s="47">
        <f t="shared" si="19"/>
        <v>100.34383954154728</v>
      </c>
      <c r="Q30" s="40">
        <v>17.559999999999999</v>
      </c>
      <c r="R30" s="47">
        <f t="shared" si="20"/>
        <v>100.63037249283668</v>
      </c>
      <c r="S30" s="40">
        <v>17.989999999999998</v>
      </c>
      <c r="T30" s="47">
        <f t="shared" si="21"/>
        <v>103.09455587392549</v>
      </c>
      <c r="U30" s="40">
        <v>17.739999999999998</v>
      </c>
      <c r="V30" s="47">
        <f t="shared" si="22"/>
        <v>101.6618911174785</v>
      </c>
    </row>
    <row r="31" spans="2:31" s="95" customFormat="1" ht="12.75" customHeight="1" x14ac:dyDescent="0.25">
      <c r="B31" s="354"/>
      <c r="C31" s="58" t="s">
        <v>467</v>
      </c>
      <c r="D31" s="55">
        <v>17.7</v>
      </c>
      <c r="E31" s="40">
        <v>17.239999999999998</v>
      </c>
      <c r="F31" s="47">
        <f t="shared" si="14"/>
        <v>97.401129943502823</v>
      </c>
      <c r="G31" s="48">
        <v>16.95</v>
      </c>
      <c r="H31" s="47">
        <f t="shared" si="15"/>
        <v>95.762711864406782</v>
      </c>
      <c r="I31" s="48">
        <v>16.95</v>
      </c>
      <c r="J31" s="47">
        <f t="shared" si="16"/>
        <v>95.762711864406782</v>
      </c>
      <c r="K31" s="40">
        <v>17.690000000000001</v>
      </c>
      <c r="L31" s="47">
        <f t="shared" si="17"/>
        <v>99.943502824858768</v>
      </c>
      <c r="M31" s="40">
        <v>18.54</v>
      </c>
      <c r="N31" s="47">
        <f t="shared" si="18"/>
        <v>104.7457627118644</v>
      </c>
      <c r="O31" s="40">
        <v>17.88</v>
      </c>
      <c r="P31" s="47">
        <f t="shared" si="19"/>
        <v>101.01694915254238</v>
      </c>
      <c r="Q31" s="40">
        <v>17.82</v>
      </c>
      <c r="R31" s="47">
        <f t="shared" si="20"/>
        <v>100.67796610169492</v>
      </c>
      <c r="S31" s="40">
        <v>17.75</v>
      </c>
      <c r="T31" s="47">
        <f t="shared" si="21"/>
        <v>100.28248587570623</v>
      </c>
      <c r="U31" s="40">
        <v>17.920000000000002</v>
      </c>
      <c r="V31" s="47">
        <f t="shared" si="22"/>
        <v>101.24293785310736</v>
      </c>
    </row>
    <row r="32" spans="2:31" s="95" customFormat="1" ht="12.75" customHeight="1" x14ac:dyDescent="0.25">
      <c r="B32" s="366" t="s">
        <v>365</v>
      </c>
      <c r="C32" s="58" t="s">
        <v>468</v>
      </c>
      <c r="D32" s="55">
        <v>17.59</v>
      </c>
      <c r="E32" s="48">
        <v>16.61</v>
      </c>
      <c r="F32" s="47">
        <f t="shared" si="14"/>
        <v>94.42865264354748</v>
      </c>
      <c r="G32" s="48">
        <v>15.19</v>
      </c>
      <c r="H32" s="47">
        <f t="shared" si="15"/>
        <v>86.355884025014205</v>
      </c>
      <c r="I32" s="48">
        <v>15.19</v>
      </c>
      <c r="J32" s="47">
        <f t="shared" si="16"/>
        <v>86.355884025014205</v>
      </c>
      <c r="K32" s="48">
        <v>15.5</v>
      </c>
      <c r="L32" s="47">
        <f t="shared" si="17"/>
        <v>88.118249005116539</v>
      </c>
      <c r="M32" s="48">
        <v>15.28</v>
      </c>
      <c r="N32" s="47">
        <f t="shared" si="18"/>
        <v>86.867538374076176</v>
      </c>
      <c r="O32" s="48">
        <v>16.440000000000001</v>
      </c>
      <c r="P32" s="47">
        <f t="shared" si="19"/>
        <v>93.462194428652651</v>
      </c>
      <c r="Q32" s="48">
        <v>16.04</v>
      </c>
      <c r="R32" s="47">
        <f t="shared" si="20"/>
        <v>91.188175099488348</v>
      </c>
      <c r="S32" s="48">
        <v>16.28</v>
      </c>
      <c r="T32" s="47">
        <f t="shared" si="21"/>
        <v>92.552586696986921</v>
      </c>
      <c r="U32" s="48">
        <v>15.91</v>
      </c>
      <c r="V32" s="47">
        <f t="shared" si="22"/>
        <v>90.449118817509955</v>
      </c>
    </row>
    <row r="33" spans="2:22" s="95" customFormat="1" ht="12.75" customHeight="1" x14ac:dyDescent="0.25">
      <c r="B33" s="366"/>
      <c r="C33" s="58" t="s">
        <v>469</v>
      </c>
      <c r="D33" s="55">
        <v>17.600000000000001</v>
      </c>
      <c r="E33" s="48">
        <v>16.73</v>
      </c>
      <c r="F33" s="47">
        <f t="shared" si="14"/>
        <v>95.056818181818187</v>
      </c>
      <c r="G33" s="48">
        <v>15.31</v>
      </c>
      <c r="H33" s="47">
        <f t="shared" si="15"/>
        <v>86.98863636363636</v>
      </c>
      <c r="I33" s="48">
        <v>15.31</v>
      </c>
      <c r="J33" s="47">
        <f t="shared" si="16"/>
        <v>86.98863636363636</v>
      </c>
      <c r="K33" s="48">
        <v>16.52</v>
      </c>
      <c r="L33" s="47">
        <f t="shared" si="17"/>
        <v>93.863636363636346</v>
      </c>
      <c r="M33" s="48">
        <v>16.79</v>
      </c>
      <c r="N33" s="47">
        <f t="shared" si="18"/>
        <v>95.397727272727266</v>
      </c>
      <c r="O33" s="40">
        <v>18.07</v>
      </c>
      <c r="P33" s="47">
        <f t="shared" si="19"/>
        <v>102.67045454545453</v>
      </c>
      <c r="Q33" s="40">
        <v>17.86</v>
      </c>
      <c r="R33" s="47">
        <f t="shared" si="20"/>
        <v>101.47727272727272</v>
      </c>
      <c r="S33" s="40">
        <v>18.36</v>
      </c>
      <c r="T33" s="47">
        <f t="shared" si="21"/>
        <v>104.3181818181818</v>
      </c>
      <c r="U33" s="40">
        <v>18.579999999999998</v>
      </c>
      <c r="V33" s="47">
        <f t="shared" si="22"/>
        <v>105.5681818181818</v>
      </c>
    </row>
    <row r="34" spans="2:22" s="95" customFormat="1" ht="12.75" customHeight="1" x14ac:dyDescent="0.25">
      <c r="B34" s="366"/>
      <c r="C34" s="58" t="s">
        <v>470</v>
      </c>
      <c r="D34" s="55">
        <v>17.495000000000001</v>
      </c>
      <c r="E34" s="48">
        <v>16.5975</v>
      </c>
      <c r="F34" s="47">
        <f t="shared" si="14"/>
        <v>94.869962846527585</v>
      </c>
      <c r="G34" s="48">
        <v>15.077500000000001</v>
      </c>
      <c r="H34" s="47">
        <f t="shared" si="15"/>
        <v>86.181766218919691</v>
      </c>
      <c r="I34" s="48">
        <v>15.077500000000001</v>
      </c>
      <c r="J34" s="47">
        <f t="shared" si="16"/>
        <v>86.181766218919691</v>
      </c>
      <c r="K34" s="48">
        <v>15.83</v>
      </c>
      <c r="L34" s="47">
        <f t="shared" si="17"/>
        <v>90.48299514146899</v>
      </c>
      <c r="M34" s="48">
        <v>16.23</v>
      </c>
      <c r="N34" s="47">
        <f t="shared" si="18"/>
        <v>92.769362675050019</v>
      </c>
      <c r="O34" s="40">
        <v>18.66</v>
      </c>
      <c r="P34" s="47">
        <f t="shared" si="19"/>
        <v>106.65904544155474</v>
      </c>
      <c r="Q34" s="40">
        <v>18.78</v>
      </c>
      <c r="R34" s="47">
        <f t="shared" si="20"/>
        <v>107.34495570162903</v>
      </c>
      <c r="S34" s="40">
        <v>18.940000000000001</v>
      </c>
      <c r="T34" s="47">
        <f t="shared" si="21"/>
        <v>108.25950271506144</v>
      </c>
      <c r="U34" s="40">
        <v>19.39</v>
      </c>
      <c r="V34" s="47">
        <f t="shared" si="22"/>
        <v>110.83166619034009</v>
      </c>
    </row>
    <row r="35" spans="2:22" s="95" customFormat="1" ht="12.75" customHeight="1" x14ac:dyDescent="0.25">
      <c r="B35" s="366"/>
      <c r="C35" s="58" t="s">
        <v>471</v>
      </c>
      <c r="D35" s="55">
        <v>17.57</v>
      </c>
      <c r="E35" s="48">
        <v>16.7</v>
      </c>
      <c r="F35" s="47">
        <f t="shared" si="14"/>
        <v>95.048377916903803</v>
      </c>
      <c r="G35" s="48">
        <v>15.03</v>
      </c>
      <c r="H35" s="47">
        <f t="shared" si="15"/>
        <v>85.543540125213426</v>
      </c>
      <c r="I35" s="48">
        <v>15.03</v>
      </c>
      <c r="J35" s="47">
        <f t="shared" si="16"/>
        <v>85.543540125213426</v>
      </c>
      <c r="K35" s="48">
        <v>16.12</v>
      </c>
      <c r="L35" s="47">
        <f t="shared" si="17"/>
        <v>91.747296528173024</v>
      </c>
      <c r="M35" s="48">
        <v>16.93</v>
      </c>
      <c r="N35" s="47">
        <f t="shared" si="18"/>
        <v>96.357427433124641</v>
      </c>
      <c r="O35" s="40">
        <v>17.399999999999999</v>
      </c>
      <c r="P35" s="47">
        <f t="shared" si="19"/>
        <v>99.032441661923727</v>
      </c>
      <c r="Q35" s="40">
        <v>17.22</v>
      </c>
      <c r="R35" s="47">
        <f t="shared" si="20"/>
        <v>98.007968127490031</v>
      </c>
      <c r="S35" s="48">
        <v>16.649999999999999</v>
      </c>
      <c r="T35" s="47">
        <f t="shared" si="21"/>
        <v>94.763801935116661</v>
      </c>
      <c r="U35" s="48">
        <v>15.8</v>
      </c>
      <c r="V35" s="47">
        <f t="shared" si="22"/>
        <v>89.926010244735338</v>
      </c>
    </row>
    <row r="36" spans="2:22" s="95" customFormat="1" ht="12.75" customHeight="1" x14ac:dyDescent="0.25">
      <c r="B36" s="366"/>
      <c r="C36" s="58" t="s">
        <v>472</v>
      </c>
      <c r="D36" s="55">
        <v>17.22</v>
      </c>
      <c r="E36" s="48">
        <v>16.350000000000001</v>
      </c>
      <c r="F36" s="47">
        <f t="shared" si="14"/>
        <v>94.947735191637648</v>
      </c>
      <c r="G36" s="48">
        <v>14.78</v>
      </c>
      <c r="H36" s="47">
        <f t="shared" si="15"/>
        <v>85.830429732868765</v>
      </c>
      <c r="I36" s="48">
        <v>14.78</v>
      </c>
      <c r="J36" s="47">
        <f t="shared" si="16"/>
        <v>85.830429732868765</v>
      </c>
      <c r="K36" s="48">
        <v>15.2</v>
      </c>
      <c r="L36" s="47">
        <f t="shared" si="17"/>
        <v>88.269454123112652</v>
      </c>
      <c r="M36" s="48">
        <v>15.93</v>
      </c>
      <c r="N36" s="47">
        <f t="shared" si="18"/>
        <v>92.508710801393732</v>
      </c>
      <c r="O36" s="48">
        <v>16.78</v>
      </c>
      <c r="P36" s="47">
        <f t="shared" si="19"/>
        <v>97.44483159117307</v>
      </c>
      <c r="Q36" s="40">
        <v>17.440000000000001</v>
      </c>
      <c r="R36" s="47">
        <f t="shared" si="20"/>
        <v>101.27758420441349</v>
      </c>
      <c r="S36" s="40">
        <v>17.649999999999999</v>
      </c>
      <c r="T36" s="47">
        <f t="shared" si="21"/>
        <v>102.49709639953541</v>
      </c>
      <c r="U36" s="40">
        <v>17.64</v>
      </c>
      <c r="V36" s="47">
        <f t="shared" si="22"/>
        <v>102.4390243902439</v>
      </c>
    </row>
    <row r="37" spans="2:22" s="95" customFormat="1" ht="12.75" customHeight="1" x14ac:dyDescent="0.25">
      <c r="B37" s="354" t="s">
        <v>865</v>
      </c>
      <c r="C37" s="58" t="s">
        <v>489</v>
      </c>
      <c r="D37" s="55">
        <v>16.98</v>
      </c>
      <c r="E37" s="48">
        <v>16.07</v>
      </c>
      <c r="F37" s="47">
        <f t="shared" si="14"/>
        <v>94.64075382803297</v>
      </c>
      <c r="G37" s="48">
        <v>14.42</v>
      </c>
      <c r="H37" s="47">
        <f t="shared" si="15"/>
        <v>84.923439340400463</v>
      </c>
      <c r="I37" s="48">
        <v>14.42</v>
      </c>
      <c r="J37" s="47">
        <f t="shared" si="16"/>
        <v>84.923439340400463</v>
      </c>
      <c r="K37" s="48">
        <v>15.76</v>
      </c>
      <c r="L37" s="47">
        <f t="shared" si="17"/>
        <v>92.815076560659591</v>
      </c>
      <c r="M37" s="48">
        <v>16.2</v>
      </c>
      <c r="N37" s="47">
        <f t="shared" si="18"/>
        <v>95.406360424028264</v>
      </c>
      <c r="O37" s="48">
        <v>16.93</v>
      </c>
      <c r="P37" s="47">
        <f t="shared" si="19"/>
        <v>99.705535924617195</v>
      </c>
      <c r="Q37" s="48">
        <v>16.940000000000001</v>
      </c>
      <c r="R37" s="47">
        <f t="shared" si="20"/>
        <v>99.76442873969377</v>
      </c>
      <c r="S37" s="48">
        <v>16.899999999999999</v>
      </c>
      <c r="T37" s="47">
        <f t="shared" si="21"/>
        <v>99.528857479387497</v>
      </c>
      <c r="U37" s="40">
        <v>17.12</v>
      </c>
      <c r="V37" s="47">
        <f t="shared" si="22"/>
        <v>100.82449941107186</v>
      </c>
    </row>
    <row r="38" spans="2:22" s="95" customFormat="1" ht="12.75" customHeight="1" x14ac:dyDescent="0.3">
      <c r="B38" s="354"/>
      <c r="C38" s="58" t="s">
        <v>490</v>
      </c>
      <c r="D38" s="55">
        <v>17.11</v>
      </c>
      <c r="E38" s="48">
        <v>16.37</v>
      </c>
      <c r="F38" s="47">
        <f t="shared" si="14"/>
        <v>95.675043834015199</v>
      </c>
      <c r="G38" s="48">
        <v>15.58</v>
      </c>
      <c r="H38" s="47">
        <f t="shared" si="15"/>
        <v>91.057860900058458</v>
      </c>
      <c r="I38" s="48">
        <v>15.58</v>
      </c>
      <c r="J38" s="47">
        <f t="shared" si="16"/>
        <v>91.057860900058458</v>
      </c>
      <c r="K38" s="40">
        <v>17.010000000000002</v>
      </c>
      <c r="L38" s="47">
        <f t="shared" si="17"/>
        <v>99.415546464056121</v>
      </c>
      <c r="M38" s="40">
        <v>17.100000000000001</v>
      </c>
      <c r="N38" s="47">
        <f t="shared" si="18"/>
        <v>99.941554646405621</v>
      </c>
      <c r="O38" s="48">
        <v>16.86</v>
      </c>
      <c r="P38" s="47">
        <f t="shared" si="19"/>
        <v>98.538866160140273</v>
      </c>
      <c r="Q38" s="49" t="s">
        <v>291</v>
      </c>
      <c r="R38" s="54"/>
      <c r="S38" s="48"/>
      <c r="T38" s="54"/>
      <c r="U38" s="48"/>
      <c r="V38" s="54"/>
    </row>
    <row r="39" spans="2:22" s="95" customFormat="1" ht="12.75" customHeight="1" x14ac:dyDescent="0.25">
      <c r="B39" s="354"/>
      <c r="C39" s="58" t="s">
        <v>491</v>
      </c>
      <c r="D39" s="55">
        <v>17.07</v>
      </c>
      <c r="E39" s="48">
        <v>16.02</v>
      </c>
      <c r="F39" s="47">
        <f t="shared" si="14"/>
        <v>93.848857644991213</v>
      </c>
      <c r="G39" s="48">
        <v>14.83</v>
      </c>
      <c r="H39" s="47">
        <f t="shared" si="15"/>
        <v>86.877562975981249</v>
      </c>
      <c r="I39" s="48">
        <v>14.83</v>
      </c>
      <c r="J39" s="47">
        <f t="shared" si="16"/>
        <v>86.877562975981249</v>
      </c>
      <c r="K39" s="48">
        <v>16.21</v>
      </c>
      <c r="L39" s="47">
        <f t="shared" si="17"/>
        <v>94.961921499707088</v>
      </c>
      <c r="M39" s="40">
        <v>17.25</v>
      </c>
      <c r="N39" s="47">
        <f t="shared" si="18"/>
        <v>101.05448154657293</v>
      </c>
      <c r="O39" s="48">
        <v>15.72</v>
      </c>
      <c r="P39" s="47">
        <f t="shared" si="19"/>
        <v>92.091388400702982</v>
      </c>
      <c r="Q39" s="48">
        <v>16.649999999999999</v>
      </c>
      <c r="R39" s="47">
        <f t="shared" ref="R39:R41" si="23">Q39/D39*100</f>
        <v>97.539543057996482</v>
      </c>
      <c r="S39" s="48">
        <v>16.25</v>
      </c>
      <c r="T39" s="47">
        <f t="shared" ref="T39:T41" si="24">S39/D39*100</f>
        <v>95.196250732278855</v>
      </c>
      <c r="U39" s="48">
        <v>15.16</v>
      </c>
      <c r="V39" s="47">
        <f t="shared" ref="V39:V41" si="25">U39/D39*100</f>
        <v>88.810779144698301</v>
      </c>
    </row>
    <row r="40" spans="2:22" s="95" customFormat="1" ht="12.75" customHeight="1" x14ac:dyDescent="0.25">
      <c r="B40" s="354"/>
      <c r="C40" s="58" t="s">
        <v>492</v>
      </c>
      <c r="D40" s="55">
        <v>16.79</v>
      </c>
      <c r="E40" s="48">
        <v>14.69</v>
      </c>
      <c r="F40" s="47">
        <f t="shared" si="14"/>
        <v>87.492555092316863</v>
      </c>
      <c r="G40" s="48">
        <v>13.87</v>
      </c>
      <c r="H40" s="47">
        <f t="shared" si="15"/>
        <v>82.608695652173907</v>
      </c>
      <c r="I40" s="48">
        <v>13.87</v>
      </c>
      <c r="J40" s="47">
        <f t="shared" si="16"/>
        <v>82.608695652173907</v>
      </c>
      <c r="K40" s="48">
        <v>15.26</v>
      </c>
      <c r="L40" s="47">
        <f t="shared" si="17"/>
        <v>90.887432995830849</v>
      </c>
      <c r="M40" s="48">
        <v>14.26</v>
      </c>
      <c r="N40" s="47">
        <f t="shared" si="18"/>
        <v>84.93150684931507</v>
      </c>
      <c r="O40" s="48">
        <v>14.2</v>
      </c>
      <c r="P40" s="47">
        <f t="shared" si="19"/>
        <v>84.57415128052412</v>
      </c>
      <c r="Q40" s="48">
        <v>14.7</v>
      </c>
      <c r="R40" s="47">
        <f t="shared" si="23"/>
        <v>87.552114353782017</v>
      </c>
      <c r="S40" s="48">
        <v>15.08</v>
      </c>
      <c r="T40" s="47">
        <f t="shared" si="24"/>
        <v>89.815366289458026</v>
      </c>
      <c r="U40" s="48">
        <v>15.96</v>
      </c>
      <c r="V40" s="47">
        <f t="shared" si="25"/>
        <v>95.056581298391905</v>
      </c>
    </row>
    <row r="41" spans="2:22" s="95" customFormat="1" ht="12.75" customHeight="1" x14ac:dyDescent="0.25">
      <c r="B41" s="354"/>
      <c r="C41" s="58" t="s">
        <v>493</v>
      </c>
      <c r="D41" s="55">
        <v>17.5</v>
      </c>
      <c r="E41" s="48">
        <v>16.329999999999998</v>
      </c>
      <c r="F41" s="47">
        <f t="shared" si="14"/>
        <v>93.314285714285703</v>
      </c>
      <c r="G41" s="48">
        <v>15.26</v>
      </c>
      <c r="H41" s="47">
        <f t="shared" si="15"/>
        <v>87.2</v>
      </c>
      <c r="I41" s="48">
        <v>15.26</v>
      </c>
      <c r="J41" s="47">
        <f t="shared" si="16"/>
        <v>87.2</v>
      </c>
      <c r="K41" s="48">
        <v>16.46</v>
      </c>
      <c r="L41" s="47">
        <f t="shared" si="17"/>
        <v>94.057142857142864</v>
      </c>
      <c r="M41" s="48">
        <v>16.41</v>
      </c>
      <c r="N41" s="47">
        <f t="shared" si="18"/>
        <v>93.771428571428572</v>
      </c>
      <c r="O41" s="48">
        <v>16.600000000000001</v>
      </c>
      <c r="P41" s="47">
        <f t="shared" si="19"/>
        <v>94.857142857142861</v>
      </c>
      <c r="Q41" s="40">
        <v>17.22</v>
      </c>
      <c r="R41" s="47">
        <f t="shared" si="23"/>
        <v>98.4</v>
      </c>
      <c r="S41" s="40">
        <v>17.920000000000002</v>
      </c>
      <c r="T41" s="47">
        <f t="shared" si="24"/>
        <v>102.4</v>
      </c>
      <c r="U41" s="40">
        <v>17.98</v>
      </c>
      <c r="V41" s="47">
        <f t="shared" si="25"/>
        <v>102.74285714285713</v>
      </c>
    </row>
    <row r="42" spans="2:22" s="95" customFormat="1" ht="12.75" customHeight="1" x14ac:dyDescent="0.25">
      <c r="B42" s="5"/>
      <c r="C42" s="96"/>
      <c r="D42" s="98"/>
      <c r="E42" s="98"/>
      <c r="F42" s="98"/>
    </row>
    <row r="43" spans="2:22" s="95" customFormat="1" ht="12.75" customHeight="1" x14ac:dyDescent="0.25">
      <c r="B43" s="5"/>
      <c r="C43" s="96"/>
      <c r="D43" s="98"/>
      <c r="E43" s="98"/>
      <c r="F43" s="98"/>
    </row>
    <row r="44" spans="2:22" s="95" customFormat="1" ht="12.5" x14ac:dyDescent="0.25">
      <c r="B44" s="5"/>
      <c r="C44" s="96"/>
      <c r="D44" s="98"/>
      <c r="E44" s="98"/>
      <c r="F44" s="98"/>
    </row>
    <row r="45" spans="2:22" s="95" customFormat="1" ht="12.5" x14ac:dyDescent="0.25">
      <c r="B45" s="5"/>
      <c r="C45" s="96"/>
      <c r="D45" s="98"/>
      <c r="E45" s="98"/>
      <c r="F45" s="98"/>
    </row>
    <row r="46" spans="2:22" s="95" customFormat="1" ht="12.5" x14ac:dyDescent="0.25">
      <c r="B46" s="5"/>
      <c r="C46" s="96"/>
      <c r="D46" s="98"/>
      <c r="E46" s="98"/>
      <c r="F46" s="98"/>
    </row>
    <row r="47" spans="2:22" s="95" customFormat="1" ht="12.5" x14ac:dyDescent="0.25">
      <c r="B47" s="5"/>
      <c r="C47" s="96"/>
      <c r="D47" s="98"/>
      <c r="E47" s="98"/>
      <c r="F47" s="98"/>
    </row>
    <row r="48" spans="2:22" s="95" customFormat="1" ht="12.5" x14ac:dyDescent="0.25">
      <c r="B48" s="5"/>
      <c r="C48" s="96"/>
      <c r="D48" s="98"/>
      <c r="E48" s="98"/>
      <c r="F48" s="98"/>
    </row>
    <row r="49" spans="2:6" s="95" customFormat="1" ht="12.5" x14ac:dyDescent="0.25">
      <c r="B49" s="5"/>
      <c r="C49" s="96"/>
      <c r="D49" s="98"/>
      <c r="E49" s="98"/>
      <c r="F49" s="98"/>
    </row>
    <row r="50" spans="2:6" s="95" customFormat="1" ht="12.5" x14ac:dyDescent="0.25">
      <c r="B50" s="5"/>
      <c r="C50" s="96"/>
      <c r="D50" s="98"/>
      <c r="E50" s="98"/>
      <c r="F50" s="98"/>
    </row>
    <row r="51" spans="2:6" s="95" customFormat="1" ht="12.5" x14ac:dyDescent="0.25">
      <c r="B51" s="5"/>
      <c r="C51" s="96"/>
      <c r="D51" s="98"/>
      <c r="E51" s="98"/>
      <c r="F51" s="98"/>
    </row>
    <row r="52" spans="2:6" s="95" customFormat="1" ht="12.5" x14ac:dyDescent="0.25">
      <c r="B52" s="5"/>
      <c r="C52" s="96"/>
      <c r="D52" s="98"/>
      <c r="E52" s="98"/>
      <c r="F52" s="98"/>
    </row>
    <row r="53" spans="2:6" s="95" customFormat="1" ht="12.5" x14ac:dyDescent="0.25">
      <c r="B53" s="5"/>
      <c r="C53" s="96"/>
      <c r="D53" s="98"/>
      <c r="E53" s="98"/>
      <c r="F53" s="98"/>
    </row>
  </sheetData>
  <mergeCells count="25">
    <mergeCell ref="U25:V25"/>
    <mergeCell ref="B27:B31"/>
    <mergeCell ref="B32:B36"/>
    <mergeCell ref="B37:B41"/>
    <mergeCell ref="I25:J25"/>
    <mergeCell ref="K25:L25"/>
    <mergeCell ref="M25:N25"/>
    <mergeCell ref="O25:P25"/>
    <mergeCell ref="Q25:R25"/>
    <mergeCell ref="S25:T25"/>
    <mergeCell ref="B16:B20"/>
    <mergeCell ref="E25:F25"/>
    <mergeCell ref="G25:H25"/>
    <mergeCell ref="Q4:R4"/>
    <mergeCell ref="S4:T4"/>
    <mergeCell ref="U4:V4"/>
    <mergeCell ref="W4:X4"/>
    <mergeCell ref="B6:B10"/>
    <mergeCell ref="B11:B15"/>
    <mergeCell ref="E4:F4"/>
    <mergeCell ref="G4:H4"/>
    <mergeCell ref="I4:J4"/>
    <mergeCell ref="K4:L4"/>
    <mergeCell ref="M4:N4"/>
    <mergeCell ref="O4:P4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8303-86A3-4DB6-A1C7-A4B023D32615}">
  <dimension ref="A2:J31"/>
  <sheetViews>
    <sheetView zoomScale="90" zoomScaleNormal="90" workbookViewId="0">
      <selection activeCell="F41" sqref="F41"/>
    </sheetView>
  </sheetViews>
  <sheetFormatPr defaultRowHeight="14" x14ac:dyDescent="0.3"/>
  <cols>
    <col min="1" max="1" width="9" style="25"/>
    <col min="2" max="2" width="15.5" style="25" customWidth="1"/>
    <col min="3" max="3" width="17.5" style="25" bestFit="1" customWidth="1"/>
    <col min="4" max="4" width="26.08203125" style="25" bestFit="1" customWidth="1"/>
    <col min="5" max="5" width="9" style="25" customWidth="1"/>
    <col min="6" max="6" width="30.83203125" style="25" bestFit="1" customWidth="1"/>
    <col min="7" max="7" width="15.83203125" style="25" bestFit="1" customWidth="1"/>
    <col min="8" max="8" width="7.83203125" style="25" customWidth="1"/>
    <col min="9" max="9" width="30.83203125" style="25" bestFit="1" customWidth="1"/>
    <col min="10" max="10" width="22.58203125" style="25" bestFit="1" customWidth="1"/>
    <col min="11" max="14" width="15.5" style="25" customWidth="1"/>
    <col min="15" max="16" width="14" style="25" customWidth="1"/>
    <col min="17" max="17" width="8.25" style="25" customWidth="1"/>
    <col min="18" max="257" width="9" style="25"/>
    <col min="258" max="270" width="15.5" style="25" customWidth="1"/>
    <col min="271" max="272" width="14" style="25" customWidth="1"/>
    <col min="273" max="273" width="8.25" style="25" customWidth="1"/>
    <col min="274" max="513" width="9" style="25"/>
    <col min="514" max="526" width="15.5" style="25" customWidth="1"/>
    <col min="527" max="528" width="14" style="25" customWidth="1"/>
    <col min="529" max="529" width="8.25" style="25" customWidth="1"/>
    <col min="530" max="769" width="9" style="25"/>
    <col min="770" max="782" width="15.5" style="25" customWidth="1"/>
    <col min="783" max="784" width="14" style="25" customWidth="1"/>
    <col min="785" max="785" width="8.25" style="25" customWidth="1"/>
    <col min="786" max="1025" width="9" style="25"/>
    <col min="1026" max="1038" width="15.5" style="25" customWidth="1"/>
    <col min="1039" max="1040" width="14" style="25" customWidth="1"/>
    <col min="1041" max="1041" width="8.25" style="25" customWidth="1"/>
    <col min="1042" max="1281" width="9" style="25"/>
    <col min="1282" max="1294" width="15.5" style="25" customWidth="1"/>
    <col min="1295" max="1296" width="14" style="25" customWidth="1"/>
    <col min="1297" max="1297" width="8.25" style="25" customWidth="1"/>
    <col min="1298" max="1537" width="9" style="25"/>
    <col min="1538" max="1550" width="15.5" style="25" customWidth="1"/>
    <col min="1551" max="1552" width="14" style="25" customWidth="1"/>
    <col min="1553" max="1553" width="8.25" style="25" customWidth="1"/>
    <col min="1554" max="1793" width="9" style="25"/>
    <col min="1794" max="1806" width="15.5" style="25" customWidth="1"/>
    <col min="1807" max="1808" width="14" style="25" customWidth="1"/>
    <col min="1809" max="1809" width="8.25" style="25" customWidth="1"/>
    <col min="1810" max="2049" width="9" style="25"/>
    <col min="2050" max="2062" width="15.5" style="25" customWidth="1"/>
    <col min="2063" max="2064" width="14" style="25" customWidth="1"/>
    <col min="2065" max="2065" width="8.25" style="25" customWidth="1"/>
    <col min="2066" max="2305" width="9" style="25"/>
    <col min="2306" max="2318" width="15.5" style="25" customWidth="1"/>
    <col min="2319" max="2320" width="14" style="25" customWidth="1"/>
    <col min="2321" max="2321" width="8.25" style="25" customWidth="1"/>
    <col min="2322" max="2561" width="9" style="25"/>
    <col min="2562" max="2574" width="15.5" style="25" customWidth="1"/>
    <col min="2575" max="2576" width="14" style="25" customWidth="1"/>
    <col min="2577" max="2577" width="8.25" style="25" customWidth="1"/>
    <col min="2578" max="2817" width="9" style="25"/>
    <col min="2818" max="2830" width="15.5" style="25" customWidth="1"/>
    <col min="2831" max="2832" width="14" style="25" customWidth="1"/>
    <col min="2833" max="2833" width="8.25" style="25" customWidth="1"/>
    <col min="2834" max="3073" width="9" style="25"/>
    <col min="3074" max="3086" width="15.5" style="25" customWidth="1"/>
    <col min="3087" max="3088" width="14" style="25" customWidth="1"/>
    <col min="3089" max="3089" width="8.25" style="25" customWidth="1"/>
    <col min="3090" max="3329" width="9" style="25"/>
    <col min="3330" max="3342" width="15.5" style="25" customWidth="1"/>
    <col min="3343" max="3344" width="14" style="25" customWidth="1"/>
    <col min="3345" max="3345" width="8.25" style="25" customWidth="1"/>
    <col min="3346" max="3585" width="9" style="25"/>
    <col min="3586" max="3598" width="15.5" style="25" customWidth="1"/>
    <col min="3599" max="3600" width="14" style="25" customWidth="1"/>
    <col min="3601" max="3601" width="8.25" style="25" customWidth="1"/>
    <col min="3602" max="3841" width="9" style="25"/>
    <col min="3842" max="3854" width="15.5" style="25" customWidth="1"/>
    <col min="3855" max="3856" width="14" style="25" customWidth="1"/>
    <col min="3857" max="3857" width="8.25" style="25" customWidth="1"/>
    <col min="3858" max="4097" width="9" style="25"/>
    <col min="4098" max="4110" width="15.5" style="25" customWidth="1"/>
    <col min="4111" max="4112" width="14" style="25" customWidth="1"/>
    <col min="4113" max="4113" width="8.25" style="25" customWidth="1"/>
    <col min="4114" max="4353" width="9" style="25"/>
    <col min="4354" max="4366" width="15.5" style="25" customWidth="1"/>
    <col min="4367" max="4368" width="14" style="25" customWidth="1"/>
    <col min="4369" max="4369" width="8.25" style="25" customWidth="1"/>
    <col min="4370" max="4609" width="9" style="25"/>
    <col min="4610" max="4622" width="15.5" style="25" customWidth="1"/>
    <col min="4623" max="4624" width="14" style="25" customWidth="1"/>
    <col min="4625" max="4625" width="8.25" style="25" customWidth="1"/>
    <col min="4626" max="4865" width="9" style="25"/>
    <col min="4866" max="4878" width="15.5" style="25" customWidth="1"/>
    <col min="4879" max="4880" width="14" style="25" customWidth="1"/>
    <col min="4881" max="4881" width="8.25" style="25" customWidth="1"/>
    <col min="4882" max="5121" width="9" style="25"/>
    <col min="5122" max="5134" width="15.5" style="25" customWidth="1"/>
    <col min="5135" max="5136" width="14" style="25" customWidth="1"/>
    <col min="5137" max="5137" width="8.25" style="25" customWidth="1"/>
    <col min="5138" max="5377" width="9" style="25"/>
    <col min="5378" max="5390" width="15.5" style="25" customWidth="1"/>
    <col min="5391" max="5392" width="14" style="25" customWidth="1"/>
    <col min="5393" max="5393" width="8.25" style="25" customWidth="1"/>
    <col min="5394" max="5633" width="9" style="25"/>
    <col min="5634" max="5646" width="15.5" style="25" customWidth="1"/>
    <col min="5647" max="5648" width="14" style="25" customWidth="1"/>
    <col min="5649" max="5649" width="8.25" style="25" customWidth="1"/>
    <col min="5650" max="5889" width="9" style="25"/>
    <col min="5890" max="5902" width="15.5" style="25" customWidth="1"/>
    <col min="5903" max="5904" width="14" style="25" customWidth="1"/>
    <col min="5905" max="5905" width="8.25" style="25" customWidth="1"/>
    <col min="5906" max="6145" width="9" style="25"/>
    <col min="6146" max="6158" width="15.5" style="25" customWidth="1"/>
    <col min="6159" max="6160" width="14" style="25" customWidth="1"/>
    <col min="6161" max="6161" width="8.25" style="25" customWidth="1"/>
    <col min="6162" max="6401" width="9" style="25"/>
    <col min="6402" max="6414" width="15.5" style="25" customWidth="1"/>
    <col min="6415" max="6416" width="14" style="25" customWidth="1"/>
    <col min="6417" max="6417" width="8.25" style="25" customWidth="1"/>
    <col min="6418" max="6657" width="9" style="25"/>
    <col min="6658" max="6670" width="15.5" style="25" customWidth="1"/>
    <col min="6671" max="6672" width="14" style="25" customWidth="1"/>
    <col min="6673" max="6673" width="8.25" style="25" customWidth="1"/>
    <col min="6674" max="6913" width="9" style="25"/>
    <col min="6914" max="6926" width="15.5" style="25" customWidth="1"/>
    <col min="6927" max="6928" width="14" style="25" customWidth="1"/>
    <col min="6929" max="6929" width="8.25" style="25" customWidth="1"/>
    <col min="6930" max="7169" width="9" style="25"/>
    <col min="7170" max="7182" width="15.5" style="25" customWidth="1"/>
    <col min="7183" max="7184" width="14" style="25" customWidth="1"/>
    <col min="7185" max="7185" width="8.25" style="25" customWidth="1"/>
    <col min="7186" max="7425" width="9" style="25"/>
    <col min="7426" max="7438" width="15.5" style="25" customWidth="1"/>
    <col min="7439" max="7440" width="14" style="25" customWidth="1"/>
    <col min="7441" max="7441" width="8.25" style="25" customWidth="1"/>
    <col min="7442" max="7681" width="9" style="25"/>
    <col min="7682" max="7694" width="15.5" style="25" customWidth="1"/>
    <col min="7695" max="7696" width="14" style="25" customWidth="1"/>
    <col min="7697" max="7697" width="8.25" style="25" customWidth="1"/>
    <col min="7698" max="7937" width="9" style="25"/>
    <col min="7938" max="7950" width="15.5" style="25" customWidth="1"/>
    <col min="7951" max="7952" width="14" style="25" customWidth="1"/>
    <col min="7953" max="7953" width="8.25" style="25" customWidth="1"/>
    <col min="7954" max="8193" width="9" style="25"/>
    <col min="8194" max="8206" width="15.5" style="25" customWidth="1"/>
    <col min="8207" max="8208" width="14" style="25" customWidth="1"/>
    <col min="8209" max="8209" width="8.25" style="25" customWidth="1"/>
    <col min="8210" max="8449" width="9" style="25"/>
    <col min="8450" max="8462" width="15.5" style="25" customWidth="1"/>
    <col min="8463" max="8464" width="14" style="25" customWidth="1"/>
    <col min="8465" max="8465" width="8.25" style="25" customWidth="1"/>
    <col min="8466" max="8705" width="9" style="25"/>
    <col min="8706" max="8718" width="15.5" style="25" customWidth="1"/>
    <col min="8719" max="8720" width="14" style="25" customWidth="1"/>
    <col min="8721" max="8721" width="8.25" style="25" customWidth="1"/>
    <col min="8722" max="8961" width="9" style="25"/>
    <col min="8962" max="8974" width="15.5" style="25" customWidth="1"/>
    <col min="8975" max="8976" width="14" style="25" customWidth="1"/>
    <col min="8977" max="8977" width="8.25" style="25" customWidth="1"/>
    <col min="8978" max="9217" width="9" style="25"/>
    <col min="9218" max="9230" width="15.5" style="25" customWidth="1"/>
    <col min="9231" max="9232" width="14" style="25" customWidth="1"/>
    <col min="9233" max="9233" width="8.25" style="25" customWidth="1"/>
    <col min="9234" max="9473" width="9" style="25"/>
    <col min="9474" max="9486" width="15.5" style="25" customWidth="1"/>
    <col min="9487" max="9488" width="14" style="25" customWidth="1"/>
    <col min="9489" max="9489" width="8.25" style="25" customWidth="1"/>
    <col min="9490" max="9729" width="9" style="25"/>
    <col min="9730" max="9742" width="15.5" style="25" customWidth="1"/>
    <col min="9743" max="9744" width="14" style="25" customWidth="1"/>
    <col min="9745" max="9745" width="8.25" style="25" customWidth="1"/>
    <col min="9746" max="9985" width="9" style="25"/>
    <col min="9986" max="9998" width="15.5" style="25" customWidth="1"/>
    <col min="9999" max="10000" width="14" style="25" customWidth="1"/>
    <col min="10001" max="10001" width="8.25" style="25" customWidth="1"/>
    <col min="10002" max="10241" width="9" style="25"/>
    <col min="10242" max="10254" width="15.5" style="25" customWidth="1"/>
    <col min="10255" max="10256" width="14" style="25" customWidth="1"/>
    <col min="10257" max="10257" width="8.25" style="25" customWidth="1"/>
    <col min="10258" max="10497" width="9" style="25"/>
    <col min="10498" max="10510" width="15.5" style="25" customWidth="1"/>
    <col min="10511" max="10512" width="14" style="25" customWidth="1"/>
    <col min="10513" max="10513" width="8.25" style="25" customWidth="1"/>
    <col min="10514" max="10753" width="9" style="25"/>
    <col min="10754" max="10766" width="15.5" style="25" customWidth="1"/>
    <col min="10767" max="10768" width="14" style="25" customWidth="1"/>
    <col min="10769" max="10769" width="8.25" style="25" customWidth="1"/>
    <col min="10770" max="11009" width="9" style="25"/>
    <col min="11010" max="11022" width="15.5" style="25" customWidth="1"/>
    <col min="11023" max="11024" width="14" style="25" customWidth="1"/>
    <col min="11025" max="11025" width="8.25" style="25" customWidth="1"/>
    <col min="11026" max="11265" width="9" style="25"/>
    <col min="11266" max="11278" width="15.5" style="25" customWidth="1"/>
    <col min="11279" max="11280" width="14" style="25" customWidth="1"/>
    <col min="11281" max="11281" width="8.25" style="25" customWidth="1"/>
    <col min="11282" max="11521" width="9" style="25"/>
    <col min="11522" max="11534" width="15.5" style="25" customWidth="1"/>
    <col min="11535" max="11536" width="14" style="25" customWidth="1"/>
    <col min="11537" max="11537" width="8.25" style="25" customWidth="1"/>
    <col min="11538" max="11777" width="9" style="25"/>
    <col min="11778" max="11790" width="15.5" style="25" customWidth="1"/>
    <col min="11791" max="11792" width="14" style="25" customWidth="1"/>
    <col min="11793" max="11793" width="8.25" style="25" customWidth="1"/>
    <col min="11794" max="12033" width="9" style="25"/>
    <col min="12034" max="12046" width="15.5" style="25" customWidth="1"/>
    <col min="12047" max="12048" width="14" style="25" customWidth="1"/>
    <col min="12049" max="12049" width="8.25" style="25" customWidth="1"/>
    <col min="12050" max="12289" width="9" style="25"/>
    <col min="12290" max="12302" width="15.5" style="25" customWidth="1"/>
    <col min="12303" max="12304" width="14" style="25" customWidth="1"/>
    <col min="12305" max="12305" width="8.25" style="25" customWidth="1"/>
    <col min="12306" max="12545" width="9" style="25"/>
    <col min="12546" max="12558" width="15.5" style="25" customWidth="1"/>
    <col min="12559" max="12560" width="14" style="25" customWidth="1"/>
    <col min="12561" max="12561" width="8.25" style="25" customWidth="1"/>
    <col min="12562" max="12801" width="9" style="25"/>
    <col min="12802" max="12814" width="15.5" style="25" customWidth="1"/>
    <col min="12815" max="12816" width="14" style="25" customWidth="1"/>
    <col min="12817" max="12817" width="8.25" style="25" customWidth="1"/>
    <col min="12818" max="13057" width="9" style="25"/>
    <col min="13058" max="13070" width="15.5" style="25" customWidth="1"/>
    <col min="13071" max="13072" width="14" style="25" customWidth="1"/>
    <col min="13073" max="13073" width="8.25" style="25" customWidth="1"/>
    <col min="13074" max="13313" width="9" style="25"/>
    <col min="13314" max="13326" width="15.5" style="25" customWidth="1"/>
    <col min="13327" max="13328" width="14" style="25" customWidth="1"/>
    <col min="13329" max="13329" width="8.25" style="25" customWidth="1"/>
    <col min="13330" max="13569" width="9" style="25"/>
    <col min="13570" max="13582" width="15.5" style="25" customWidth="1"/>
    <col min="13583" max="13584" width="14" style="25" customWidth="1"/>
    <col min="13585" max="13585" width="8.25" style="25" customWidth="1"/>
    <col min="13586" max="13825" width="9" style="25"/>
    <col min="13826" max="13838" width="15.5" style="25" customWidth="1"/>
    <col min="13839" max="13840" width="14" style="25" customWidth="1"/>
    <col min="13841" max="13841" width="8.25" style="25" customWidth="1"/>
    <col min="13842" max="14081" width="9" style="25"/>
    <col min="14082" max="14094" width="15.5" style="25" customWidth="1"/>
    <col min="14095" max="14096" width="14" style="25" customWidth="1"/>
    <col min="14097" max="14097" width="8.25" style="25" customWidth="1"/>
    <col min="14098" max="14337" width="9" style="25"/>
    <col min="14338" max="14350" width="15.5" style="25" customWidth="1"/>
    <col min="14351" max="14352" width="14" style="25" customWidth="1"/>
    <col min="14353" max="14353" width="8.25" style="25" customWidth="1"/>
    <col min="14354" max="14593" width="9" style="25"/>
    <col min="14594" max="14606" width="15.5" style="25" customWidth="1"/>
    <col min="14607" max="14608" width="14" style="25" customWidth="1"/>
    <col min="14609" max="14609" width="8.25" style="25" customWidth="1"/>
    <col min="14610" max="14849" width="9" style="25"/>
    <col min="14850" max="14862" width="15.5" style="25" customWidth="1"/>
    <col min="14863" max="14864" width="14" style="25" customWidth="1"/>
    <col min="14865" max="14865" width="8.25" style="25" customWidth="1"/>
    <col min="14866" max="15105" width="9" style="25"/>
    <col min="15106" max="15118" width="15.5" style="25" customWidth="1"/>
    <col min="15119" max="15120" width="14" style="25" customWidth="1"/>
    <col min="15121" max="15121" width="8.25" style="25" customWidth="1"/>
    <col min="15122" max="15361" width="9" style="25"/>
    <col min="15362" max="15374" width="15.5" style="25" customWidth="1"/>
    <col min="15375" max="15376" width="14" style="25" customWidth="1"/>
    <col min="15377" max="15377" width="8.25" style="25" customWidth="1"/>
    <col min="15378" max="15617" width="9" style="25"/>
    <col min="15618" max="15630" width="15.5" style="25" customWidth="1"/>
    <col min="15631" max="15632" width="14" style="25" customWidth="1"/>
    <col min="15633" max="15633" width="8.25" style="25" customWidth="1"/>
    <col min="15634" max="15873" width="9" style="25"/>
    <col min="15874" max="15886" width="15.5" style="25" customWidth="1"/>
    <col min="15887" max="15888" width="14" style="25" customWidth="1"/>
    <col min="15889" max="15889" width="8.25" style="25" customWidth="1"/>
    <col min="15890" max="16129" width="9" style="25"/>
    <col min="16130" max="16142" width="15.5" style="25" customWidth="1"/>
    <col min="16143" max="16144" width="14" style="25" customWidth="1"/>
    <col min="16145" max="16145" width="8.25" style="25" customWidth="1"/>
    <col min="16146" max="16384" width="9" style="25"/>
  </cols>
  <sheetData>
    <row r="2" spans="1:10" s="95" customFormat="1" ht="13" x14ac:dyDescent="0.25">
      <c r="B2" s="100" t="s">
        <v>150</v>
      </c>
      <c r="C2" s="101"/>
      <c r="D2" s="101"/>
    </row>
    <row r="3" spans="1:10" s="101" customFormat="1" ht="13" x14ac:dyDescent="0.45">
      <c r="A3" s="13"/>
    </row>
    <row r="4" spans="1:10" s="95" customFormat="1" ht="13" x14ac:dyDescent="0.3">
      <c r="B4" s="1"/>
      <c r="C4" s="1"/>
      <c r="D4" s="1"/>
      <c r="F4" s="103" t="s">
        <v>71</v>
      </c>
      <c r="I4" s="103" t="s">
        <v>71</v>
      </c>
    </row>
    <row r="5" spans="1:10" s="95" customFormat="1" ht="12.5" x14ac:dyDescent="0.25">
      <c r="B5" s="4" t="s">
        <v>508</v>
      </c>
      <c r="C5" s="9" t="s">
        <v>509</v>
      </c>
      <c r="D5" s="4" t="s">
        <v>510</v>
      </c>
    </row>
    <row r="6" spans="1:10" s="95" customFormat="1" ht="12.5" x14ac:dyDescent="0.25">
      <c r="B6" s="3">
        <v>46.78</v>
      </c>
      <c r="C6" s="3">
        <v>280.67</v>
      </c>
      <c r="D6" s="3">
        <v>106.75</v>
      </c>
      <c r="F6" s="2" t="s">
        <v>41</v>
      </c>
      <c r="G6" s="3" t="s">
        <v>154</v>
      </c>
      <c r="I6" s="2" t="s">
        <v>41</v>
      </c>
      <c r="J6" s="3" t="s">
        <v>154</v>
      </c>
    </row>
    <row r="7" spans="1:10" s="95" customFormat="1" ht="13" x14ac:dyDescent="0.3">
      <c r="B7" s="3">
        <v>22.79</v>
      </c>
      <c r="C7" s="3">
        <v>172.72</v>
      </c>
      <c r="D7" s="3">
        <v>40.79</v>
      </c>
      <c r="F7" s="7" t="s">
        <v>43</v>
      </c>
      <c r="G7" s="7" t="s">
        <v>494</v>
      </c>
      <c r="I7" s="7" t="s">
        <v>45</v>
      </c>
      <c r="J7" s="12" t="s">
        <v>201</v>
      </c>
    </row>
    <row r="8" spans="1:10" s="95" customFormat="1" ht="13" x14ac:dyDescent="0.3">
      <c r="B8" s="3">
        <v>16.8</v>
      </c>
      <c r="C8" s="3">
        <v>262.67</v>
      </c>
      <c r="D8" s="3">
        <v>58.78</v>
      </c>
      <c r="F8" s="7" t="s">
        <v>44</v>
      </c>
      <c r="G8" s="7" t="s">
        <v>44</v>
      </c>
      <c r="I8" s="7" t="s">
        <v>44</v>
      </c>
      <c r="J8" s="7" t="s">
        <v>44</v>
      </c>
    </row>
    <row r="9" spans="1:10" s="95" customFormat="1" ht="13" x14ac:dyDescent="0.3">
      <c r="B9" s="3">
        <v>64.77</v>
      </c>
      <c r="C9" s="3">
        <v>208.7</v>
      </c>
      <c r="D9" s="3">
        <v>40.79</v>
      </c>
      <c r="F9" s="7" t="s">
        <v>45</v>
      </c>
      <c r="G9" s="12" t="s">
        <v>201</v>
      </c>
      <c r="I9" s="7" t="s">
        <v>155</v>
      </c>
      <c r="J9" s="7" t="s">
        <v>507</v>
      </c>
    </row>
    <row r="10" spans="1:10" s="95" customFormat="1" ht="12.5" x14ac:dyDescent="0.25">
      <c r="B10" s="3">
        <v>0</v>
      </c>
      <c r="C10" s="3">
        <v>214.7</v>
      </c>
      <c r="D10" s="3">
        <v>64.77</v>
      </c>
      <c r="F10" s="2"/>
      <c r="G10" s="3"/>
      <c r="I10" s="2"/>
      <c r="J10" s="3"/>
    </row>
    <row r="11" spans="1:10" s="95" customFormat="1" ht="12.5" x14ac:dyDescent="0.25">
      <c r="F11" s="2" t="s">
        <v>46</v>
      </c>
      <c r="G11" s="3"/>
      <c r="I11" s="2" t="s">
        <v>46</v>
      </c>
      <c r="J11" s="3"/>
    </row>
    <row r="12" spans="1:10" s="95" customFormat="1" ht="13" x14ac:dyDescent="0.3">
      <c r="F12" s="7" t="s">
        <v>47</v>
      </c>
      <c r="G12" s="8" t="s">
        <v>48</v>
      </c>
      <c r="I12" s="7" t="s">
        <v>47</v>
      </c>
      <c r="J12" s="8" t="s">
        <v>48</v>
      </c>
    </row>
    <row r="13" spans="1:10" s="95" customFormat="1" ht="13" x14ac:dyDescent="0.3">
      <c r="F13" s="7" t="s">
        <v>49</v>
      </c>
      <c r="G13" s="8" t="s">
        <v>50</v>
      </c>
      <c r="I13" s="7" t="s">
        <v>49</v>
      </c>
      <c r="J13" s="8" t="s">
        <v>50</v>
      </c>
    </row>
    <row r="14" spans="1:10" s="95" customFormat="1" ht="12.5" x14ac:dyDescent="0.25">
      <c r="F14" s="2" t="s">
        <v>51</v>
      </c>
      <c r="G14" s="3" t="s">
        <v>52</v>
      </c>
      <c r="I14" s="2" t="s">
        <v>51</v>
      </c>
      <c r="J14" s="3" t="s">
        <v>52</v>
      </c>
    </row>
    <row r="15" spans="1:10" s="95" customFormat="1" ht="12.5" x14ac:dyDescent="0.25">
      <c r="F15" s="2" t="s">
        <v>53</v>
      </c>
      <c r="G15" s="3" t="s">
        <v>54</v>
      </c>
      <c r="I15" s="2" t="s">
        <v>53</v>
      </c>
      <c r="J15" s="3" t="s">
        <v>54</v>
      </c>
    </row>
    <row r="16" spans="1:10" s="95" customFormat="1" ht="12.5" x14ac:dyDescent="0.25">
      <c r="F16" s="2" t="s">
        <v>55</v>
      </c>
      <c r="G16" s="3" t="s">
        <v>495</v>
      </c>
      <c r="I16" s="2" t="s">
        <v>55</v>
      </c>
      <c r="J16" s="3" t="s">
        <v>502</v>
      </c>
    </row>
    <row r="17" spans="6:10" s="95" customFormat="1" ht="12.5" x14ac:dyDescent="0.25">
      <c r="F17" s="2"/>
      <c r="G17" s="3"/>
      <c r="I17" s="2"/>
      <c r="J17" s="3"/>
    </row>
    <row r="18" spans="6:10" s="95" customFormat="1" ht="12.5" x14ac:dyDescent="0.25">
      <c r="F18" s="2" t="s">
        <v>57</v>
      </c>
      <c r="G18" s="3"/>
      <c r="I18" s="2" t="s">
        <v>57</v>
      </c>
      <c r="J18" s="3"/>
    </row>
    <row r="19" spans="6:10" s="95" customFormat="1" ht="12.5" x14ac:dyDescent="0.25">
      <c r="F19" s="2" t="s">
        <v>157</v>
      </c>
      <c r="G19" s="3" t="s">
        <v>496</v>
      </c>
      <c r="I19" s="2" t="s">
        <v>299</v>
      </c>
      <c r="J19" s="3" t="s">
        <v>498</v>
      </c>
    </row>
    <row r="20" spans="6:10" s="95" customFormat="1" ht="12.5" x14ac:dyDescent="0.25">
      <c r="F20" s="2" t="s">
        <v>497</v>
      </c>
      <c r="G20" s="3" t="s">
        <v>498</v>
      </c>
      <c r="I20" s="2" t="s">
        <v>159</v>
      </c>
      <c r="J20" s="3" t="s">
        <v>503</v>
      </c>
    </row>
    <row r="21" spans="6:10" s="95" customFormat="1" ht="12.5" x14ac:dyDescent="0.25">
      <c r="F21" s="2" t="s">
        <v>62</v>
      </c>
      <c r="G21" s="3" t="s">
        <v>499</v>
      </c>
      <c r="I21" s="2" t="s">
        <v>62</v>
      </c>
      <c r="J21" s="3" t="s">
        <v>504</v>
      </c>
    </row>
    <row r="22" spans="6:10" s="95" customFormat="1" ht="12.5" x14ac:dyDescent="0.25">
      <c r="F22" s="2" t="s">
        <v>64</v>
      </c>
      <c r="G22" s="3" t="s">
        <v>500</v>
      </c>
      <c r="I22" s="2" t="s">
        <v>64</v>
      </c>
      <c r="J22" s="3" t="s">
        <v>505</v>
      </c>
    </row>
    <row r="23" spans="6:10" s="95" customFormat="1" ht="12.5" x14ac:dyDescent="0.25">
      <c r="F23" s="2" t="s">
        <v>66</v>
      </c>
      <c r="G23" s="3">
        <v>0.90549999999999997</v>
      </c>
      <c r="I23" s="2" t="s">
        <v>66</v>
      </c>
      <c r="J23" s="3">
        <v>0.86709999999999998</v>
      </c>
    </row>
    <row r="24" spans="6:10" s="95" customFormat="1" ht="12.5" x14ac:dyDescent="0.25">
      <c r="F24" s="2"/>
      <c r="G24" s="3"/>
      <c r="I24" s="2"/>
      <c r="J24" s="3"/>
    </row>
    <row r="25" spans="6:10" s="95" customFormat="1" ht="12.5" x14ac:dyDescent="0.25">
      <c r="F25" s="2" t="s">
        <v>67</v>
      </c>
      <c r="G25" s="3"/>
      <c r="I25" s="2" t="s">
        <v>67</v>
      </c>
      <c r="J25" s="3"/>
    </row>
    <row r="26" spans="6:10" s="95" customFormat="1" ht="12.5" x14ac:dyDescent="0.25">
      <c r="F26" s="2" t="s">
        <v>68</v>
      </c>
      <c r="G26" s="3" t="s">
        <v>501</v>
      </c>
      <c r="I26" s="2" t="s">
        <v>68</v>
      </c>
      <c r="J26" s="3" t="s">
        <v>506</v>
      </c>
    </row>
    <row r="27" spans="6:10" s="95" customFormat="1" ht="12.5" x14ac:dyDescent="0.25">
      <c r="F27" s="2" t="s">
        <v>47</v>
      </c>
      <c r="G27" s="3">
        <v>0.32740000000000002</v>
      </c>
      <c r="I27" s="2" t="s">
        <v>47</v>
      </c>
      <c r="J27" s="3">
        <v>0.37780000000000002</v>
      </c>
    </row>
    <row r="28" spans="6:10" s="95" customFormat="1" ht="12.5" x14ac:dyDescent="0.25">
      <c r="F28" s="2" t="s">
        <v>49</v>
      </c>
      <c r="G28" s="3" t="s">
        <v>203</v>
      </c>
      <c r="I28" s="2" t="s">
        <v>49</v>
      </c>
      <c r="J28" s="3" t="s">
        <v>203</v>
      </c>
    </row>
    <row r="29" spans="6:10" s="95" customFormat="1" ht="12.5" x14ac:dyDescent="0.25">
      <c r="F29" s="2" t="s">
        <v>70</v>
      </c>
      <c r="G29" s="3" t="s">
        <v>204</v>
      </c>
      <c r="I29" s="2" t="s">
        <v>70</v>
      </c>
      <c r="J29" s="3" t="s">
        <v>204</v>
      </c>
    </row>
    <row r="30" spans="6:10" s="95" customFormat="1" ht="12.5" x14ac:dyDescent="0.25"/>
    <row r="31" spans="6:10" s="95" customFormat="1" ht="12.5" x14ac:dyDescent="0.25"/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A915-8ECF-4E41-896A-043B54BE9EF4}">
  <dimension ref="B2:AJ30"/>
  <sheetViews>
    <sheetView zoomScale="90" zoomScaleNormal="90" workbookViewId="0">
      <selection activeCell="M44" sqref="M44"/>
    </sheetView>
  </sheetViews>
  <sheetFormatPr defaultColWidth="9" defaultRowHeight="14" x14ac:dyDescent="0.3"/>
  <cols>
    <col min="1" max="1" width="9" style="25"/>
    <col min="2" max="2" width="18.5" style="37" customWidth="1"/>
    <col min="3" max="3" width="6.33203125" style="35" customWidth="1"/>
    <col min="4" max="5" width="6.5" style="36" customWidth="1"/>
    <col min="6" max="6" width="6.75" style="36" bestFit="1" customWidth="1"/>
    <col min="7" max="7" width="6" style="25" bestFit="1" customWidth="1"/>
    <col min="8" max="8" width="6.75" style="25" customWidth="1"/>
    <col min="9" max="9" width="6" style="25" bestFit="1" customWidth="1"/>
    <col min="10" max="10" width="6.75" style="25" customWidth="1"/>
    <col min="11" max="11" width="6" style="25" bestFit="1" customWidth="1"/>
    <col min="12" max="12" width="6.75" style="25" customWidth="1"/>
    <col min="13" max="13" width="6" style="25" bestFit="1" customWidth="1"/>
    <col min="14" max="14" width="6.75" style="25" customWidth="1"/>
    <col min="15" max="15" width="6" style="25" bestFit="1" customWidth="1"/>
    <col min="16" max="16" width="6.75" style="25" customWidth="1"/>
    <col min="17" max="17" width="6" style="25" bestFit="1" customWidth="1"/>
    <col min="18" max="18" width="6.75" style="25" customWidth="1"/>
    <col min="19" max="19" width="5.75" style="25" customWidth="1"/>
    <col min="20" max="20" width="6.75" style="25" bestFit="1" customWidth="1"/>
    <col min="21" max="21" width="6" style="25" bestFit="1" customWidth="1"/>
    <col min="22" max="22" width="6.75" style="25" bestFit="1" customWidth="1"/>
    <col min="23" max="23" width="6" style="25" bestFit="1" customWidth="1"/>
    <col min="24" max="24" width="6.75" style="25" bestFit="1" customWidth="1"/>
    <col min="25" max="25" width="6" style="25" bestFit="1" customWidth="1"/>
    <col min="26" max="26" width="6.75" style="25" bestFit="1" customWidth="1"/>
    <col min="27" max="27" width="6.58203125" style="25" customWidth="1"/>
    <col min="28" max="28" width="6.75" style="25" bestFit="1" customWidth="1"/>
    <col min="29" max="29" width="6" style="25" bestFit="1" customWidth="1"/>
    <col min="30" max="30" width="6.75" style="25" bestFit="1" customWidth="1"/>
    <col min="31" max="31" width="6" style="25" bestFit="1" customWidth="1"/>
    <col min="32" max="32" width="6.75" style="25" bestFit="1" customWidth="1"/>
    <col min="33" max="33" width="6" style="25" bestFit="1" customWidth="1"/>
    <col min="34" max="34" width="6.75" style="25" bestFit="1" customWidth="1"/>
    <col min="35" max="35" width="6" style="25" bestFit="1" customWidth="1"/>
    <col min="36" max="36" width="6.75" style="25" bestFit="1" customWidth="1"/>
    <col min="37" max="16384" width="9" style="25"/>
  </cols>
  <sheetData>
    <row r="2" spans="2:36" s="95" customFormat="1" ht="13" x14ac:dyDescent="0.25">
      <c r="C2" s="100" t="s">
        <v>108</v>
      </c>
      <c r="D2" s="101"/>
      <c r="E2" s="101"/>
    </row>
    <row r="3" spans="2:36" s="95" customFormat="1" ht="13" x14ac:dyDescent="0.25">
      <c r="C3" s="100"/>
      <c r="D3" s="101"/>
      <c r="E3" s="101"/>
    </row>
    <row r="4" spans="2:36" s="95" customFormat="1" ht="12.5" x14ac:dyDescent="0.25">
      <c r="B4" s="27"/>
      <c r="C4" s="263" t="s">
        <v>72</v>
      </c>
      <c r="D4" s="263" t="s">
        <v>172</v>
      </c>
      <c r="E4" s="358" t="s">
        <v>173</v>
      </c>
      <c r="F4" s="359"/>
      <c r="G4" s="358" t="s">
        <v>102</v>
      </c>
      <c r="H4" s="359"/>
      <c r="I4" s="358" t="s">
        <v>174</v>
      </c>
      <c r="J4" s="359"/>
      <c r="K4" s="358" t="s">
        <v>103</v>
      </c>
      <c r="L4" s="359"/>
      <c r="M4" s="358" t="s">
        <v>175</v>
      </c>
      <c r="N4" s="359"/>
      <c r="O4" s="358" t="s">
        <v>74</v>
      </c>
      <c r="P4" s="359"/>
      <c r="Q4" s="358" t="s">
        <v>176</v>
      </c>
      <c r="R4" s="359"/>
      <c r="S4" s="358" t="s">
        <v>75</v>
      </c>
      <c r="T4" s="359"/>
      <c r="U4" s="358" t="s">
        <v>264</v>
      </c>
      <c r="V4" s="359"/>
      <c r="W4" s="358" t="s">
        <v>278</v>
      </c>
      <c r="X4" s="359"/>
      <c r="Y4" s="358" t="s">
        <v>333</v>
      </c>
      <c r="Z4" s="359"/>
      <c r="AA4" s="358" t="s">
        <v>511</v>
      </c>
      <c r="AB4" s="359"/>
      <c r="AC4" s="358" t="s">
        <v>512</v>
      </c>
      <c r="AD4" s="359"/>
      <c r="AE4" s="358" t="s">
        <v>513</v>
      </c>
      <c r="AF4" s="359"/>
      <c r="AG4" s="358" t="s">
        <v>514</v>
      </c>
      <c r="AH4" s="359"/>
      <c r="AI4" s="358" t="s">
        <v>515</v>
      </c>
      <c r="AJ4" s="359"/>
    </row>
    <row r="5" spans="2:36" s="95" customFormat="1" ht="12.75" customHeight="1" x14ac:dyDescent="0.25">
      <c r="B5" s="27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</row>
    <row r="6" spans="2:36" s="95" customFormat="1" ht="12.75" customHeight="1" x14ac:dyDescent="0.3">
      <c r="B6" s="354" t="s">
        <v>516</v>
      </c>
      <c r="C6" s="44" t="s">
        <v>517</v>
      </c>
      <c r="D6" s="65">
        <v>18.11</v>
      </c>
      <c r="E6" s="48">
        <v>16.72</v>
      </c>
      <c r="F6" s="46">
        <f t="shared" ref="F6:F9" si="0">E6/D6*100</f>
        <v>92.324682495858639</v>
      </c>
      <c r="G6" s="48">
        <v>15.51</v>
      </c>
      <c r="H6" s="46">
        <f>G6/D6*100</f>
        <v>85.643290999447814</v>
      </c>
      <c r="I6" s="49" t="s">
        <v>224</v>
      </c>
      <c r="J6" s="54"/>
      <c r="K6" s="49"/>
      <c r="L6" s="54"/>
      <c r="M6" s="49"/>
      <c r="N6" s="53"/>
      <c r="O6" s="48"/>
      <c r="P6" s="53"/>
      <c r="Q6" s="48"/>
      <c r="R6" s="53"/>
      <c r="S6" s="48"/>
      <c r="T6" s="53"/>
      <c r="U6" s="48"/>
      <c r="V6" s="53"/>
      <c r="W6" s="48"/>
      <c r="X6" s="53"/>
      <c r="Y6" s="48"/>
      <c r="Z6" s="53"/>
      <c r="AA6" s="48"/>
      <c r="AB6" s="53"/>
      <c r="AC6" s="48"/>
      <c r="AD6" s="53"/>
      <c r="AE6" s="48"/>
      <c r="AF6" s="53"/>
      <c r="AG6" s="48"/>
      <c r="AH6" s="53"/>
      <c r="AI6" s="48"/>
      <c r="AJ6" s="54"/>
    </row>
    <row r="7" spans="2:36" s="95" customFormat="1" ht="12.75" customHeight="1" x14ac:dyDescent="0.25">
      <c r="B7" s="354"/>
      <c r="C7" s="44" t="s">
        <v>518</v>
      </c>
      <c r="D7" s="65">
        <v>17.91</v>
      </c>
      <c r="E7" s="48">
        <v>16.829999999999998</v>
      </c>
      <c r="F7" s="46">
        <f t="shared" si="0"/>
        <v>93.969849246231135</v>
      </c>
      <c r="G7" s="48">
        <v>15.3</v>
      </c>
      <c r="H7" s="46">
        <f t="shared" ref="H7:H24" si="1">G7/D7*100</f>
        <v>85.427135678391963</v>
      </c>
      <c r="I7" s="48">
        <v>14.26</v>
      </c>
      <c r="J7" s="52">
        <f>I7/D7*100</f>
        <v>79.620323841429368</v>
      </c>
      <c r="K7" s="48">
        <v>15.33</v>
      </c>
      <c r="L7" s="46">
        <f t="shared" ref="L7:L11" si="2">K7/D7*100</f>
        <v>85.594639865996641</v>
      </c>
      <c r="M7" s="48">
        <v>13.49</v>
      </c>
      <c r="N7" s="52">
        <f>M7/D7*100</f>
        <v>75.321049692908986</v>
      </c>
      <c r="O7" s="48">
        <v>13.03</v>
      </c>
      <c r="P7" s="52">
        <f t="shared" ref="P7:P9" si="3">O7/D7*100</f>
        <v>72.752652149637072</v>
      </c>
      <c r="Q7" s="48">
        <v>15.44</v>
      </c>
      <c r="R7" s="46">
        <f>Q7/D7*100</f>
        <v>86.208821887213844</v>
      </c>
      <c r="S7" s="48">
        <v>14.3</v>
      </c>
      <c r="T7" s="52">
        <f>S7/D7*100</f>
        <v>79.843662758235624</v>
      </c>
      <c r="U7" s="48">
        <v>14.11</v>
      </c>
      <c r="V7" s="52">
        <f>U7/D7*100</f>
        <v>78.782802903405909</v>
      </c>
      <c r="W7" s="48">
        <v>14.64</v>
      </c>
      <c r="X7" s="46">
        <f>W7/D7*100</f>
        <v>81.742043551088784</v>
      </c>
      <c r="Y7" s="48">
        <v>15.11</v>
      </c>
      <c r="Z7" s="46">
        <f>Y7/D7*100</f>
        <v>84.366275823562248</v>
      </c>
      <c r="AA7" s="48">
        <v>15.78</v>
      </c>
      <c r="AB7" s="46">
        <f>AA7/D7*100</f>
        <v>88.107202680067005</v>
      </c>
      <c r="AC7" s="48">
        <v>16.38</v>
      </c>
      <c r="AD7" s="46">
        <f>AC7/D7*100</f>
        <v>91.457286432160799</v>
      </c>
      <c r="AE7" s="48">
        <v>16.559999999999999</v>
      </c>
      <c r="AF7" s="46">
        <f>AE7/D7*100</f>
        <v>92.462311557788937</v>
      </c>
      <c r="AG7" s="48">
        <v>15.52</v>
      </c>
      <c r="AH7" s="46">
        <f>AG7/D7*100</f>
        <v>86.655499720826342</v>
      </c>
      <c r="AI7" s="48">
        <v>15.42</v>
      </c>
      <c r="AJ7" s="47">
        <f>AI7/D7*100</f>
        <v>86.097152428810716</v>
      </c>
    </row>
    <row r="8" spans="2:36" s="95" customFormat="1" ht="12.75" customHeight="1" x14ac:dyDescent="0.3">
      <c r="B8" s="354"/>
      <c r="C8" s="44" t="s">
        <v>519</v>
      </c>
      <c r="D8" s="65">
        <v>19.95</v>
      </c>
      <c r="E8" s="40">
        <v>18.13</v>
      </c>
      <c r="F8" s="46">
        <f t="shared" si="0"/>
        <v>90.877192982456137</v>
      </c>
      <c r="G8" s="48">
        <v>15.96</v>
      </c>
      <c r="H8" s="46">
        <f t="shared" si="1"/>
        <v>80</v>
      </c>
      <c r="I8" s="48">
        <v>14.64</v>
      </c>
      <c r="J8" s="52">
        <f t="shared" ref="J8:J11" si="4">I8/D8*100</f>
        <v>73.383458646616546</v>
      </c>
      <c r="K8" s="48">
        <v>16.38</v>
      </c>
      <c r="L8" s="46">
        <f t="shared" si="2"/>
        <v>82.10526315789474</v>
      </c>
      <c r="M8" s="48">
        <v>14.47</v>
      </c>
      <c r="N8" s="52">
        <f t="shared" ref="N8:N11" si="5">M8/D8*100</f>
        <v>72.531328320802018</v>
      </c>
      <c r="O8" s="48">
        <v>12.51</v>
      </c>
      <c r="P8" s="52">
        <f t="shared" si="3"/>
        <v>62.70676691729323</v>
      </c>
      <c r="Q8" s="49" t="s">
        <v>94</v>
      </c>
      <c r="R8" s="53"/>
      <c r="S8" s="48"/>
      <c r="T8" s="53"/>
      <c r="U8" s="48"/>
      <c r="V8" s="53"/>
      <c r="W8" s="48"/>
      <c r="X8" s="53"/>
      <c r="Y8" s="48"/>
      <c r="Z8" s="53"/>
      <c r="AA8" s="48"/>
      <c r="AB8" s="53"/>
      <c r="AC8" s="48"/>
      <c r="AD8" s="53"/>
      <c r="AE8" s="48"/>
      <c r="AF8" s="53"/>
      <c r="AG8" s="48"/>
      <c r="AH8" s="53"/>
      <c r="AI8" s="48"/>
      <c r="AJ8" s="54"/>
    </row>
    <row r="9" spans="2:36" s="95" customFormat="1" ht="12.75" customHeight="1" x14ac:dyDescent="0.3">
      <c r="B9" s="354"/>
      <c r="C9" s="44" t="s">
        <v>520</v>
      </c>
      <c r="D9" s="65">
        <v>18.600000000000001</v>
      </c>
      <c r="E9" s="40">
        <v>17.600000000000001</v>
      </c>
      <c r="F9" s="46">
        <f t="shared" si="0"/>
        <v>94.623655913978496</v>
      </c>
      <c r="G9" s="48">
        <v>15.83</v>
      </c>
      <c r="H9" s="46">
        <f t="shared" si="1"/>
        <v>85.107526881720418</v>
      </c>
      <c r="I9" s="48">
        <v>14.67</v>
      </c>
      <c r="J9" s="52">
        <f t="shared" si="4"/>
        <v>78.870967741935488</v>
      </c>
      <c r="K9" s="48">
        <v>15.24</v>
      </c>
      <c r="L9" s="46">
        <f t="shared" si="2"/>
        <v>81.935483870967744</v>
      </c>
      <c r="M9" s="48">
        <v>13.34</v>
      </c>
      <c r="N9" s="52">
        <f t="shared" si="5"/>
        <v>71.72043010752688</v>
      </c>
      <c r="O9" s="48">
        <v>12.6</v>
      </c>
      <c r="P9" s="52">
        <f t="shared" si="3"/>
        <v>67.741935483870961</v>
      </c>
      <c r="Q9" s="48">
        <v>11.88</v>
      </c>
      <c r="R9" s="52">
        <f t="shared" ref="R9:R11" si="6">Q9/D9*100</f>
        <v>63.87096774193548</v>
      </c>
      <c r="S9" s="49" t="s">
        <v>521</v>
      </c>
      <c r="T9" s="53"/>
      <c r="U9" s="48"/>
      <c r="V9" s="53"/>
      <c r="W9" s="48"/>
      <c r="X9" s="53"/>
      <c r="Y9" s="48"/>
      <c r="Z9" s="53"/>
      <c r="AA9" s="48"/>
      <c r="AB9" s="53"/>
      <c r="AC9" s="48"/>
      <c r="AD9" s="53"/>
      <c r="AE9" s="48"/>
      <c r="AF9" s="53"/>
      <c r="AG9" s="48"/>
      <c r="AH9" s="53"/>
      <c r="AI9" s="48"/>
      <c r="AJ9" s="54"/>
    </row>
    <row r="10" spans="2:36" s="95" customFormat="1" ht="12.75" customHeight="1" x14ac:dyDescent="0.25">
      <c r="B10" s="354" t="s">
        <v>537</v>
      </c>
      <c r="C10" s="44" t="s">
        <v>522</v>
      </c>
      <c r="D10" s="65">
        <v>19.350000000000001</v>
      </c>
      <c r="E10" s="40">
        <v>18.23</v>
      </c>
      <c r="F10" s="46">
        <f>E10/D10*100</f>
        <v>94.211886304909555</v>
      </c>
      <c r="G10" s="48">
        <v>16.059999999999999</v>
      </c>
      <c r="H10" s="46">
        <f t="shared" si="1"/>
        <v>82.997416020671821</v>
      </c>
      <c r="I10" s="48">
        <v>14.97</v>
      </c>
      <c r="J10" s="52">
        <f t="shared" si="4"/>
        <v>77.36434108527132</v>
      </c>
      <c r="K10" s="48">
        <v>16.27</v>
      </c>
      <c r="L10" s="46">
        <f t="shared" si="2"/>
        <v>84.082687338501287</v>
      </c>
      <c r="M10" s="48">
        <v>16.420000000000002</v>
      </c>
      <c r="N10" s="46">
        <f t="shared" si="5"/>
        <v>84.857881136950908</v>
      </c>
      <c r="O10" s="48">
        <v>14.51</v>
      </c>
      <c r="P10" s="52">
        <f>O10/D10*100</f>
        <v>74.987080103359176</v>
      </c>
      <c r="Q10" s="48">
        <v>14.92</v>
      </c>
      <c r="R10" s="52">
        <f t="shared" si="6"/>
        <v>77.10594315245477</v>
      </c>
      <c r="S10" s="48">
        <v>14.21</v>
      </c>
      <c r="T10" s="52">
        <f t="shared" ref="T10:T11" si="7">S10/D10*100</f>
        <v>73.436692506459949</v>
      </c>
      <c r="U10" s="48">
        <v>14.35</v>
      </c>
      <c r="V10" s="52">
        <f>U10/D10*100</f>
        <v>74.160206718346245</v>
      </c>
      <c r="W10" s="48">
        <v>14.41</v>
      </c>
      <c r="X10" s="52">
        <f>W10/D10*100</f>
        <v>74.470284237726091</v>
      </c>
      <c r="Y10" s="48">
        <v>14.62</v>
      </c>
      <c r="Z10" s="52">
        <f>Y10/D10*100</f>
        <v>75.555555555555543</v>
      </c>
      <c r="AA10" s="48">
        <v>14.74</v>
      </c>
      <c r="AB10" s="52">
        <f>AA10/D10*100</f>
        <v>76.175710594315234</v>
      </c>
      <c r="AC10" s="48">
        <v>15.22</v>
      </c>
      <c r="AD10" s="52">
        <f>AC10/D10*100</f>
        <v>78.656330749353998</v>
      </c>
      <c r="AE10" s="48">
        <v>15.15</v>
      </c>
      <c r="AF10" s="52">
        <f>AE10/D10*100</f>
        <v>78.294573643410843</v>
      </c>
      <c r="AG10" s="48">
        <v>15.37</v>
      </c>
      <c r="AH10" s="52">
        <f>AG10/D10*100</f>
        <v>79.431524547803605</v>
      </c>
      <c r="AI10" s="48">
        <v>15.26</v>
      </c>
      <c r="AJ10" s="50">
        <f>AI10/D10*100</f>
        <v>78.863049095607224</v>
      </c>
    </row>
    <row r="11" spans="2:36" s="95" customFormat="1" ht="12.75" customHeight="1" x14ac:dyDescent="0.3">
      <c r="B11" s="354"/>
      <c r="C11" s="44" t="s">
        <v>523</v>
      </c>
      <c r="D11" s="65">
        <v>18.72</v>
      </c>
      <c r="E11" s="40">
        <v>17.59</v>
      </c>
      <c r="F11" s="46">
        <f>E11/D11*100</f>
        <v>93.963675213675231</v>
      </c>
      <c r="G11" s="48">
        <v>16.27</v>
      </c>
      <c r="H11" s="46">
        <f t="shared" si="1"/>
        <v>86.912393162393158</v>
      </c>
      <c r="I11" s="48">
        <v>15.26</v>
      </c>
      <c r="J11" s="46">
        <f t="shared" si="4"/>
        <v>81.51709401709401</v>
      </c>
      <c r="K11" s="48">
        <v>14.95</v>
      </c>
      <c r="L11" s="52">
        <f t="shared" si="2"/>
        <v>79.861111111111114</v>
      </c>
      <c r="M11" s="48">
        <v>15.99</v>
      </c>
      <c r="N11" s="46">
        <f t="shared" si="5"/>
        <v>85.416666666666671</v>
      </c>
      <c r="O11" s="48">
        <v>13.64</v>
      </c>
      <c r="P11" s="52">
        <f>O11/D11*100</f>
        <v>72.863247863247864</v>
      </c>
      <c r="Q11" s="48">
        <v>13.24</v>
      </c>
      <c r="R11" s="52">
        <f t="shared" si="6"/>
        <v>70.726495726495727</v>
      </c>
      <c r="S11" s="48">
        <v>12.15</v>
      </c>
      <c r="T11" s="52">
        <f t="shared" si="7"/>
        <v>64.90384615384616</v>
      </c>
      <c r="U11" s="49" t="s">
        <v>487</v>
      </c>
      <c r="V11" s="53"/>
      <c r="W11" s="48"/>
      <c r="X11" s="53"/>
      <c r="Y11" s="48"/>
      <c r="Z11" s="53"/>
      <c r="AA11" s="48"/>
      <c r="AB11" s="53"/>
      <c r="AC11" s="48"/>
      <c r="AD11" s="53"/>
      <c r="AE11" s="48"/>
      <c r="AF11" s="53"/>
      <c r="AG11" s="48"/>
      <c r="AH11" s="53"/>
      <c r="AI11" s="48"/>
      <c r="AJ11" s="54"/>
    </row>
    <row r="12" spans="2:36" s="95" customFormat="1" ht="12.75" customHeight="1" x14ac:dyDescent="0.3">
      <c r="B12" s="354"/>
      <c r="C12" s="44" t="s">
        <v>524</v>
      </c>
      <c r="D12" s="65">
        <v>18.77</v>
      </c>
      <c r="E12" s="40">
        <v>17.89</v>
      </c>
      <c r="F12" s="46">
        <f>E12/D12*100</f>
        <v>95.31166755460842</v>
      </c>
      <c r="G12" s="48">
        <v>16.52</v>
      </c>
      <c r="H12" s="46">
        <f t="shared" si="1"/>
        <v>88.012786361214694</v>
      </c>
      <c r="I12" s="49" t="s">
        <v>228</v>
      </c>
      <c r="J12" s="54"/>
      <c r="K12" s="49"/>
      <c r="L12" s="54"/>
      <c r="M12" s="49"/>
      <c r="N12" s="53"/>
      <c r="O12" s="48"/>
      <c r="P12" s="53"/>
      <c r="Q12" s="48"/>
      <c r="R12" s="53"/>
      <c r="S12" s="48"/>
      <c r="T12" s="53"/>
      <c r="U12" s="48"/>
      <c r="V12" s="53"/>
      <c r="W12" s="48"/>
      <c r="X12" s="53"/>
      <c r="Y12" s="48"/>
      <c r="Z12" s="53"/>
      <c r="AA12" s="48"/>
      <c r="AB12" s="53"/>
      <c r="AC12" s="48"/>
      <c r="AD12" s="53"/>
      <c r="AE12" s="48"/>
      <c r="AF12" s="53"/>
      <c r="AG12" s="48"/>
      <c r="AH12" s="53"/>
      <c r="AI12" s="48"/>
      <c r="AJ12" s="54"/>
    </row>
    <row r="13" spans="2:36" s="95" customFormat="1" ht="12.75" customHeight="1" x14ac:dyDescent="0.25">
      <c r="B13" s="354"/>
      <c r="C13" s="44" t="s">
        <v>525</v>
      </c>
      <c r="D13" s="65">
        <v>18.27</v>
      </c>
      <c r="E13" s="40">
        <v>17.11</v>
      </c>
      <c r="F13" s="46">
        <f>E13/D13*100</f>
        <v>93.650793650793645</v>
      </c>
      <c r="G13" s="48">
        <v>15.62</v>
      </c>
      <c r="H13" s="46">
        <f t="shared" si="1"/>
        <v>85.495347564313079</v>
      </c>
      <c r="I13" s="48">
        <v>14.42</v>
      </c>
      <c r="J13" s="50">
        <f t="shared" ref="J13:J24" si="8">I13/D13*100</f>
        <v>78.927203065134094</v>
      </c>
      <c r="K13" s="48">
        <v>12.38</v>
      </c>
      <c r="L13" s="50">
        <f t="shared" ref="L13:L23" si="9">K13/D13*100</f>
        <v>67.761357416529833</v>
      </c>
      <c r="M13" s="48">
        <v>11.11</v>
      </c>
      <c r="N13" s="52">
        <f t="shared" ref="N13:N24" si="10">M13/D13*100</f>
        <v>60.810071154898736</v>
      </c>
      <c r="O13" s="48">
        <v>11.5</v>
      </c>
      <c r="P13" s="52">
        <f t="shared" ref="P13:P24" si="11">O13/D13*100</f>
        <v>62.944718117131913</v>
      </c>
      <c r="Q13" s="48">
        <v>10.97</v>
      </c>
      <c r="R13" s="52">
        <f t="shared" ref="R13:R23" si="12">Q13/D13*100</f>
        <v>60.043787629994526</v>
      </c>
      <c r="S13" s="48">
        <v>10.84</v>
      </c>
      <c r="T13" s="52">
        <f>S13/D13*100</f>
        <v>59.332238642583469</v>
      </c>
      <c r="U13" s="48">
        <v>11.25</v>
      </c>
      <c r="V13" s="52">
        <f>U13/D13*100</f>
        <v>61.576354679802961</v>
      </c>
      <c r="W13" s="48">
        <v>11.44</v>
      </c>
      <c r="X13" s="52">
        <f>W13/D13*100</f>
        <v>62.616310892172955</v>
      </c>
      <c r="Y13" s="48">
        <v>11.1</v>
      </c>
      <c r="Z13" s="52">
        <f>Y13/D13*100</f>
        <v>60.75533661740559</v>
      </c>
      <c r="AA13" s="48">
        <v>11.03</v>
      </c>
      <c r="AB13" s="52">
        <f>AA13/D13*100</f>
        <v>60.372194854953477</v>
      </c>
      <c r="AC13" s="48">
        <v>10.78</v>
      </c>
      <c r="AD13" s="52">
        <f>AC13/D13*100</f>
        <v>59.003831417624518</v>
      </c>
      <c r="AE13" s="48">
        <v>10.95</v>
      </c>
      <c r="AF13" s="52">
        <f>AE13/D13*100</f>
        <v>59.934318555008204</v>
      </c>
      <c r="AG13" s="48">
        <v>10.57</v>
      </c>
      <c r="AH13" s="52">
        <f>AG13/D13*100</f>
        <v>57.854406130268202</v>
      </c>
      <c r="AI13" s="48">
        <v>10.5</v>
      </c>
      <c r="AJ13" s="50">
        <f>AI13/D13*100</f>
        <v>57.47126436781609</v>
      </c>
    </row>
    <row r="14" spans="2:36" s="95" customFormat="1" ht="12.75" customHeight="1" x14ac:dyDescent="0.3">
      <c r="B14" s="354"/>
      <c r="C14" s="44" t="s">
        <v>526</v>
      </c>
      <c r="D14" s="65">
        <v>18.88</v>
      </c>
      <c r="E14" s="40">
        <v>17.66</v>
      </c>
      <c r="F14" s="46">
        <f>E14/D14*100</f>
        <v>93.538135593220346</v>
      </c>
      <c r="G14" s="48">
        <v>15.96</v>
      </c>
      <c r="H14" s="46">
        <f t="shared" si="1"/>
        <v>84.533898305084747</v>
      </c>
      <c r="I14" s="48">
        <v>14.69</v>
      </c>
      <c r="J14" s="50">
        <f t="shared" si="8"/>
        <v>77.807203389830519</v>
      </c>
      <c r="K14" s="48">
        <v>16.850000000000001</v>
      </c>
      <c r="L14" s="47">
        <f t="shared" si="9"/>
        <v>89.247881355932208</v>
      </c>
      <c r="M14" s="48">
        <v>16.64</v>
      </c>
      <c r="N14" s="46">
        <f t="shared" si="10"/>
        <v>88.13559322033899</v>
      </c>
      <c r="O14" s="48">
        <v>13.74</v>
      </c>
      <c r="P14" s="52">
        <f t="shared" si="11"/>
        <v>72.775423728813564</v>
      </c>
      <c r="Q14" s="48">
        <v>12.14</v>
      </c>
      <c r="R14" s="52">
        <f t="shared" si="12"/>
        <v>64.300847457627128</v>
      </c>
      <c r="S14" s="49" t="s">
        <v>521</v>
      </c>
      <c r="T14" s="53"/>
      <c r="U14" s="48"/>
      <c r="V14" s="53"/>
      <c r="W14" s="48"/>
      <c r="X14" s="53"/>
      <c r="Y14" s="48"/>
      <c r="Z14" s="53"/>
      <c r="AA14" s="48"/>
      <c r="AB14" s="53"/>
      <c r="AC14" s="48"/>
      <c r="AD14" s="53"/>
      <c r="AE14" s="48"/>
      <c r="AF14" s="53"/>
      <c r="AG14" s="48"/>
      <c r="AH14" s="53"/>
      <c r="AI14" s="48"/>
      <c r="AJ14" s="54"/>
    </row>
    <row r="15" spans="2:36" s="95" customFormat="1" ht="12.75" customHeight="1" x14ac:dyDescent="0.25">
      <c r="B15" s="354" t="s">
        <v>538</v>
      </c>
      <c r="C15" s="44" t="s">
        <v>527</v>
      </c>
      <c r="D15" s="65">
        <v>19.89</v>
      </c>
      <c r="E15" s="40">
        <v>17.670000000000002</v>
      </c>
      <c r="F15" s="46">
        <f t="shared" ref="F15:F20" si="13">E15/D15*100</f>
        <v>88.838612368024144</v>
      </c>
      <c r="G15" s="48">
        <v>15.61</v>
      </c>
      <c r="H15" s="52">
        <f t="shared" si="1"/>
        <v>78.481649069884369</v>
      </c>
      <c r="I15" s="48">
        <v>14.73</v>
      </c>
      <c r="J15" s="50">
        <f t="shared" si="8"/>
        <v>74.057315233785829</v>
      </c>
      <c r="K15" s="48">
        <v>15.95</v>
      </c>
      <c r="L15" s="47">
        <f t="shared" si="9"/>
        <v>80.191050779286073</v>
      </c>
      <c r="M15" s="48">
        <v>15.23</v>
      </c>
      <c r="N15" s="52">
        <f t="shared" si="10"/>
        <v>76.571141277023628</v>
      </c>
      <c r="O15" s="48">
        <v>16.98</v>
      </c>
      <c r="P15" s="46">
        <f t="shared" si="11"/>
        <v>85.369532428355953</v>
      </c>
      <c r="Q15" s="40">
        <v>17.68</v>
      </c>
      <c r="R15" s="46">
        <f t="shared" si="12"/>
        <v>88.888888888888886</v>
      </c>
      <c r="S15" s="48">
        <v>16.82</v>
      </c>
      <c r="T15" s="46">
        <f t="shared" ref="T15:T24" si="14">S15/D15*100</f>
        <v>84.565108094519857</v>
      </c>
      <c r="U15" s="48">
        <v>16.48</v>
      </c>
      <c r="V15" s="46">
        <f t="shared" ref="V15:V23" si="15">U15/D15*100</f>
        <v>82.85570638511814</v>
      </c>
      <c r="W15" s="48">
        <v>15.54</v>
      </c>
      <c r="X15" s="52">
        <f t="shared" ref="X15:X23" si="16">W15/D15*100</f>
        <v>78.129713423831063</v>
      </c>
      <c r="Y15" s="48">
        <v>15.27</v>
      </c>
      <c r="Z15" s="52">
        <f t="shared" ref="Z15:Z23" si="17">Y15/D15*100</f>
        <v>76.772247360482652</v>
      </c>
      <c r="AA15" s="48">
        <v>14.3</v>
      </c>
      <c r="AB15" s="52">
        <f t="shared" ref="AB15:AB17" si="18">AA15/D15*100</f>
        <v>71.895424836601308</v>
      </c>
      <c r="AC15" s="48">
        <v>15.15</v>
      </c>
      <c r="AD15" s="52">
        <f t="shared" ref="AD15:AD17" si="19">AC15/D15*100</f>
        <v>76.16892911010558</v>
      </c>
      <c r="AE15" s="48">
        <v>15.59</v>
      </c>
      <c r="AF15" s="52">
        <f t="shared" ref="AF15:AF17" si="20">AE15/D15*100</f>
        <v>78.381096028154857</v>
      </c>
      <c r="AG15" s="40">
        <v>17.77</v>
      </c>
      <c r="AH15" s="46">
        <f t="shared" ref="AH15:AH17" si="21">AG15/D15*100</f>
        <v>89.34137757667169</v>
      </c>
      <c r="AI15" s="40">
        <v>18.72</v>
      </c>
      <c r="AJ15" s="47">
        <f t="shared" ref="AJ15:AJ17" si="22">AI15/D15*100</f>
        <v>94.117647058823522</v>
      </c>
    </row>
    <row r="16" spans="2:36" s="95" customFormat="1" ht="12.75" customHeight="1" x14ac:dyDescent="0.25">
      <c r="B16" s="354"/>
      <c r="C16" s="44" t="s">
        <v>528</v>
      </c>
      <c r="D16" s="65">
        <v>16.510000000000002</v>
      </c>
      <c r="E16" s="48">
        <v>15.51</v>
      </c>
      <c r="F16" s="46">
        <f t="shared" si="13"/>
        <v>93.943064809206533</v>
      </c>
      <c r="G16" s="48">
        <v>13.7</v>
      </c>
      <c r="H16" s="46">
        <f t="shared" si="1"/>
        <v>82.980012113870373</v>
      </c>
      <c r="I16" s="48">
        <v>12.61</v>
      </c>
      <c r="J16" s="50">
        <f t="shared" si="8"/>
        <v>76.377952755905497</v>
      </c>
      <c r="K16" s="48">
        <v>12.99</v>
      </c>
      <c r="L16" s="50">
        <f t="shared" si="9"/>
        <v>78.679588128407019</v>
      </c>
      <c r="M16" s="48">
        <v>12</v>
      </c>
      <c r="N16" s="52">
        <f t="shared" si="10"/>
        <v>72.683222289521495</v>
      </c>
      <c r="O16" s="48">
        <v>13.02</v>
      </c>
      <c r="P16" s="52">
        <f t="shared" si="11"/>
        <v>78.861296184130822</v>
      </c>
      <c r="Q16" s="48">
        <v>13.84</v>
      </c>
      <c r="R16" s="46">
        <f t="shared" si="12"/>
        <v>83.827983040581458</v>
      </c>
      <c r="S16" s="48">
        <v>14.08</v>
      </c>
      <c r="T16" s="46">
        <f t="shared" si="14"/>
        <v>85.281647486371895</v>
      </c>
      <c r="U16" s="48">
        <v>14.19</v>
      </c>
      <c r="V16" s="46">
        <f t="shared" si="15"/>
        <v>85.947910357359163</v>
      </c>
      <c r="W16" s="48">
        <v>13.82</v>
      </c>
      <c r="X16" s="46">
        <f t="shared" si="16"/>
        <v>83.706844336765599</v>
      </c>
      <c r="Y16" s="48">
        <v>14.71</v>
      </c>
      <c r="Z16" s="46">
        <f t="shared" si="17"/>
        <v>89.09751665657177</v>
      </c>
      <c r="AA16" s="48">
        <v>14.78</v>
      </c>
      <c r="AB16" s="46">
        <f t="shared" si="18"/>
        <v>89.521502119927305</v>
      </c>
      <c r="AC16" s="48">
        <v>15.15</v>
      </c>
      <c r="AD16" s="46">
        <f t="shared" si="19"/>
        <v>91.762568140520898</v>
      </c>
      <c r="AE16" s="48">
        <v>15.48</v>
      </c>
      <c r="AF16" s="46">
        <f t="shared" si="20"/>
        <v>93.76135675348273</v>
      </c>
      <c r="AG16" s="48">
        <v>15.81</v>
      </c>
      <c r="AH16" s="46">
        <f t="shared" si="21"/>
        <v>95.760145366444576</v>
      </c>
      <c r="AI16" s="48">
        <v>16.420000000000002</v>
      </c>
      <c r="AJ16" s="47">
        <f t="shared" si="22"/>
        <v>99.454875832828591</v>
      </c>
    </row>
    <row r="17" spans="2:36" s="95" customFormat="1" ht="12.75" customHeight="1" x14ac:dyDescent="0.25">
      <c r="B17" s="354"/>
      <c r="C17" s="44" t="s">
        <v>529</v>
      </c>
      <c r="D17" s="65">
        <v>16.64</v>
      </c>
      <c r="E17" s="48">
        <v>15.35</v>
      </c>
      <c r="F17" s="46">
        <f t="shared" si="13"/>
        <v>92.247596153846146</v>
      </c>
      <c r="G17" s="48">
        <v>13.35</v>
      </c>
      <c r="H17" s="46">
        <f t="shared" si="1"/>
        <v>80.228365384615373</v>
      </c>
      <c r="I17" s="48">
        <v>12.41</v>
      </c>
      <c r="J17" s="50">
        <f t="shared" si="8"/>
        <v>74.57932692307692</v>
      </c>
      <c r="K17" s="48">
        <v>13.53</v>
      </c>
      <c r="L17" s="47">
        <f t="shared" si="9"/>
        <v>81.310096153846146</v>
      </c>
      <c r="M17" s="48">
        <v>12.96</v>
      </c>
      <c r="N17" s="52">
        <f t="shared" si="10"/>
        <v>77.884615384615387</v>
      </c>
      <c r="O17" s="48">
        <v>15.02</v>
      </c>
      <c r="P17" s="46">
        <f t="shared" si="11"/>
        <v>90.264423076923066</v>
      </c>
      <c r="Q17" s="48">
        <v>15.05</v>
      </c>
      <c r="R17" s="46">
        <f t="shared" si="12"/>
        <v>90.444711538461547</v>
      </c>
      <c r="S17" s="48">
        <v>15.32</v>
      </c>
      <c r="T17" s="46">
        <f t="shared" si="14"/>
        <v>92.067307692307693</v>
      </c>
      <c r="U17" s="48">
        <v>15.98</v>
      </c>
      <c r="V17" s="46">
        <f t="shared" si="15"/>
        <v>96.03365384615384</v>
      </c>
      <c r="W17" s="40">
        <v>17.239999999999998</v>
      </c>
      <c r="X17" s="46">
        <f t="shared" si="16"/>
        <v>103.60576923076921</v>
      </c>
      <c r="Y17" s="40">
        <v>17.89</v>
      </c>
      <c r="Z17" s="46">
        <f t="shared" si="17"/>
        <v>107.51201923076923</v>
      </c>
      <c r="AA17" s="40">
        <v>17.559999999999999</v>
      </c>
      <c r="AB17" s="46">
        <f t="shared" si="18"/>
        <v>105.52884615384615</v>
      </c>
      <c r="AC17" s="40">
        <v>17.98</v>
      </c>
      <c r="AD17" s="46">
        <f t="shared" si="19"/>
        <v>108.0528846153846</v>
      </c>
      <c r="AE17" s="48">
        <v>16.760000000000002</v>
      </c>
      <c r="AF17" s="46">
        <f t="shared" si="20"/>
        <v>100.72115384615385</v>
      </c>
      <c r="AG17" s="40">
        <v>17.170000000000002</v>
      </c>
      <c r="AH17" s="46">
        <f t="shared" si="21"/>
        <v>103.18509615384616</v>
      </c>
      <c r="AI17" s="40">
        <v>17.2</v>
      </c>
      <c r="AJ17" s="47">
        <f t="shared" si="22"/>
        <v>103.3653846153846</v>
      </c>
    </row>
    <row r="18" spans="2:36" s="95" customFormat="1" ht="12.75" customHeight="1" x14ac:dyDescent="0.3">
      <c r="B18" s="354"/>
      <c r="C18" s="44" t="s">
        <v>530</v>
      </c>
      <c r="D18" s="65">
        <v>19.3</v>
      </c>
      <c r="E18" s="40">
        <v>17.98</v>
      </c>
      <c r="F18" s="46">
        <f t="shared" si="13"/>
        <v>93.160621761658021</v>
      </c>
      <c r="G18" s="48">
        <v>16.190000000000001</v>
      </c>
      <c r="H18" s="46">
        <f t="shared" si="1"/>
        <v>83.886010362694307</v>
      </c>
      <c r="I18" s="48">
        <v>15.29</v>
      </c>
      <c r="J18" s="50">
        <f t="shared" si="8"/>
        <v>79.22279792746113</v>
      </c>
      <c r="K18" s="48">
        <v>15.11</v>
      </c>
      <c r="L18" s="50">
        <f t="shared" si="9"/>
        <v>78.290155440414495</v>
      </c>
      <c r="M18" s="48">
        <v>14.68</v>
      </c>
      <c r="N18" s="52">
        <f t="shared" si="10"/>
        <v>76.062176165803109</v>
      </c>
      <c r="O18" s="48">
        <v>15.87</v>
      </c>
      <c r="P18" s="46">
        <f t="shared" si="11"/>
        <v>82.2279792746114</v>
      </c>
      <c r="Q18" s="48">
        <v>15.52</v>
      </c>
      <c r="R18" s="46">
        <f t="shared" si="12"/>
        <v>80.414507772020713</v>
      </c>
      <c r="S18" s="48">
        <v>14.14</v>
      </c>
      <c r="T18" s="52">
        <f t="shared" si="14"/>
        <v>73.264248704663217</v>
      </c>
      <c r="U18" s="48">
        <v>13.6</v>
      </c>
      <c r="V18" s="52">
        <f t="shared" si="15"/>
        <v>70.466321243523311</v>
      </c>
      <c r="W18" s="48">
        <v>13.86</v>
      </c>
      <c r="X18" s="52">
        <f t="shared" si="16"/>
        <v>71.813471502590659</v>
      </c>
      <c r="Y18" s="48">
        <v>12.82</v>
      </c>
      <c r="Z18" s="52">
        <f t="shared" si="17"/>
        <v>66.424870466321238</v>
      </c>
      <c r="AA18" s="49" t="s">
        <v>292</v>
      </c>
      <c r="AB18" s="53"/>
      <c r="AC18" s="48"/>
      <c r="AD18" s="53"/>
      <c r="AE18" s="48"/>
      <c r="AF18" s="53"/>
      <c r="AG18" s="48"/>
      <c r="AH18" s="53"/>
      <c r="AI18" s="48"/>
      <c r="AJ18" s="54"/>
    </row>
    <row r="19" spans="2:36" s="95" customFormat="1" ht="12.75" customHeight="1" x14ac:dyDescent="0.25">
      <c r="B19" s="354"/>
      <c r="C19" s="44" t="s">
        <v>531</v>
      </c>
      <c r="D19" s="65">
        <v>13.84</v>
      </c>
      <c r="E19" s="48">
        <v>14.42</v>
      </c>
      <c r="F19" s="46">
        <f t="shared" si="13"/>
        <v>104.19075144508672</v>
      </c>
      <c r="G19" s="48">
        <v>12.21</v>
      </c>
      <c r="H19" s="46">
        <f t="shared" si="1"/>
        <v>88.222543352601164</v>
      </c>
      <c r="I19" s="48">
        <v>11.55</v>
      </c>
      <c r="J19" s="47">
        <f t="shared" si="8"/>
        <v>83.453757225433534</v>
      </c>
      <c r="K19" s="48">
        <v>13.11</v>
      </c>
      <c r="L19" s="47">
        <f t="shared" si="9"/>
        <v>94.725433526011557</v>
      </c>
      <c r="M19" s="48">
        <v>12.11</v>
      </c>
      <c r="N19" s="46">
        <f t="shared" si="10"/>
        <v>87.5</v>
      </c>
      <c r="O19" s="48">
        <v>13.49</v>
      </c>
      <c r="P19" s="46">
        <f t="shared" si="11"/>
        <v>97.471098265895961</v>
      </c>
      <c r="Q19" s="48">
        <v>14.25</v>
      </c>
      <c r="R19" s="46">
        <f t="shared" si="12"/>
        <v>102.96242774566473</v>
      </c>
      <c r="S19" s="48">
        <v>14.44</v>
      </c>
      <c r="T19" s="46">
        <f t="shared" si="14"/>
        <v>104.33526011560694</v>
      </c>
      <c r="U19" s="48">
        <v>13.37</v>
      </c>
      <c r="V19" s="46">
        <f t="shared" si="15"/>
        <v>96.604046242774572</v>
      </c>
      <c r="W19" s="48">
        <v>13.71</v>
      </c>
      <c r="X19" s="46">
        <f t="shared" si="16"/>
        <v>99.060693641618499</v>
      </c>
      <c r="Y19" s="48">
        <v>14.66</v>
      </c>
      <c r="Z19" s="46">
        <f t="shared" si="17"/>
        <v>105.92485549132948</v>
      </c>
      <c r="AA19" s="48">
        <v>14.68</v>
      </c>
      <c r="AB19" s="46">
        <f t="shared" ref="AB19:AB24" si="23">AA19/D19*100</f>
        <v>106.06936416184971</v>
      </c>
      <c r="AC19" s="48">
        <v>15.1</v>
      </c>
      <c r="AD19" s="46">
        <f t="shared" ref="AD19:AD24" si="24">AC19/D19*100</f>
        <v>109.10404624277457</v>
      </c>
      <c r="AE19" s="48">
        <v>15.41</v>
      </c>
      <c r="AF19" s="46">
        <f t="shared" ref="AF19:AF24" si="25">AE19/D19*100</f>
        <v>111.34393063583816</v>
      </c>
      <c r="AG19" s="48">
        <v>15.4</v>
      </c>
      <c r="AH19" s="46">
        <f t="shared" ref="AH19:AH24" si="26">AG19/D19*100</f>
        <v>111.27167630057804</v>
      </c>
      <c r="AI19" s="48">
        <v>15.42</v>
      </c>
      <c r="AJ19" s="47">
        <f t="shared" ref="AJ19:AJ24" si="27">AI19/D19*100</f>
        <v>111.41618497109826</v>
      </c>
    </row>
    <row r="20" spans="2:36" s="95" customFormat="1" ht="12.75" customHeight="1" x14ac:dyDescent="0.25">
      <c r="B20" s="354" t="s">
        <v>539</v>
      </c>
      <c r="C20" s="44" t="s">
        <v>532</v>
      </c>
      <c r="D20" s="65">
        <v>16.239999999999998</v>
      </c>
      <c r="E20" s="48">
        <v>15.73</v>
      </c>
      <c r="F20" s="46">
        <f t="shared" si="13"/>
        <v>96.859605911330064</v>
      </c>
      <c r="G20" s="48">
        <v>15.63</v>
      </c>
      <c r="H20" s="46">
        <f t="shared" si="1"/>
        <v>96.243842364532028</v>
      </c>
      <c r="I20" s="48">
        <v>15.74</v>
      </c>
      <c r="J20" s="47">
        <f t="shared" si="8"/>
        <v>96.921182266009865</v>
      </c>
      <c r="K20" s="48">
        <v>16.010000000000002</v>
      </c>
      <c r="L20" s="47">
        <f t="shared" si="9"/>
        <v>98.583743842364541</v>
      </c>
      <c r="M20" s="48">
        <v>16.079999999999998</v>
      </c>
      <c r="N20" s="46">
        <f t="shared" si="10"/>
        <v>99.01477832512316</v>
      </c>
      <c r="O20" s="48">
        <v>16.39</v>
      </c>
      <c r="P20" s="46">
        <f t="shared" si="11"/>
        <v>100.92364532019707</v>
      </c>
      <c r="Q20" s="48">
        <v>16.59</v>
      </c>
      <c r="R20" s="46">
        <f t="shared" si="12"/>
        <v>102.15517241379311</v>
      </c>
      <c r="S20" s="48">
        <v>16.579999999999998</v>
      </c>
      <c r="T20" s="46">
        <f t="shared" si="14"/>
        <v>102.0935960591133</v>
      </c>
      <c r="U20" s="48">
        <v>16.62</v>
      </c>
      <c r="V20" s="46">
        <f t="shared" si="15"/>
        <v>102.33990147783251</v>
      </c>
      <c r="W20" s="40">
        <v>17.72</v>
      </c>
      <c r="X20" s="46">
        <f t="shared" si="16"/>
        <v>109.11330049261083</v>
      </c>
      <c r="Y20" s="40">
        <v>17.82</v>
      </c>
      <c r="Z20" s="46">
        <f t="shared" si="17"/>
        <v>109.72906403940887</v>
      </c>
      <c r="AA20" s="40">
        <v>17.91</v>
      </c>
      <c r="AB20" s="46">
        <f t="shared" si="23"/>
        <v>110.28325123152712</v>
      </c>
      <c r="AC20" s="40">
        <v>17.97</v>
      </c>
      <c r="AD20" s="46">
        <f t="shared" si="24"/>
        <v>110.65270935960592</v>
      </c>
      <c r="AE20" s="40">
        <v>18.09</v>
      </c>
      <c r="AF20" s="46">
        <f t="shared" si="25"/>
        <v>111.39162561576357</v>
      </c>
      <c r="AG20" s="40">
        <v>17.96</v>
      </c>
      <c r="AH20" s="46">
        <f t="shared" si="26"/>
        <v>110.59113300492614</v>
      </c>
      <c r="AI20" s="40">
        <v>18.3</v>
      </c>
      <c r="AJ20" s="47">
        <f t="shared" si="27"/>
        <v>112.68472906403943</v>
      </c>
    </row>
    <row r="21" spans="2:36" s="95" customFormat="1" ht="12.75" customHeight="1" x14ac:dyDescent="0.25">
      <c r="B21" s="354"/>
      <c r="C21" s="44" t="s">
        <v>533</v>
      </c>
      <c r="D21" s="65">
        <v>16.68</v>
      </c>
      <c r="E21" s="48">
        <v>16.34</v>
      </c>
      <c r="F21" s="46">
        <f>E21/D21*100</f>
        <v>97.961630695443645</v>
      </c>
      <c r="G21" s="48">
        <v>16.47</v>
      </c>
      <c r="H21" s="46">
        <f t="shared" si="1"/>
        <v>98.741007194244602</v>
      </c>
      <c r="I21" s="48">
        <v>16.850000000000001</v>
      </c>
      <c r="J21" s="47">
        <f t="shared" si="8"/>
        <v>101.0191846522782</v>
      </c>
      <c r="K21" s="48">
        <v>16.329999999999998</v>
      </c>
      <c r="L21" s="47">
        <f t="shared" si="9"/>
        <v>97.901678657074328</v>
      </c>
      <c r="M21" s="48">
        <v>16.54</v>
      </c>
      <c r="N21" s="46">
        <f t="shared" si="10"/>
        <v>99.160671462829725</v>
      </c>
      <c r="O21" s="40">
        <v>17</v>
      </c>
      <c r="P21" s="46">
        <f t="shared" si="11"/>
        <v>101.91846522781776</v>
      </c>
      <c r="Q21" s="40">
        <v>17.2</v>
      </c>
      <c r="R21" s="46">
        <f t="shared" si="12"/>
        <v>103.11750599520384</v>
      </c>
      <c r="S21" s="40">
        <v>17.72</v>
      </c>
      <c r="T21" s="46">
        <f t="shared" si="14"/>
        <v>106.23501199040768</v>
      </c>
      <c r="U21" s="40">
        <v>18.059999999999999</v>
      </c>
      <c r="V21" s="46">
        <f t="shared" si="15"/>
        <v>108.27338129496403</v>
      </c>
      <c r="W21" s="40">
        <v>19.25</v>
      </c>
      <c r="X21" s="46">
        <f t="shared" si="16"/>
        <v>115.40767386091126</v>
      </c>
      <c r="Y21" s="40">
        <v>19.11</v>
      </c>
      <c r="Z21" s="46">
        <f t="shared" si="17"/>
        <v>114.568345323741</v>
      </c>
      <c r="AA21" s="40">
        <v>18.55</v>
      </c>
      <c r="AB21" s="46">
        <f t="shared" si="23"/>
        <v>111.21103117505994</v>
      </c>
      <c r="AC21" s="40">
        <v>18.55</v>
      </c>
      <c r="AD21" s="46">
        <f t="shared" si="24"/>
        <v>111.21103117505994</v>
      </c>
      <c r="AE21" s="40">
        <v>18.57</v>
      </c>
      <c r="AF21" s="46">
        <f t="shared" si="25"/>
        <v>111.33093525179856</v>
      </c>
      <c r="AG21" s="40">
        <v>18.260000000000002</v>
      </c>
      <c r="AH21" s="46">
        <f t="shared" si="26"/>
        <v>109.47242206235013</v>
      </c>
      <c r="AI21" s="40">
        <v>18.5</v>
      </c>
      <c r="AJ21" s="47">
        <f t="shared" si="27"/>
        <v>110.91127098321343</v>
      </c>
    </row>
    <row r="22" spans="2:36" s="95" customFormat="1" ht="12.75" customHeight="1" x14ac:dyDescent="0.25">
      <c r="B22" s="354"/>
      <c r="C22" s="44" t="s">
        <v>534</v>
      </c>
      <c r="D22" s="65">
        <v>17.649999999999999</v>
      </c>
      <c r="E22" s="40">
        <v>18.55</v>
      </c>
      <c r="F22" s="46">
        <f>E22/D22*100</f>
        <v>105.09915014164308</v>
      </c>
      <c r="G22" s="40">
        <v>18.510000000000002</v>
      </c>
      <c r="H22" s="46">
        <f t="shared" si="1"/>
        <v>104.87252124645894</v>
      </c>
      <c r="I22" s="40">
        <v>18.8</v>
      </c>
      <c r="J22" s="47">
        <f t="shared" si="8"/>
        <v>106.51558073654392</v>
      </c>
      <c r="K22" s="40">
        <v>18.829999999999998</v>
      </c>
      <c r="L22" s="47">
        <f t="shared" si="9"/>
        <v>106.68555240793201</v>
      </c>
      <c r="M22" s="40">
        <v>18.75</v>
      </c>
      <c r="N22" s="46">
        <f t="shared" si="10"/>
        <v>106.23229461756374</v>
      </c>
      <c r="O22" s="40">
        <v>18.64</v>
      </c>
      <c r="P22" s="46">
        <f t="shared" si="11"/>
        <v>105.60906515580737</v>
      </c>
      <c r="Q22" s="40">
        <v>18.600000000000001</v>
      </c>
      <c r="R22" s="46">
        <f t="shared" si="12"/>
        <v>105.38243626062325</v>
      </c>
      <c r="S22" s="40">
        <v>19.100000000000001</v>
      </c>
      <c r="T22" s="46">
        <f t="shared" si="14"/>
        <v>108.21529745042496</v>
      </c>
      <c r="U22" s="40">
        <v>19.309999999999999</v>
      </c>
      <c r="V22" s="46">
        <f t="shared" si="15"/>
        <v>109.40509915014165</v>
      </c>
      <c r="W22" s="40">
        <v>20.350000000000001</v>
      </c>
      <c r="X22" s="46">
        <f t="shared" si="16"/>
        <v>115.29745042492921</v>
      </c>
      <c r="Y22" s="40">
        <v>20.76</v>
      </c>
      <c r="Z22" s="46">
        <f t="shared" si="17"/>
        <v>117.62039660056661</v>
      </c>
      <c r="AA22" s="40">
        <v>20.329999999999998</v>
      </c>
      <c r="AB22" s="46">
        <f t="shared" si="23"/>
        <v>115.18413597733712</v>
      </c>
      <c r="AC22" s="40">
        <v>19.940000000000001</v>
      </c>
      <c r="AD22" s="46">
        <f t="shared" si="24"/>
        <v>112.97450424929181</v>
      </c>
      <c r="AE22" s="40">
        <v>20.010000000000002</v>
      </c>
      <c r="AF22" s="46">
        <f t="shared" si="25"/>
        <v>113.37110481586403</v>
      </c>
      <c r="AG22" s="40">
        <v>19.989999999999998</v>
      </c>
      <c r="AH22" s="46">
        <f t="shared" si="26"/>
        <v>113.25779036827196</v>
      </c>
      <c r="AI22" s="40">
        <v>19.55</v>
      </c>
      <c r="AJ22" s="47">
        <f t="shared" si="27"/>
        <v>110.76487252124647</v>
      </c>
    </row>
    <row r="23" spans="2:36" s="95" customFormat="1" ht="12.75" customHeight="1" x14ac:dyDescent="0.25">
      <c r="B23" s="354"/>
      <c r="C23" s="44" t="s">
        <v>535</v>
      </c>
      <c r="D23" s="65">
        <v>16.010000000000002</v>
      </c>
      <c r="E23" s="40">
        <v>17.73</v>
      </c>
      <c r="F23" s="46">
        <f>E23/D23*100</f>
        <v>110.74328544659586</v>
      </c>
      <c r="G23" s="48">
        <v>16.29</v>
      </c>
      <c r="H23" s="46">
        <f t="shared" si="1"/>
        <v>101.74890693316677</v>
      </c>
      <c r="I23" s="40">
        <v>17.100000000000001</v>
      </c>
      <c r="J23" s="47">
        <f t="shared" si="8"/>
        <v>106.80824484697065</v>
      </c>
      <c r="K23" s="40">
        <v>17.850000000000001</v>
      </c>
      <c r="L23" s="47">
        <f t="shared" si="9"/>
        <v>111.49281698938162</v>
      </c>
      <c r="M23" s="40">
        <v>17.670000000000002</v>
      </c>
      <c r="N23" s="46">
        <f t="shared" si="10"/>
        <v>110.368519675203</v>
      </c>
      <c r="O23" s="40">
        <v>17.93</v>
      </c>
      <c r="P23" s="46">
        <f t="shared" si="11"/>
        <v>111.99250468457214</v>
      </c>
      <c r="Q23" s="40">
        <v>18.72</v>
      </c>
      <c r="R23" s="46">
        <f t="shared" si="12"/>
        <v>116.92692067457837</v>
      </c>
      <c r="S23" s="40">
        <v>18.54</v>
      </c>
      <c r="T23" s="46">
        <f t="shared" si="14"/>
        <v>115.80262336039972</v>
      </c>
      <c r="U23" s="40">
        <v>18.3</v>
      </c>
      <c r="V23" s="46">
        <f t="shared" si="15"/>
        <v>114.30356027482821</v>
      </c>
      <c r="W23" s="40">
        <v>18.440000000000001</v>
      </c>
      <c r="X23" s="46">
        <f t="shared" si="16"/>
        <v>115.1780137414116</v>
      </c>
      <c r="Y23" s="40">
        <v>18.11</v>
      </c>
      <c r="Z23" s="46">
        <f t="shared" si="17"/>
        <v>113.11680199875076</v>
      </c>
      <c r="AA23" s="40">
        <v>17.5</v>
      </c>
      <c r="AB23" s="46">
        <f t="shared" si="23"/>
        <v>109.30668332292316</v>
      </c>
      <c r="AC23" s="40">
        <v>18.149999999999999</v>
      </c>
      <c r="AD23" s="46">
        <f t="shared" si="24"/>
        <v>113.36664584634602</v>
      </c>
      <c r="AE23" s="40">
        <v>18.61</v>
      </c>
      <c r="AF23" s="46">
        <f t="shared" si="25"/>
        <v>116.23985009369142</v>
      </c>
      <c r="AG23" s="40">
        <v>18.57</v>
      </c>
      <c r="AH23" s="46">
        <f t="shared" si="26"/>
        <v>115.99000624609619</v>
      </c>
      <c r="AI23" s="40">
        <v>18.489999999999998</v>
      </c>
      <c r="AJ23" s="47">
        <f t="shared" si="27"/>
        <v>115.49031855090566</v>
      </c>
    </row>
    <row r="24" spans="2:36" s="95" customFormat="1" ht="12.75" customHeight="1" x14ac:dyDescent="0.25">
      <c r="B24" s="354"/>
      <c r="C24" s="44" t="s">
        <v>536</v>
      </c>
      <c r="D24" s="65">
        <v>16.63</v>
      </c>
      <c r="E24" s="40">
        <v>17.38</v>
      </c>
      <c r="F24" s="46">
        <f>E24/D24*100</f>
        <v>104.50992182802166</v>
      </c>
      <c r="G24" s="40">
        <v>17.32</v>
      </c>
      <c r="H24" s="46">
        <f t="shared" si="1"/>
        <v>104.14912808177992</v>
      </c>
      <c r="I24" s="40">
        <v>17.420000000000002</v>
      </c>
      <c r="J24" s="47">
        <f t="shared" si="8"/>
        <v>104.75045099218281</v>
      </c>
      <c r="K24" s="40">
        <v>17.7</v>
      </c>
      <c r="L24" s="47">
        <f>K24/D24*100</f>
        <v>106.4341551413109</v>
      </c>
      <c r="M24" s="40">
        <v>18.09</v>
      </c>
      <c r="N24" s="46">
        <f t="shared" si="10"/>
        <v>108.77931449188213</v>
      </c>
      <c r="O24" s="40">
        <v>18.46</v>
      </c>
      <c r="P24" s="46">
        <f t="shared" si="11"/>
        <v>111.00420926037282</v>
      </c>
      <c r="Q24" s="40">
        <v>19.16</v>
      </c>
      <c r="R24" s="46">
        <f>Q24/D24*100</f>
        <v>115.21346963319303</v>
      </c>
      <c r="S24" s="40">
        <v>20.309999999999999</v>
      </c>
      <c r="T24" s="46">
        <f t="shared" si="14"/>
        <v>122.1286831028262</v>
      </c>
      <c r="U24" s="40">
        <v>20.309999999999999</v>
      </c>
      <c r="V24" s="46">
        <f>U24/D24*100</f>
        <v>122.1286831028262</v>
      </c>
      <c r="W24" s="40">
        <v>20.49</v>
      </c>
      <c r="X24" s="46">
        <f>W24/D24*100</f>
        <v>123.21106434155141</v>
      </c>
      <c r="Y24" s="40">
        <v>20.190000000000001</v>
      </c>
      <c r="Z24" s="46">
        <f>Y24/D24*100</f>
        <v>121.40709561034278</v>
      </c>
      <c r="AA24" s="40">
        <v>19.600000000000001</v>
      </c>
      <c r="AB24" s="46">
        <f t="shared" si="23"/>
        <v>117.85929043896574</v>
      </c>
      <c r="AC24" s="40">
        <v>19.850000000000001</v>
      </c>
      <c r="AD24" s="46">
        <f t="shared" si="24"/>
        <v>119.36259771497295</v>
      </c>
      <c r="AE24" s="40">
        <v>19.75</v>
      </c>
      <c r="AF24" s="46">
        <f t="shared" si="25"/>
        <v>118.76127480457006</v>
      </c>
      <c r="AG24" s="40">
        <v>19.78</v>
      </c>
      <c r="AH24" s="46">
        <f t="shared" si="26"/>
        <v>118.94167167769095</v>
      </c>
      <c r="AI24" s="40">
        <v>19.989999999999998</v>
      </c>
      <c r="AJ24" s="47">
        <f t="shared" si="27"/>
        <v>120.20444978953697</v>
      </c>
    </row>
    <row r="25" spans="2:36" s="95" customFormat="1" ht="12.75" customHeight="1" x14ac:dyDescent="0.3">
      <c r="B25" s="5"/>
      <c r="C25" s="96"/>
      <c r="D25" s="97" t="s">
        <v>13</v>
      </c>
      <c r="E25" s="98"/>
      <c r="F25" s="98"/>
    </row>
    <row r="26" spans="2:36" s="95" customFormat="1" ht="12.75" customHeight="1" x14ac:dyDescent="0.3">
      <c r="B26" s="5"/>
      <c r="C26" s="96"/>
      <c r="D26" s="26" t="s">
        <v>107</v>
      </c>
      <c r="E26" s="98"/>
      <c r="F26" s="98"/>
    </row>
    <row r="27" spans="2:36" s="95" customFormat="1" ht="12.75" customHeight="1" x14ac:dyDescent="0.25">
      <c r="B27" s="5"/>
      <c r="C27" s="96"/>
      <c r="D27" s="98"/>
      <c r="E27" s="98"/>
      <c r="F27" s="98"/>
    </row>
    <row r="28" spans="2:36" ht="12.75" customHeight="1" x14ac:dyDescent="0.3"/>
    <row r="29" spans="2:36" ht="12.75" customHeight="1" x14ac:dyDescent="0.3"/>
    <row r="30" spans="2:36" ht="12.75" customHeight="1" x14ac:dyDescent="0.3"/>
  </sheetData>
  <mergeCells count="20">
    <mergeCell ref="I4:J4"/>
    <mergeCell ref="K4:L4"/>
    <mergeCell ref="M4:N4"/>
    <mergeCell ref="O4:P4"/>
    <mergeCell ref="AG4:AH4"/>
    <mergeCell ref="AI4:AJ4"/>
    <mergeCell ref="AE4:AF4"/>
    <mergeCell ref="B20:B24"/>
    <mergeCell ref="W4:X4"/>
    <mergeCell ref="Y4:Z4"/>
    <mergeCell ref="AA4:AB4"/>
    <mergeCell ref="AC4:AD4"/>
    <mergeCell ref="Q4:R4"/>
    <mergeCell ref="S4:T4"/>
    <mergeCell ref="U4:V4"/>
    <mergeCell ref="B6:B9"/>
    <mergeCell ref="B10:B14"/>
    <mergeCell ref="B15:B19"/>
    <mergeCell ref="E4:F4"/>
    <mergeCell ref="G4:H4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B3A4-8BC2-4E73-B81E-B890D195C04E}">
  <dimension ref="B2:AU92"/>
  <sheetViews>
    <sheetView zoomScale="90" zoomScaleNormal="90" workbookViewId="0">
      <selection activeCell="E47" sqref="E47"/>
    </sheetView>
  </sheetViews>
  <sheetFormatPr defaultColWidth="9" defaultRowHeight="14" x14ac:dyDescent="0.3"/>
  <cols>
    <col min="1" max="2" width="9" style="25"/>
    <col min="3" max="3" width="12.83203125" style="25" bestFit="1" customWidth="1"/>
    <col min="4" max="5" width="18.33203125" style="25" bestFit="1" customWidth="1"/>
    <col min="6" max="6" width="23.75" style="25" bestFit="1" customWidth="1"/>
    <col min="7" max="7" width="5.25" style="25" customWidth="1"/>
    <col min="8" max="8" width="29" style="25" bestFit="1" customWidth="1"/>
    <col min="9" max="9" width="15.08203125" style="25" customWidth="1"/>
    <col min="10" max="10" width="9" style="25"/>
    <col min="11" max="11" width="18.5" style="37" customWidth="1"/>
    <col min="12" max="12" width="6.33203125" style="35" customWidth="1"/>
    <col min="13" max="14" width="6.5" style="36" customWidth="1"/>
    <col min="15" max="15" width="7.58203125" style="36" customWidth="1"/>
    <col min="16" max="16" width="6" style="25" bestFit="1" customWidth="1"/>
    <col min="17" max="17" width="6.75" style="25" customWidth="1"/>
    <col min="18" max="18" width="6" style="25" bestFit="1" customWidth="1"/>
    <col min="19" max="19" width="6.75" style="25" customWidth="1"/>
    <col min="20" max="20" width="6" style="25" bestFit="1" customWidth="1"/>
    <col min="21" max="21" width="6.75" style="25" customWidth="1"/>
    <col min="22" max="22" width="6" style="25" bestFit="1" customWidth="1"/>
    <col min="23" max="23" width="6.75" style="25" customWidth="1"/>
    <col min="24" max="24" width="6" style="25" bestFit="1" customWidth="1"/>
    <col min="25" max="25" width="6.75" style="25" customWidth="1"/>
    <col min="26" max="26" width="6" style="25" bestFit="1" customWidth="1"/>
    <col min="27" max="27" width="6.75" style="25" customWidth="1"/>
    <col min="28" max="28" width="5.75" style="25" customWidth="1"/>
    <col min="29" max="29" width="6.75" style="25" bestFit="1" customWidth="1"/>
    <col min="30" max="30" width="6" style="25" bestFit="1" customWidth="1"/>
    <col min="31" max="31" width="6.75" style="25" bestFit="1" customWidth="1"/>
    <col min="32" max="32" width="6" style="25" bestFit="1" customWidth="1"/>
    <col min="33" max="33" width="6.75" style="25" bestFit="1" customWidth="1"/>
    <col min="34" max="34" width="6" style="25" bestFit="1" customWidth="1"/>
    <col min="35" max="35" width="6.75" style="25" bestFit="1" customWidth="1"/>
    <col min="36" max="36" width="7.5" style="25" customWidth="1"/>
    <col min="37" max="37" width="6.75" style="25" bestFit="1" customWidth="1"/>
    <col min="38" max="38" width="6" style="25" bestFit="1" customWidth="1"/>
    <col min="39" max="39" width="6.75" style="25" bestFit="1" customWidth="1"/>
    <col min="40" max="40" width="6" style="25" bestFit="1" customWidth="1"/>
    <col min="41" max="41" width="6.75" style="25" bestFit="1" customWidth="1"/>
    <col min="42" max="42" width="6" style="25" bestFit="1" customWidth="1"/>
    <col min="43" max="43" width="6.75" style="25" bestFit="1" customWidth="1"/>
    <col min="44" max="44" width="6" style="25" bestFit="1" customWidth="1"/>
    <col min="45" max="45" width="6.75" style="25" bestFit="1" customWidth="1"/>
    <col min="46" max="16384" width="9" style="25"/>
  </cols>
  <sheetData>
    <row r="2" spans="2:47" x14ac:dyDescent="0.3">
      <c r="K2" s="25"/>
      <c r="M2" s="14"/>
      <c r="N2" s="14"/>
      <c r="O2" s="25"/>
    </row>
    <row r="3" spans="2:47" s="95" customFormat="1" ht="13" x14ac:dyDescent="0.3">
      <c r="B3" s="100" t="s">
        <v>138</v>
      </c>
      <c r="K3" s="99" t="s">
        <v>148</v>
      </c>
      <c r="L3" s="100"/>
      <c r="M3" s="101"/>
      <c r="N3" s="101"/>
    </row>
    <row r="4" spans="2:47" s="95" customFormat="1" ht="12.75" customHeight="1" x14ac:dyDescent="0.25">
      <c r="K4" s="27"/>
      <c r="L4" s="263" t="s">
        <v>72</v>
      </c>
      <c r="M4" s="263" t="s">
        <v>172</v>
      </c>
      <c r="N4" s="358" t="s">
        <v>173</v>
      </c>
      <c r="O4" s="359"/>
      <c r="P4" s="358" t="s">
        <v>102</v>
      </c>
      <c r="Q4" s="359"/>
      <c r="R4" s="358" t="s">
        <v>174</v>
      </c>
      <c r="S4" s="359"/>
      <c r="T4" s="358" t="s">
        <v>103</v>
      </c>
      <c r="U4" s="359"/>
      <c r="V4" s="358" t="s">
        <v>175</v>
      </c>
      <c r="W4" s="359"/>
      <c r="X4" s="358" t="s">
        <v>74</v>
      </c>
      <c r="Y4" s="359"/>
      <c r="Z4" s="358" t="s">
        <v>176</v>
      </c>
      <c r="AA4" s="359"/>
      <c r="AB4" s="358" t="s">
        <v>75</v>
      </c>
      <c r="AC4" s="359"/>
      <c r="AD4" s="358" t="s">
        <v>264</v>
      </c>
      <c r="AE4" s="359"/>
      <c r="AF4" s="358" t="s">
        <v>278</v>
      </c>
      <c r="AG4" s="359"/>
      <c r="AH4" s="358" t="s">
        <v>333</v>
      </c>
      <c r="AI4" s="359"/>
      <c r="AJ4" s="358" t="s">
        <v>511</v>
      </c>
      <c r="AK4" s="359"/>
      <c r="AL4" s="358" t="s">
        <v>512</v>
      </c>
      <c r="AM4" s="359"/>
      <c r="AN4" s="358" t="s">
        <v>513</v>
      </c>
      <c r="AO4" s="359"/>
      <c r="AP4" s="358" t="s">
        <v>514</v>
      </c>
      <c r="AQ4" s="359"/>
      <c r="AR4" s="358" t="s">
        <v>515</v>
      </c>
      <c r="AS4" s="359"/>
    </row>
    <row r="5" spans="2:47" s="95" customFormat="1" ht="12.75" customHeight="1" x14ac:dyDescent="0.3">
      <c r="B5" s="4" t="s">
        <v>132</v>
      </c>
      <c r="C5" s="4" t="s">
        <v>567</v>
      </c>
      <c r="D5" s="4" t="s">
        <v>586</v>
      </c>
      <c r="E5" s="4" t="s">
        <v>587</v>
      </c>
      <c r="F5" s="4" t="s">
        <v>588</v>
      </c>
      <c r="G5" s="5"/>
      <c r="H5" s="103" t="s">
        <v>71</v>
      </c>
      <c r="K5" s="27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</row>
    <row r="6" spans="2:47" s="95" customFormat="1" ht="12.75" customHeight="1" x14ac:dyDescent="0.3">
      <c r="B6" s="3">
        <v>2</v>
      </c>
      <c r="C6" s="3">
        <v>1</v>
      </c>
      <c r="D6" s="3"/>
      <c r="E6" s="3"/>
      <c r="F6" s="3"/>
      <c r="G6" s="1"/>
      <c r="K6" s="354" t="s">
        <v>516</v>
      </c>
      <c r="L6" s="44" t="s">
        <v>517</v>
      </c>
      <c r="M6" s="65">
        <v>18.11</v>
      </c>
      <c r="N6" s="48">
        <v>16.72</v>
      </c>
      <c r="O6" s="46">
        <f t="shared" ref="O6:O9" si="0">N6/M6*100</f>
        <v>92.324682495858639</v>
      </c>
      <c r="P6" s="48">
        <v>15.51</v>
      </c>
      <c r="Q6" s="46">
        <f>P6/M6*100</f>
        <v>85.643290999447814</v>
      </c>
      <c r="R6" s="49" t="s">
        <v>224</v>
      </c>
      <c r="S6" s="54"/>
      <c r="T6" s="49"/>
      <c r="U6" s="54"/>
      <c r="V6" s="49"/>
      <c r="W6" s="53"/>
      <c r="X6" s="48"/>
      <c r="Y6" s="53"/>
      <c r="Z6" s="48"/>
      <c r="AA6" s="53"/>
      <c r="AB6" s="48"/>
      <c r="AC6" s="53"/>
      <c r="AD6" s="48"/>
      <c r="AE6" s="53"/>
      <c r="AF6" s="48"/>
      <c r="AG6" s="53"/>
      <c r="AH6" s="48"/>
      <c r="AI6" s="53"/>
      <c r="AJ6" s="48"/>
      <c r="AK6" s="53"/>
      <c r="AL6" s="48"/>
      <c r="AM6" s="53"/>
      <c r="AN6" s="48"/>
      <c r="AO6" s="53"/>
      <c r="AP6" s="48"/>
      <c r="AQ6" s="53"/>
      <c r="AR6" s="48"/>
      <c r="AS6" s="54"/>
    </row>
    <row r="7" spans="2:47" s="95" customFormat="1" ht="12.75" customHeight="1" x14ac:dyDescent="0.3">
      <c r="B7" s="3">
        <v>2</v>
      </c>
      <c r="C7" s="3">
        <v>1</v>
      </c>
      <c r="D7" s="3">
        <v>1</v>
      </c>
      <c r="E7" s="3"/>
      <c r="F7" s="3"/>
      <c r="G7" s="1"/>
      <c r="H7" s="2" t="s">
        <v>140</v>
      </c>
      <c r="I7" s="3"/>
      <c r="K7" s="354"/>
      <c r="L7" s="44" t="s">
        <v>518</v>
      </c>
      <c r="M7" s="65">
        <v>17.91</v>
      </c>
      <c r="N7" s="48">
        <v>16.829999999999998</v>
      </c>
      <c r="O7" s="46">
        <f t="shared" si="0"/>
        <v>93.969849246231135</v>
      </c>
      <c r="P7" s="48">
        <v>15.3</v>
      </c>
      <c r="Q7" s="46">
        <f t="shared" ref="Q7:Q24" si="1">P7/M7*100</f>
        <v>85.427135678391963</v>
      </c>
      <c r="R7" s="48">
        <v>14.26</v>
      </c>
      <c r="S7" s="52">
        <f>R7/M7*100</f>
        <v>79.620323841429368</v>
      </c>
      <c r="T7" s="48">
        <v>15.33</v>
      </c>
      <c r="U7" s="46">
        <f t="shared" ref="U7:U11" si="2">T7/M7*100</f>
        <v>85.594639865996641</v>
      </c>
      <c r="V7" s="48">
        <v>13.49</v>
      </c>
      <c r="W7" s="52">
        <f>V7/M7*100</f>
        <v>75.321049692908986</v>
      </c>
      <c r="X7" s="48">
        <v>13.03</v>
      </c>
      <c r="Y7" s="52">
        <f t="shared" ref="Y7:Y9" si="3">X7/M7*100</f>
        <v>72.752652149637072</v>
      </c>
      <c r="Z7" s="48">
        <v>15.44</v>
      </c>
      <c r="AA7" s="46">
        <f>Z7/M7*100</f>
        <v>86.208821887213844</v>
      </c>
      <c r="AB7" s="48">
        <v>14.3</v>
      </c>
      <c r="AC7" s="52">
        <f>AB7/M7*100</f>
        <v>79.843662758235624</v>
      </c>
      <c r="AD7" s="48">
        <v>14.11</v>
      </c>
      <c r="AE7" s="52">
        <f>AD7/M7*100</f>
        <v>78.782802903405909</v>
      </c>
      <c r="AF7" s="48">
        <v>14.64</v>
      </c>
      <c r="AG7" s="46">
        <f>AF7/M7*100</f>
        <v>81.742043551088784</v>
      </c>
      <c r="AH7" s="48">
        <v>15.11</v>
      </c>
      <c r="AI7" s="46">
        <f>AH7/M7*100</f>
        <v>84.366275823562248</v>
      </c>
      <c r="AJ7" s="48">
        <v>15.78</v>
      </c>
      <c r="AK7" s="46">
        <f>AJ7/M7*100</f>
        <v>88.107202680067005</v>
      </c>
      <c r="AL7" s="48">
        <v>16.38</v>
      </c>
      <c r="AM7" s="46">
        <f>AL7/M7*100</f>
        <v>91.457286432160799</v>
      </c>
      <c r="AN7" s="48">
        <v>16.559999999999999</v>
      </c>
      <c r="AO7" s="46">
        <f>AN7/M7*100</f>
        <v>92.462311557788937</v>
      </c>
      <c r="AP7" s="48">
        <v>15.52</v>
      </c>
      <c r="AQ7" s="46">
        <f>AP7/M7*100</f>
        <v>86.655499720826342</v>
      </c>
      <c r="AR7" s="48">
        <v>15.42</v>
      </c>
      <c r="AS7" s="47">
        <f>AR7/M7*100</f>
        <v>86.097152428810716</v>
      </c>
      <c r="AT7" s="49" t="s">
        <v>565</v>
      </c>
      <c r="AU7" s="53"/>
    </row>
    <row r="8" spans="2:47" s="95" customFormat="1" ht="12.75" customHeight="1" x14ac:dyDescent="0.3">
      <c r="B8" s="3">
        <v>3</v>
      </c>
      <c r="C8" s="3">
        <v>1</v>
      </c>
      <c r="D8" s="3">
        <v>1</v>
      </c>
      <c r="E8" s="3"/>
      <c r="F8" s="3"/>
      <c r="G8" s="1"/>
      <c r="H8" s="2"/>
      <c r="I8" s="3"/>
      <c r="K8" s="354"/>
      <c r="L8" s="44" t="s">
        <v>519</v>
      </c>
      <c r="M8" s="65">
        <v>19.95</v>
      </c>
      <c r="N8" s="40">
        <v>18.13</v>
      </c>
      <c r="O8" s="46">
        <f t="shared" si="0"/>
        <v>90.877192982456137</v>
      </c>
      <c r="P8" s="48">
        <v>15.96</v>
      </c>
      <c r="Q8" s="46">
        <f t="shared" si="1"/>
        <v>80</v>
      </c>
      <c r="R8" s="48">
        <v>14.64</v>
      </c>
      <c r="S8" s="52">
        <f t="shared" ref="S8:S11" si="4">R8/M8*100</f>
        <v>73.383458646616546</v>
      </c>
      <c r="T8" s="48">
        <v>16.38</v>
      </c>
      <c r="U8" s="46">
        <f t="shared" si="2"/>
        <v>82.10526315789474</v>
      </c>
      <c r="V8" s="48">
        <v>14.47</v>
      </c>
      <c r="W8" s="52">
        <f t="shared" ref="W8:W11" si="5">V8/M8*100</f>
        <v>72.531328320802018</v>
      </c>
      <c r="X8" s="48">
        <v>12.51</v>
      </c>
      <c r="Y8" s="52">
        <f t="shared" si="3"/>
        <v>62.70676691729323</v>
      </c>
      <c r="Z8" s="49" t="s">
        <v>94</v>
      </c>
      <c r="AA8" s="53"/>
      <c r="AB8" s="48"/>
      <c r="AC8" s="53"/>
      <c r="AD8" s="48"/>
      <c r="AE8" s="53"/>
      <c r="AF8" s="48"/>
      <c r="AG8" s="53"/>
      <c r="AH8" s="48"/>
      <c r="AI8" s="53"/>
      <c r="AJ8" s="48"/>
      <c r="AK8" s="53"/>
      <c r="AL8" s="48"/>
      <c r="AM8" s="53"/>
      <c r="AN8" s="48"/>
      <c r="AO8" s="53"/>
      <c r="AP8" s="48"/>
      <c r="AQ8" s="53"/>
      <c r="AR8" s="48"/>
      <c r="AS8" s="54"/>
    </row>
    <row r="9" spans="2:47" s="95" customFormat="1" ht="12.75" customHeight="1" x14ac:dyDescent="0.3">
      <c r="B9" s="3">
        <v>3</v>
      </c>
      <c r="C9" s="3">
        <v>1</v>
      </c>
      <c r="D9" s="3">
        <v>1</v>
      </c>
      <c r="E9" s="3"/>
      <c r="F9" s="3"/>
      <c r="G9" s="1"/>
      <c r="H9" s="2" t="s">
        <v>141</v>
      </c>
      <c r="I9" s="3"/>
      <c r="K9" s="354"/>
      <c r="L9" s="44" t="s">
        <v>520</v>
      </c>
      <c r="M9" s="65">
        <v>18.600000000000001</v>
      </c>
      <c r="N9" s="40">
        <v>17.600000000000001</v>
      </c>
      <c r="O9" s="46">
        <f t="shared" si="0"/>
        <v>94.623655913978496</v>
      </c>
      <c r="P9" s="48">
        <v>15.83</v>
      </c>
      <c r="Q9" s="46">
        <f t="shared" si="1"/>
        <v>85.107526881720418</v>
      </c>
      <c r="R9" s="48">
        <v>14.67</v>
      </c>
      <c r="S9" s="52">
        <f t="shared" si="4"/>
        <v>78.870967741935488</v>
      </c>
      <c r="T9" s="48">
        <v>15.24</v>
      </c>
      <c r="U9" s="46">
        <f t="shared" si="2"/>
        <v>81.935483870967744</v>
      </c>
      <c r="V9" s="48">
        <v>13.34</v>
      </c>
      <c r="W9" s="52">
        <f t="shared" si="5"/>
        <v>71.72043010752688</v>
      </c>
      <c r="X9" s="48">
        <v>12.6</v>
      </c>
      <c r="Y9" s="52">
        <f t="shared" si="3"/>
        <v>67.741935483870961</v>
      </c>
      <c r="Z9" s="48">
        <v>11.88</v>
      </c>
      <c r="AA9" s="52">
        <f t="shared" ref="AA9:AA11" si="6">Z9/M9*100</f>
        <v>63.87096774193548</v>
      </c>
      <c r="AB9" s="49" t="s">
        <v>521</v>
      </c>
      <c r="AC9" s="53"/>
      <c r="AD9" s="48"/>
      <c r="AE9" s="53"/>
      <c r="AF9" s="48"/>
      <c r="AG9" s="53"/>
      <c r="AH9" s="48"/>
      <c r="AI9" s="53"/>
      <c r="AJ9" s="48"/>
      <c r="AK9" s="53"/>
      <c r="AL9" s="48"/>
      <c r="AM9" s="53"/>
      <c r="AN9" s="48"/>
      <c r="AO9" s="53"/>
      <c r="AP9" s="48"/>
      <c r="AQ9" s="53"/>
      <c r="AR9" s="48"/>
      <c r="AS9" s="54"/>
    </row>
    <row r="10" spans="2:47" s="95" customFormat="1" ht="12.75" customHeight="1" x14ac:dyDescent="0.25">
      <c r="B10" s="3">
        <v>3</v>
      </c>
      <c r="C10" s="3"/>
      <c r="D10" s="3">
        <v>1</v>
      </c>
      <c r="E10" s="3"/>
      <c r="F10" s="3"/>
      <c r="G10" s="1"/>
      <c r="H10" s="2" t="s">
        <v>142</v>
      </c>
      <c r="I10" s="3">
        <v>26.62</v>
      </c>
      <c r="K10" s="354" t="s">
        <v>537</v>
      </c>
      <c r="L10" s="44" t="s">
        <v>522</v>
      </c>
      <c r="M10" s="65">
        <v>19.350000000000001</v>
      </c>
      <c r="N10" s="40">
        <v>18.23</v>
      </c>
      <c r="O10" s="46">
        <f>N10/M10*100</f>
        <v>94.211886304909555</v>
      </c>
      <c r="P10" s="48">
        <v>16.059999999999999</v>
      </c>
      <c r="Q10" s="46">
        <f t="shared" si="1"/>
        <v>82.997416020671821</v>
      </c>
      <c r="R10" s="48">
        <v>14.97</v>
      </c>
      <c r="S10" s="52">
        <f t="shared" si="4"/>
        <v>77.36434108527132</v>
      </c>
      <c r="T10" s="48">
        <v>16.27</v>
      </c>
      <c r="U10" s="46">
        <f t="shared" si="2"/>
        <v>84.082687338501287</v>
      </c>
      <c r="V10" s="48">
        <v>16.420000000000002</v>
      </c>
      <c r="W10" s="46">
        <f t="shared" si="5"/>
        <v>84.857881136950908</v>
      </c>
      <c r="X10" s="48">
        <v>14.51</v>
      </c>
      <c r="Y10" s="52">
        <f>X10/M10*100</f>
        <v>74.987080103359176</v>
      </c>
      <c r="Z10" s="48">
        <v>14.92</v>
      </c>
      <c r="AA10" s="52">
        <f t="shared" si="6"/>
        <v>77.10594315245477</v>
      </c>
      <c r="AB10" s="48">
        <v>14.21</v>
      </c>
      <c r="AC10" s="52">
        <f t="shared" ref="AC10:AC11" si="7">AB10/M10*100</f>
        <v>73.436692506459949</v>
      </c>
      <c r="AD10" s="48">
        <v>14.35</v>
      </c>
      <c r="AE10" s="52">
        <f>AD10/M10*100</f>
        <v>74.160206718346245</v>
      </c>
      <c r="AF10" s="48">
        <v>14.41</v>
      </c>
      <c r="AG10" s="52">
        <f>AF10/M10*100</f>
        <v>74.470284237726091</v>
      </c>
      <c r="AH10" s="48">
        <v>14.62</v>
      </c>
      <c r="AI10" s="52">
        <f>AH10/M10*100</f>
        <v>75.555555555555543</v>
      </c>
      <c r="AJ10" s="48">
        <v>14.74</v>
      </c>
      <c r="AK10" s="52">
        <f>AJ10/M10*100</f>
        <v>76.175710594315234</v>
      </c>
      <c r="AL10" s="48">
        <v>15.22</v>
      </c>
      <c r="AM10" s="52">
        <f>AL10/M10*100</f>
        <v>78.656330749353998</v>
      </c>
      <c r="AN10" s="48">
        <v>15.15</v>
      </c>
      <c r="AO10" s="52">
        <f>AN10/M10*100</f>
        <v>78.294573643410843</v>
      </c>
      <c r="AP10" s="48">
        <v>15.37</v>
      </c>
      <c r="AQ10" s="52">
        <f>AP10/M10*100</f>
        <v>79.431524547803605</v>
      </c>
      <c r="AR10" s="48">
        <v>15.26</v>
      </c>
      <c r="AS10" s="50">
        <f>AR10/M10*100</f>
        <v>78.863049095607224</v>
      </c>
    </row>
    <row r="11" spans="2:47" s="95" customFormat="1" ht="12.75" customHeight="1" x14ac:dyDescent="0.3">
      <c r="B11" s="3">
        <v>5</v>
      </c>
      <c r="C11" s="3">
        <v>1</v>
      </c>
      <c r="D11" s="3">
        <v>1</v>
      </c>
      <c r="E11" s="3"/>
      <c r="F11" s="3"/>
      <c r="G11" s="1"/>
      <c r="H11" s="2" t="s">
        <v>143</v>
      </c>
      <c r="I11" s="3">
        <v>3</v>
      </c>
      <c r="K11" s="354"/>
      <c r="L11" s="44" t="s">
        <v>523</v>
      </c>
      <c r="M11" s="65">
        <v>18.72</v>
      </c>
      <c r="N11" s="40">
        <v>17.59</v>
      </c>
      <c r="O11" s="46">
        <f>N11/M11*100</f>
        <v>93.963675213675231</v>
      </c>
      <c r="P11" s="48">
        <v>16.27</v>
      </c>
      <c r="Q11" s="46">
        <f t="shared" si="1"/>
        <v>86.912393162393158</v>
      </c>
      <c r="R11" s="48">
        <v>15.26</v>
      </c>
      <c r="S11" s="46">
        <f t="shared" si="4"/>
        <v>81.51709401709401</v>
      </c>
      <c r="T11" s="48">
        <v>14.95</v>
      </c>
      <c r="U11" s="52">
        <f t="shared" si="2"/>
        <v>79.861111111111114</v>
      </c>
      <c r="V11" s="48">
        <v>15.99</v>
      </c>
      <c r="W11" s="46">
        <f t="shared" si="5"/>
        <v>85.416666666666671</v>
      </c>
      <c r="X11" s="48">
        <v>13.64</v>
      </c>
      <c r="Y11" s="52">
        <f>X11/M11*100</f>
        <v>72.863247863247864</v>
      </c>
      <c r="Z11" s="48">
        <v>13.24</v>
      </c>
      <c r="AA11" s="52">
        <f t="shared" si="6"/>
        <v>70.726495726495727</v>
      </c>
      <c r="AB11" s="48">
        <v>12.15</v>
      </c>
      <c r="AC11" s="52">
        <f t="shared" si="7"/>
        <v>64.90384615384616</v>
      </c>
      <c r="AD11" s="49" t="s">
        <v>487</v>
      </c>
      <c r="AE11" s="53"/>
      <c r="AF11" s="48"/>
      <c r="AG11" s="53"/>
      <c r="AH11" s="48"/>
      <c r="AI11" s="53"/>
      <c r="AJ11" s="48"/>
      <c r="AK11" s="53"/>
      <c r="AL11" s="48"/>
      <c r="AM11" s="53"/>
      <c r="AN11" s="48"/>
      <c r="AO11" s="53"/>
      <c r="AP11" s="48"/>
      <c r="AQ11" s="53"/>
      <c r="AR11" s="48"/>
      <c r="AS11" s="54"/>
    </row>
    <row r="12" spans="2:47" s="95" customFormat="1" ht="12.75" customHeight="1" x14ac:dyDescent="0.3">
      <c r="B12" s="3">
        <v>12</v>
      </c>
      <c r="C12" s="3"/>
      <c r="D12" s="3">
        <v>1</v>
      </c>
      <c r="E12" s="3"/>
      <c r="F12" s="3"/>
      <c r="G12" s="1"/>
      <c r="H12" s="2" t="s">
        <v>47</v>
      </c>
      <c r="I12" s="3" t="s">
        <v>48</v>
      </c>
      <c r="K12" s="354"/>
      <c r="L12" s="44" t="s">
        <v>524</v>
      </c>
      <c r="M12" s="65">
        <v>18.77</v>
      </c>
      <c r="N12" s="40">
        <v>17.89</v>
      </c>
      <c r="O12" s="46">
        <f>N12/M12*100</f>
        <v>95.31166755460842</v>
      </c>
      <c r="P12" s="48">
        <v>16.52</v>
      </c>
      <c r="Q12" s="46">
        <f t="shared" si="1"/>
        <v>88.012786361214694</v>
      </c>
      <c r="R12" s="49" t="s">
        <v>228</v>
      </c>
      <c r="S12" s="54"/>
      <c r="T12" s="49"/>
      <c r="U12" s="54"/>
      <c r="V12" s="49"/>
      <c r="W12" s="53"/>
      <c r="X12" s="48"/>
      <c r="Y12" s="53"/>
      <c r="Z12" s="48"/>
      <c r="AA12" s="53"/>
      <c r="AB12" s="48"/>
      <c r="AC12" s="53"/>
      <c r="AD12" s="48"/>
      <c r="AE12" s="53"/>
      <c r="AF12" s="48"/>
      <c r="AG12" s="53"/>
      <c r="AH12" s="48"/>
      <c r="AI12" s="53"/>
      <c r="AJ12" s="48"/>
      <c r="AK12" s="53"/>
      <c r="AL12" s="48"/>
      <c r="AM12" s="53"/>
      <c r="AN12" s="48"/>
      <c r="AO12" s="53"/>
      <c r="AP12" s="48"/>
      <c r="AQ12" s="53"/>
      <c r="AR12" s="48"/>
      <c r="AS12" s="54"/>
    </row>
    <row r="13" spans="2:47" s="95" customFormat="1" ht="12.75" customHeight="1" x14ac:dyDescent="0.3">
      <c r="B13" s="3">
        <v>14</v>
      </c>
      <c r="C13" s="3">
        <v>1</v>
      </c>
      <c r="D13" s="3"/>
      <c r="E13" s="3"/>
      <c r="F13" s="3"/>
      <c r="G13" s="1"/>
      <c r="H13" s="2" t="s">
        <v>49</v>
      </c>
      <c r="I13" s="3" t="s">
        <v>50</v>
      </c>
      <c r="K13" s="354"/>
      <c r="L13" s="44" t="s">
        <v>525</v>
      </c>
      <c r="M13" s="65">
        <v>18.27</v>
      </c>
      <c r="N13" s="40">
        <v>17.11</v>
      </c>
      <c r="O13" s="46">
        <f>N13/M13*100</f>
        <v>93.650793650793645</v>
      </c>
      <c r="P13" s="48">
        <v>15.62</v>
      </c>
      <c r="Q13" s="46">
        <f t="shared" si="1"/>
        <v>85.495347564313079</v>
      </c>
      <c r="R13" s="48">
        <v>14.42</v>
      </c>
      <c r="S13" s="50">
        <f t="shared" ref="S13:S24" si="8">R13/M13*100</f>
        <v>78.927203065134094</v>
      </c>
      <c r="T13" s="48">
        <v>12.38</v>
      </c>
      <c r="U13" s="50">
        <f t="shared" ref="U13:U23" si="9">T13/M13*100</f>
        <v>67.761357416529833</v>
      </c>
      <c r="V13" s="48">
        <v>11.11</v>
      </c>
      <c r="W13" s="52">
        <f t="shared" ref="W13:W24" si="10">V13/M13*100</f>
        <v>60.810071154898736</v>
      </c>
      <c r="X13" s="48">
        <v>11.5</v>
      </c>
      <c r="Y13" s="52">
        <f t="shared" ref="Y13:Y24" si="11">X13/M13*100</f>
        <v>62.944718117131913</v>
      </c>
      <c r="Z13" s="48">
        <v>10.97</v>
      </c>
      <c r="AA13" s="52">
        <f t="shared" ref="AA13:AA23" si="12">Z13/M13*100</f>
        <v>60.043787629994526</v>
      </c>
      <c r="AB13" s="48">
        <v>10.84</v>
      </c>
      <c r="AC13" s="52">
        <f>AB13/M13*100</f>
        <v>59.332238642583469</v>
      </c>
      <c r="AD13" s="48">
        <v>11.25</v>
      </c>
      <c r="AE13" s="52">
        <f>AD13/M13*100</f>
        <v>61.576354679802961</v>
      </c>
      <c r="AF13" s="48">
        <v>11.44</v>
      </c>
      <c r="AG13" s="52">
        <f>AF13/M13*100</f>
        <v>62.616310892172955</v>
      </c>
      <c r="AH13" s="48">
        <v>11.1</v>
      </c>
      <c r="AI13" s="52">
        <f>AH13/M13*100</f>
        <v>60.75533661740559</v>
      </c>
      <c r="AJ13" s="48">
        <v>11.03</v>
      </c>
      <c r="AK13" s="52">
        <f>AJ13/M13*100</f>
        <v>60.372194854953477</v>
      </c>
      <c r="AL13" s="48">
        <v>10.78</v>
      </c>
      <c r="AM13" s="52">
        <f>AL13/M13*100</f>
        <v>59.003831417624518</v>
      </c>
      <c r="AN13" s="48">
        <v>10.95</v>
      </c>
      <c r="AO13" s="52">
        <f>AN13/M13*100</f>
        <v>59.934318555008204</v>
      </c>
      <c r="AP13" s="48">
        <v>10.57</v>
      </c>
      <c r="AQ13" s="52">
        <f>AP13/M13*100</f>
        <v>57.854406130268202</v>
      </c>
      <c r="AR13" s="48">
        <v>10.5</v>
      </c>
      <c r="AS13" s="50">
        <f>AR13/M13*100</f>
        <v>57.47126436781609</v>
      </c>
      <c r="AT13" s="49" t="s">
        <v>566</v>
      </c>
      <c r="AU13" s="53"/>
    </row>
    <row r="14" spans="2:47" s="95" customFormat="1" ht="12.75" customHeight="1" x14ac:dyDescent="0.3">
      <c r="B14" s="3">
        <v>17</v>
      </c>
      <c r="C14" s="3">
        <v>1</v>
      </c>
      <c r="D14" s="3">
        <v>1</v>
      </c>
      <c r="E14" s="3"/>
      <c r="F14" s="3"/>
      <c r="G14" s="1"/>
      <c r="H14" s="2" t="s">
        <v>144</v>
      </c>
      <c r="I14" s="3" t="s">
        <v>52</v>
      </c>
      <c r="K14" s="354"/>
      <c r="L14" s="44" t="s">
        <v>526</v>
      </c>
      <c r="M14" s="65">
        <v>18.88</v>
      </c>
      <c r="N14" s="40">
        <v>17.66</v>
      </c>
      <c r="O14" s="46">
        <f>N14/M14*100</f>
        <v>93.538135593220346</v>
      </c>
      <c r="P14" s="48">
        <v>15.96</v>
      </c>
      <c r="Q14" s="46">
        <f t="shared" si="1"/>
        <v>84.533898305084747</v>
      </c>
      <c r="R14" s="48">
        <v>14.69</v>
      </c>
      <c r="S14" s="50">
        <f t="shared" si="8"/>
        <v>77.807203389830519</v>
      </c>
      <c r="T14" s="48">
        <v>16.850000000000001</v>
      </c>
      <c r="U14" s="47">
        <f t="shared" si="9"/>
        <v>89.247881355932208</v>
      </c>
      <c r="V14" s="48">
        <v>16.64</v>
      </c>
      <c r="W14" s="46">
        <f t="shared" si="10"/>
        <v>88.13559322033899</v>
      </c>
      <c r="X14" s="48">
        <v>13.74</v>
      </c>
      <c r="Y14" s="52">
        <f t="shared" si="11"/>
        <v>72.775423728813564</v>
      </c>
      <c r="Z14" s="48">
        <v>12.14</v>
      </c>
      <c r="AA14" s="52">
        <f t="shared" si="12"/>
        <v>64.300847457627128</v>
      </c>
      <c r="AB14" s="49" t="s">
        <v>521</v>
      </c>
      <c r="AC14" s="53"/>
      <c r="AD14" s="48"/>
      <c r="AE14" s="53"/>
      <c r="AF14" s="48"/>
      <c r="AG14" s="53"/>
      <c r="AH14" s="48"/>
      <c r="AI14" s="53"/>
      <c r="AJ14" s="48"/>
      <c r="AK14" s="53"/>
      <c r="AL14" s="48"/>
      <c r="AM14" s="53"/>
      <c r="AN14" s="48"/>
      <c r="AO14" s="53"/>
      <c r="AP14" s="48"/>
      <c r="AQ14" s="53"/>
      <c r="AR14" s="48"/>
      <c r="AS14" s="54"/>
    </row>
    <row r="15" spans="2:47" s="95" customFormat="1" ht="12.75" customHeight="1" x14ac:dyDescent="0.25">
      <c r="B15" s="3">
        <v>19</v>
      </c>
      <c r="C15" s="3"/>
      <c r="D15" s="3">
        <v>1</v>
      </c>
      <c r="E15" s="3"/>
      <c r="F15" s="3"/>
      <c r="G15" s="1"/>
      <c r="H15" s="2"/>
      <c r="I15" s="3"/>
      <c r="K15" s="354" t="s">
        <v>538</v>
      </c>
      <c r="L15" s="44" t="s">
        <v>527</v>
      </c>
      <c r="M15" s="65">
        <v>19.89</v>
      </c>
      <c r="N15" s="40">
        <v>17.670000000000002</v>
      </c>
      <c r="O15" s="46">
        <f t="shared" ref="O15:O20" si="13">N15/M15*100</f>
        <v>88.838612368024144</v>
      </c>
      <c r="P15" s="48">
        <v>15.61</v>
      </c>
      <c r="Q15" s="52">
        <f t="shared" si="1"/>
        <v>78.481649069884369</v>
      </c>
      <c r="R15" s="48">
        <v>14.73</v>
      </c>
      <c r="S15" s="50">
        <f t="shared" si="8"/>
        <v>74.057315233785829</v>
      </c>
      <c r="T15" s="48">
        <v>15.95</v>
      </c>
      <c r="U15" s="47">
        <f t="shared" si="9"/>
        <v>80.191050779286073</v>
      </c>
      <c r="V15" s="48">
        <v>15.23</v>
      </c>
      <c r="W15" s="52">
        <f t="shared" si="10"/>
        <v>76.571141277023628</v>
      </c>
      <c r="X15" s="48">
        <v>16.98</v>
      </c>
      <c r="Y15" s="46">
        <f t="shared" si="11"/>
        <v>85.369532428355953</v>
      </c>
      <c r="Z15" s="40">
        <v>17.68</v>
      </c>
      <c r="AA15" s="46">
        <f t="shared" si="12"/>
        <v>88.888888888888886</v>
      </c>
      <c r="AB15" s="48">
        <v>16.82</v>
      </c>
      <c r="AC15" s="46">
        <f t="shared" ref="AC15:AC24" si="14">AB15/M15*100</f>
        <v>84.565108094519857</v>
      </c>
      <c r="AD15" s="48">
        <v>16.48</v>
      </c>
      <c r="AE15" s="46">
        <f t="shared" ref="AE15:AE23" si="15">AD15/M15*100</f>
        <v>82.85570638511814</v>
      </c>
      <c r="AF15" s="48">
        <v>15.54</v>
      </c>
      <c r="AG15" s="52">
        <f t="shared" ref="AG15:AG23" si="16">AF15/M15*100</f>
        <v>78.129713423831063</v>
      </c>
      <c r="AH15" s="48">
        <v>15.27</v>
      </c>
      <c r="AI15" s="52">
        <f t="shared" ref="AI15:AI23" si="17">AH15/M15*100</f>
        <v>76.772247360482652</v>
      </c>
      <c r="AJ15" s="48">
        <v>14.3</v>
      </c>
      <c r="AK15" s="52">
        <f t="shared" ref="AK15:AK17" si="18">AJ15/M15*100</f>
        <v>71.895424836601308</v>
      </c>
      <c r="AL15" s="48">
        <v>15.15</v>
      </c>
      <c r="AM15" s="52">
        <f t="shared" ref="AM15:AM17" si="19">AL15/M15*100</f>
        <v>76.16892911010558</v>
      </c>
      <c r="AN15" s="48">
        <v>15.59</v>
      </c>
      <c r="AO15" s="52">
        <f t="shared" ref="AO15:AO17" si="20">AN15/M15*100</f>
        <v>78.381096028154857</v>
      </c>
      <c r="AP15" s="40">
        <v>17.77</v>
      </c>
      <c r="AQ15" s="46">
        <f t="shared" ref="AQ15:AQ17" si="21">AP15/M15*100</f>
        <v>89.34137757667169</v>
      </c>
      <c r="AR15" s="40">
        <v>18.72</v>
      </c>
      <c r="AS15" s="47">
        <f t="shared" ref="AS15:AS17" si="22">AR15/M15*100</f>
        <v>94.117647058823522</v>
      </c>
    </row>
    <row r="16" spans="2:47" s="95" customFormat="1" ht="12.75" customHeight="1" x14ac:dyDescent="0.25">
      <c r="B16" s="3">
        <v>22</v>
      </c>
      <c r="C16" s="3"/>
      <c r="D16" s="3">
        <v>1</v>
      </c>
      <c r="E16" s="3"/>
      <c r="F16" s="3"/>
      <c r="G16" s="1"/>
      <c r="H16" s="2" t="s">
        <v>145</v>
      </c>
      <c r="I16" s="3"/>
      <c r="K16" s="354"/>
      <c r="L16" s="44" t="s">
        <v>528</v>
      </c>
      <c r="M16" s="65">
        <v>16.510000000000002</v>
      </c>
      <c r="N16" s="48">
        <v>15.51</v>
      </c>
      <c r="O16" s="46">
        <f t="shared" si="13"/>
        <v>93.943064809206533</v>
      </c>
      <c r="P16" s="48">
        <v>13.7</v>
      </c>
      <c r="Q16" s="46">
        <f t="shared" si="1"/>
        <v>82.980012113870373</v>
      </c>
      <c r="R16" s="48">
        <v>12.61</v>
      </c>
      <c r="S16" s="50">
        <f t="shared" si="8"/>
        <v>76.377952755905497</v>
      </c>
      <c r="T16" s="48">
        <v>12.99</v>
      </c>
      <c r="U16" s="50">
        <f t="shared" si="9"/>
        <v>78.679588128407019</v>
      </c>
      <c r="V16" s="48">
        <v>12</v>
      </c>
      <c r="W16" s="52">
        <f t="shared" si="10"/>
        <v>72.683222289521495</v>
      </c>
      <c r="X16" s="48">
        <v>13.02</v>
      </c>
      <c r="Y16" s="52">
        <f t="shared" si="11"/>
        <v>78.861296184130822</v>
      </c>
      <c r="Z16" s="48">
        <v>13.84</v>
      </c>
      <c r="AA16" s="46">
        <f t="shared" si="12"/>
        <v>83.827983040581458</v>
      </c>
      <c r="AB16" s="48">
        <v>14.08</v>
      </c>
      <c r="AC16" s="46">
        <f t="shared" si="14"/>
        <v>85.281647486371895</v>
      </c>
      <c r="AD16" s="48">
        <v>14.19</v>
      </c>
      <c r="AE16" s="46">
        <f t="shared" si="15"/>
        <v>85.947910357359163</v>
      </c>
      <c r="AF16" s="48">
        <v>13.82</v>
      </c>
      <c r="AG16" s="46">
        <f t="shared" si="16"/>
        <v>83.706844336765599</v>
      </c>
      <c r="AH16" s="48">
        <v>14.71</v>
      </c>
      <c r="AI16" s="46">
        <f t="shared" si="17"/>
        <v>89.09751665657177</v>
      </c>
      <c r="AJ16" s="48">
        <v>14.78</v>
      </c>
      <c r="AK16" s="46">
        <f t="shared" si="18"/>
        <v>89.521502119927305</v>
      </c>
      <c r="AL16" s="48">
        <v>15.15</v>
      </c>
      <c r="AM16" s="46">
        <f t="shared" si="19"/>
        <v>91.762568140520898</v>
      </c>
      <c r="AN16" s="48">
        <v>15.48</v>
      </c>
      <c r="AO16" s="46">
        <f t="shared" si="20"/>
        <v>93.76135675348273</v>
      </c>
      <c r="AP16" s="48">
        <v>15.81</v>
      </c>
      <c r="AQ16" s="46">
        <f t="shared" si="21"/>
        <v>95.760145366444576</v>
      </c>
      <c r="AR16" s="48">
        <v>16.420000000000002</v>
      </c>
      <c r="AS16" s="47">
        <f t="shared" si="22"/>
        <v>99.454875832828591</v>
      </c>
    </row>
    <row r="17" spans="2:45" s="95" customFormat="1" ht="12.75" customHeight="1" x14ac:dyDescent="0.25">
      <c r="B17" s="3">
        <v>33</v>
      </c>
      <c r="C17" s="3"/>
      <c r="D17" s="3"/>
      <c r="E17" s="3">
        <v>1</v>
      </c>
      <c r="F17" s="3"/>
      <c r="G17" s="1"/>
      <c r="H17" s="2" t="s">
        <v>142</v>
      </c>
      <c r="I17" s="3">
        <v>21.39</v>
      </c>
      <c r="K17" s="354"/>
      <c r="L17" s="44" t="s">
        <v>529</v>
      </c>
      <c r="M17" s="65">
        <v>16.64</v>
      </c>
      <c r="N17" s="48">
        <v>15.35</v>
      </c>
      <c r="O17" s="46">
        <f t="shared" si="13"/>
        <v>92.247596153846146</v>
      </c>
      <c r="P17" s="48">
        <v>13.35</v>
      </c>
      <c r="Q17" s="46">
        <f t="shared" si="1"/>
        <v>80.228365384615373</v>
      </c>
      <c r="R17" s="48">
        <v>12.41</v>
      </c>
      <c r="S17" s="50">
        <f t="shared" si="8"/>
        <v>74.57932692307692</v>
      </c>
      <c r="T17" s="48">
        <v>13.53</v>
      </c>
      <c r="U17" s="47">
        <f t="shared" si="9"/>
        <v>81.310096153846146</v>
      </c>
      <c r="V17" s="48">
        <v>12.96</v>
      </c>
      <c r="W17" s="52">
        <f t="shared" si="10"/>
        <v>77.884615384615387</v>
      </c>
      <c r="X17" s="48">
        <v>15.02</v>
      </c>
      <c r="Y17" s="46">
        <f t="shared" si="11"/>
        <v>90.264423076923066</v>
      </c>
      <c r="Z17" s="48">
        <v>15.05</v>
      </c>
      <c r="AA17" s="46">
        <f t="shared" si="12"/>
        <v>90.444711538461547</v>
      </c>
      <c r="AB17" s="48">
        <v>15.32</v>
      </c>
      <c r="AC17" s="46">
        <f t="shared" si="14"/>
        <v>92.067307692307693</v>
      </c>
      <c r="AD17" s="48">
        <v>15.98</v>
      </c>
      <c r="AE17" s="46">
        <f t="shared" si="15"/>
        <v>96.03365384615384</v>
      </c>
      <c r="AF17" s="40">
        <v>17.239999999999998</v>
      </c>
      <c r="AG17" s="46">
        <f t="shared" si="16"/>
        <v>103.60576923076921</v>
      </c>
      <c r="AH17" s="40">
        <v>17.89</v>
      </c>
      <c r="AI17" s="46">
        <f t="shared" si="17"/>
        <v>107.51201923076923</v>
      </c>
      <c r="AJ17" s="40">
        <v>17.559999999999999</v>
      </c>
      <c r="AK17" s="46">
        <f t="shared" si="18"/>
        <v>105.52884615384615</v>
      </c>
      <c r="AL17" s="40">
        <v>17.98</v>
      </c>
      <c r="AM17" s="46">
        <f t="shared" si="19"/>
        <v>108.0528846153846</v>
      </c>
      <c r="AN17" s="48">
        <v>16.760000000000002</v>
      </c>
      <c r="AO17" s="46">
        <f t="shared" si="20"/>
        <v>100.72115384615385</v>
      </c>
      <c r="AP17" s="40">
        <v>17.170000000000002</v>
      </c>
      <c r="AQ17" s="46">
        <f t="shared" si="21"/>
        <v>103.18509615384616</v>
      </c>
      <c r="AR17" s="40">
        <v>17.2</v>
      </c>
      <c r="AS17" s="47">
        <f t="shared" si="22"/>
        <v>103.3653846153846</v>
      </c>
    </row>
    <row r="18" spans="2:45" s="95" customFormat="1" ht="12.75" customHeight="1" x14ac:dyDescent="0.3">
      <c r="B18" s="3">
        <v>54</v>
      </c>
      <c r="C18" s="3">
        <v>1</v>
      </c>
      <c r="D18" s="3"/>
      <c r="E18" s="3"/>
      <c r="F18" s="3"/>
      <c r="G18" s="1"/>
      <c r="H18" s="2" t="s">
        <v>143</v>
      </c>
      <c r="I18" s="3">
        <v>1</v>
      </c>
      <c r="K18" s="354"/>
      <c r="L18" s="44" t="s">
        <v>530</v>
      </c>
      <c r="M18" s="65">
        <v>19.3</v>
      </c>
      <c r="N18" s="40">
        <v>17.98</v>
      </c>
      <c r="O18" s="46">
        <f t="shared" si="13"/>
        <v>93.160621761658021</v>
      </c>
      <c r="P18" s="48">
        <v>16.190000000000001</v>
      </c>
      <c r="Q18" s="46">
        <f t="shared" si="1"/>
        <v>83.886010362694307</v>
      </c>
      <c r="R18" s="48">
        <v>15.29</v>
      </c>
      <c r="S18" s="50">
        <f t="shared" si="8"/>
        <v>79.22279792746113</v>
      </c>
      <c r="T18" s="48">
        <v>15.11</v>
      </c>
      <c r="U18" s="50">
        <f t="shared" si="9"/>
        <v>78.290155440414495</v>
      </c>
      <c r="V18" s="48">
        <v>14.68</v>
      </c>
      <c r="W18" s="52">
        <f t="shared" si="10"/>
        <v>76.062176165803109</v>
      </c>
      <c r="X18" s="48">
        <v>15.87</v>
      </c>
      <c r="Y18" s="46">
        <f t="shared" si="11"/>
        <v>82.2279792746114</v>
      </c>
      <c r="Z18" s="48">
        <v>15.52</v>
      </c>
      <c r="AA18" s="46">
        <f t="shared" si="12"/>
        <v>80.414507772020713</v>
      </c>
      <c r="AB18" s="48">
        <v>14.14</v>
      </c>
      <c r="AC18" s="52">
        <f t="shared" si="14"/>
        <v>73.264248704663217</v>
      </c>
      <c r="AD18" s="48">
        <v>13.6</v>
      </c>
      <c r="AE18" s="52">
        <f t="shared" si="15"/>
        <v>70.466321243523311</v>
      </c>
      <c r="AF18" s="48">
        <v>13.86</v>
      </c>
      <c r="AG18" s="52">
        <f t="shared" si="16"/>
        <v>71.813471502590659</v>
      </c>
      <c r="AH18" s="48">
        <v>12.82</v>
      </c>
      <c r="AI18" s="52">
        <f t="shared" si="17"/>
        <v>66.424870466321238</v>
      </c>
      <c r="AJ18" s="49" t="s">
        <v>292</v>
      </c>
      <c r="AK18" s="53"/>
      <c r="AL18" s="48"/>
      <c r="AM18" s="53"/>
      <c r="AN18" s="48"/>
      <c r="AO18" s="53"/>
      <c r="AP18" s="48"/>
      <c r="AQ18" s="53"/>
      <c r="AR18" s="48"/>
      <c r="AS18" s="54"/>
    </row>
    <row r="19" spans="2:45" s="95" customFormat="1" ht="12.75" customHeight="1" x14ac:dyDescent="0.25">
      <c r="B19" s="3">
        <v>55</v>
      </c>
      <c r="C19" s="3"/>
      <c r="D19" s="3">
        <v>1</v>
      </c>
      <c r="E19" s="3"/>
      <c r="F19" s="3"/>
      <c r="G19" s="1"/>
      <c r="H19" s="2" t="s">
        <v>47</v>
      </c>
      <c r="I19" s="3" t="s">
        <v>48</v>
      </c>
      <c r="K19" s="354"/>
      <c r="L19" s="44" t="s">
        <v>531</v>
      </c>
      <c r="M19" s="65">
        <v>13.84</v>
      </c>
      <c r="N19" s="48">
        <v>14.42</v>
      </c>
      <c r="O19" s="46">
        <f t="shared" si="13"/>
        <v>104.19075144508672</v>
      </c>
      <c r="P19" s="48">
        <v>12.21</v>
      </c>
      <c r="Q19" s="46">
        <f t="shared" si="1"/>
        <v>88.222543352601164</v>
      </c>
      <c r="R19" s="48">
        <v>11.55</v>
      </c>
      <c r="S19" s="47">
        <f t="shared" si="8"/>
        <v>83.453757225433534</v>
      </c>
      <c r="T19" s="48">
        <v>13.11</v>
      </c>
      <c r="U19" s="47">
        <f t="shared" si="9"/>
        <v>94.725433526011557</v>
      </c>
      <c r="V19" s="48">
        <v>12.11</v>
      </c>
      <c r="W19" s="46">
        <f t="shared" si="10"/>
        <v>87.5</v>
      </c>
      <c r="X19" s="48">
        <v>13.49</v>
      </c>
      <c r="Y19" s="46">
        <f t="shared" si="11"/>
        <v>97.471098265895961</v>
      </c>
      <c r="Z19" s="48">
        <v>14.25</v>
      </c>
      <c r="AA19" s="46">
        <f t="shared" si="12"/>
        <v>102.96242774566473</v>
      </c>
      <c r="AB19" s="48">
        <v>14.44</v>
      </c>
      <c r="AC19" s="46">
        <f t="shared" si="14"/>
        <v>104.33526011560694</v>
      </c>
      <c r="AD19" s="48">
        <v>13.37</v>
      </c>
      <c r="AE19" s="46">
        <f t="shared" si="15"/>
        <v>96.604046242774572</v>
      </c>
      <c r="AF19" s="48">
        <v>13.71</v>
      </c>
      <c r="AG19" s="46">
        <f t="shared" si="16"/>
        <v>99.060693641618499</v>
      </c>
      <c r="AH19" s="48">
        <v>14.66</v>
      </c>
      <c r="AI19" s="46">
        <f t="shared" si="17"/>
        <v>105.92485549132948</v>
      </c>
      <c r="AJ19" s="48">
        <v>14.68</v>
      </c>
      <c r="AK19" s="46">
        <f t="shared" ref="AK19:AK24" si="23">AJ19/M19*100</f>
        <v>106.06936416184971</v>
      </c>
      <c r="AL19" s="48">
        <v>15.1</v>
      </c>
      <c r="AM19" s="46">
        <f t="shared" ref="AM19:AM24" si="24">AL19/M19*100</f>
        <v>109.10404624277457</v>
      </c>
      <c r="AN19" s="48">
        <v>15.41</v>
      </c>
      <c r="AO19" s="46">
        <f t="shared" ref="AO19:AO24" si="25">AN19/M19*100</f>
        <v>111.34393063583816</v>
      </c>
      <c r="AP19" s="48">
        <v>15.4</v>
      </c>
      <c r="AQ19" s="46">
        <f t="shared" ref="AQ19:AQ24" si="26">AP19/M19*100</f>
        <v>111.27167630057804</v>
      </c>
      <c r="AR19" s="48">
        <v>15.42</v>
      </c>
      <c r="AS19" s="47">
        <f t="shared" ref="AS19:AS24" si="27">AR19/M19*100</f>
        <v>111.41618497109826</v>
      </c>
    </row>
    <row r="20" spans="2:45" s="95" customFormat="1" ht="12.75" customHeight="1" x14ac:dyDescent="0.25">
      <c r="B20" s="3">
        <v>63</v>
      </c>
      <c r="C20" s="3">
        <v>0</v>
      </c>
      <c r="D20" s="3">
        <v>0</v>
      </c>
      <c r="E20" s="3">
        <v>0</v>
      </c>
      <c r="F20" s="3">
        <v>0</v>
      </c>
      <c r="G20" s="1"/>
      <c r="H20" s="2" t="s">
        <v>49</v>
      </c>
      <c r="I20" s="3" t="s">
        <v>50</v>
      </c>
      <c r="K20" s="354" t="s">
        <v>539</v>
      </c>
      <c r="L20" s="44" t="s">
        <v>532</v>
      </c>
      <c r="M20" s="65">
        <v>16.239999999999998</v>
      </c>
      <c r="N20" s="48">
        <v>15.73</v>
      </c>
      <c r="O20" s="46">
        <f t="shared" si="13"/>
        <v>96.859605911330064</v>
      </c>
      <c r="P20" s="48">
        <v>15.63</v>
      </c>
      <c r="Q20" s="46">
        <f t="shared" si="1"/>
        <v>96.243842364532028</v>
      </c>
      <c r="R20" s="48">
        <v>15.74</v>
      </c>
      <c r="S20" s="47">
        <f t="shared" si="8"/>
        <v>96.921182266009865</v>
      </c>
      <c r="T20" s="48">
        <v>16.010000000000002</v>
      </c>
      <c r="U20" s="47">
        <f t="shared" si="9"/>
        <v>98.583743842364541</v>
      </c>
      <c r="V20" s="48">
        <v>16.079999999999998</v>
      </c>
      <c r="W20" s="46">
        <f t="shared" si="10"/>
        <v>99.01477832512316</v>
      </c>
      <c r="X20" s="48">
        <v>16.39</v>
      </c>
      <c r="Y20" s="46">
        <f t="shared" si="11"/>
        <v>100.92364532019707</v>
      </c>
      <c r="Z20" s="48">
        <v>16.59</v>
      </c>
      <c r="AA20" s="46">
        <f t="shared" si="12"/>
        <v>102.15517241379311</v>
      </c>
      <c r="AB20" s="48">
        <v>16.579999999999998</v>
      </c>
      <c r="AC20" s="46">
        <f t="shared" si="14"/>
        <v>102.0935960591133</v>
      </c>
      <c r="AD20" s="48">
        <v>16.62</v>
      </c>
      <c r="AE20" s="46">
        <f t="shared" si="15"/>
        <v>102.33990147783251</v>
      </c>
      <c r="AF20" s="40">
        <v>17.72</v>
      </c>
      <c r="AG20" s="46">
        <f t="shared" si="16"/>
        <v>109.11330049261083</v>
      </c>
      <c r="AH20" s="40">
        <v>17.82</v>
      </c>
      <c r="AI20" s="46">
        <f t="shared" si="17"/>
        <v>109.72906403940887</v>
      </c>
      <c r="AJ20" s="40">
        <v>17.91</v>
      </c>
      <c r="AK20" s="46">
        <f t="shared" si="23"/>
        <v>110.28325123152712</v>
      </c>
      <c r="AL20" s="40">
        <v>17.97</v>
      </c>
      <c r="AM20" s="46">
        <f t="shared" si="24"/>
        <v>110.65270935960592</v>
      </c>
      <c r="AN20" s="40">
        <v>18.09</v>
      </c>
      <c r="AO20" s="46">
        <f t="shared" si="25"/>
        <v>111.39162561576357</v>
      </c>
      <c r="AP20" s="40">
        <v>17.96</v>
      </c>
      <c r="AQ20" s="46">
        <f t="shared" si="26"/>
        <v>110.59113300492614</v>
      </c>
      <c r="AR20" s="40">
        <v>18.3</v>
      </c>
      <c r="AS20" s="47">
        <f t="shared" si="27"/>
        <v>112.68472906403943</v>
      </c>
    </row>
    <row r="21" spans="2:45" s="95" customFormat="1" ht="12.75" customHeight="1" x14ac:dyDescent="0.25">
      <c r="B21" s="3">
        <v>63</v>
      </c>
      <c r="C21" s="3">
        <v>0</v>
      </c>
      <c r="D21" s="3"/>
      <c r="E21" s="3">
        <v>0</v>
      </c>
      <c r="F21" s="3">
        <v>0</v>
      </c>
      <c r="G21" s="1"/>
      <c r="H21" s="2" t="s">
        <v>147</v>
      </c>
      <c r="I21" s="3" t="s">
        <v>52</v>
      </c>
      <c r="K21" s="354"/>
      <c r="L21" s="44" t="s">
        <v>533</v>
      </c>
      <c r="M21" s="65">
        <v>16.68</v>
      </c>
      <c r="N21" s="48">
        <v>16.34</v>
      </c>
      <c r="O21" s="46">
        <f>N21/M21*100</f>
        <v>97.961630695443645</v>
      </c>
      <c r="P21" s="48">
        <v>16.47</v>
      </c>
      <c r="Q21" s="46">
        <f t="shared" si="1"/>
        <v>98.741007194244602</v>
      </c>
      <c r="R21" s="48">
        <v>16.850000000000001</v>
      </c>
      <c r="S21" s="47">
        <f t="shared" si="8"/>
        <v>101.0191846522782</v>
      </c>
      <c r="T21" s="48">
        <v>16.329999999999998</v>
      </c>
      <c r="U21" s="47">
        <f t="shared" si="9"/>
        <v>97.901678657074328</v>
      </c>
      <c r="V21" s="48">
        <v>16.54</v>
      </c>
      <c r="W21" s="46">
        <f t="shared" si="10"/>
        <v>99.160671462829725</v>
      </c>
      <c r="X21" s="40">
        <v>17</v>
      </c>
      <c r="Y21" s="46">
        <f t="shared" si="11"/>
        <v>101.91846522781776</v>
      </c>
      <c r="Z21" s="40">
        <v>17.2</v>
      </c>
      <c r="AA21" s="46">
        <f t="shared" si="12"/>
        <v>103.11750599520384</v>
      </c>
      <c r="AB21" s="40">
        <v>17.72</v>
      </c>
      <c r="AC21" s="46">
        <f t="shared" si="14"/>
        <v>106.23501199040768</v>
      </c>
      <c r="AD21" s="40">
        <v>18.059999999999999</v>
      </c>
      <c r="AE21" s="46">
        <f t="shared" si="15"/>
        <v>108.27338129496403</v>
      </c>
      <c r="AF21" s="40">
        <v>19.25</v>
      </c>
      <c r="AG21" s="46">
        <f t="shared" si="16"/>
        <v>115.40767386091126</v>
      </c>
      <c r="AH21" s="40">
        <v>19.11</v>
      </c>
      <c r="AI21" s="46">
        <f t="shared" si="17"/>
        <v>114.568345323741</v>
      </c>
      <c r="AJ21" s="40">
        <v>18.55</v>
      </c>
      <c r="AK21" s="46">
        <f t="shared" si="23"/>
        <v>111.21103117505994</v>
      </c>
      <c r="AL21" s="40">
        <v>18.55</v>
      </c>
      <c r="AM21" s="46">
        <f t="shared" si="24"/>
        <v>111.21103117505994</v>
      </c>
      <c r="AN21" s="40">
        <v>18.57</v>
      </c>
      <c r="AO21" s="46">
        <f t="shared" si="25"/>
        <v>111.33093525179856</v>
      </c>
      <c r="AP21" s="40">
        <v>18.260000000000002</v>
      </c>
      <c r="AQ21" s="46">
        <f t="shared" si="26"/>
        <v>109.47242206235013</v>
      </c>
      <c r="AR21" s="40">
        <v>18.5</v>
      </c>
      <c r="AS21" s="47">
        <f t="shared" si="27"/>
        <v>110.91127098321343</v>
      </c>
    </row>
    <row r="22" spans="2:45" s="95" customFormat="1" ht="12.75" customHeight="1" x14ac:dyDescent="0.25">
      <c r="B22" s="3">
        <v>63</v>
      </c>
      <c r="C22" s="3"/>
      <c r="D22" s="3"/>
      <c r="E22" s="3">
        <v>0</v>
      </c>
      <c r="F22" s="3">
        <v>0</v>
      </c>
      <c r="G22" s="1"/>
      <c r="H22" s="1"/>
      <c r="I22" s="1"/>
      <c r="K22" s="354"/>
      <c r="L22" s="44" t="s">
        <v>534</v>
      </c>
      <c r="M22" s="65">
        <v>17.649999999999999</v>
      </c>
      <c r="N22" s="40">
        <v>18.55</v>
      </c>
      <c r="O22" s="46">
        <f>N22/M22*100</f>
        <v>105.09915014164308</v>
      </c>
      <c r="P22" s="40">
        <v>18.510000000000002</v>
      </c>
      <c r="Q22" s="46">
        <f t="shared" si="1"/>
        <v>104.87252124645894</v>
      </c>
      <c r="R22" s="40">
        <v>18.8</v>
      </c>
      <c r="S22" s="47">
        <f t="shared" si="8"/>
        <v>106.51558073654392</v>
      </c>
      <c r="T22" s="40">
        <v>18.829999999999998</v>
      </c>
      <c r="U22" s="47">
        <f t="shared" si="9"/>
        <v>106.68555240793201</v>
      </c>
      <c r="V22" s="40">
        <v>18.75</v>
      </c>
      <c r="W22" s="46">
        <f t="shared" si="10"/>
        <v>106.23229461756374</v>
      </c>
      <c r="X22" s="40">
        <v>18.64</v>
      </c>
      <c r="Y22" s="46">
        <f t="shared" si="11"/>
        <v>105.60906515580737</v>
      </c>
      <c r="Z22" s="40">
        <v>18.600000000000001</v>
      </c>
      <c r="AA22" s="46">
        <f t="shared" si="12"/>
        <v>105.38243626062325</v>
      </c>
      <c r="AB22" s="40">
        <v>19.100000000000001</v>
      </c>
      <c r="AC22" s="46">
        <f t="shared" si="14"/>
        <v>108.21529745042496</v>
      </c>
      <c r="AD22" s="40">
        <v>19.309999999999999</v>
      </c>
      <c r="AE22" s="46">
        <f t="shared" si="15"/>
        <v>109.40509915014165</v>
      </c>
      <c r="AF22" s="40">
        <v>20.350000000000001</v>
      </c>
      <c r="AG22" s="46">
        <f t="shared" si="16"/>
        <v>115.29745042492921</v>
      </c>
      <c r="AH22" s="40">
        <v>20.76</v>
      </c>
      <c r="AI22" s="46">
        <f t="shared" si="17"/>
        <v>117.62039660056661</v>
      </c>
      <c r="AJ22" s="40">
        <v>20.329999999999998</v>
      </c>
      <c r="AK22" s="46">
        <f t="shared" si="23"/>
        <v>115.18413597733712</v>
      </c>
      <c r="AL22" s="40">
        <v>19.940000000000001</v>
      </c>
      <c r="AM22" s="46">
        <f t="shared" si="24"/>
        <v>112.97450424929181</v>
      </c>
      <c r="AN22" s="40">
        <v>20.010000000000002</v>
      </c>
      <c r="AO22" s="46">
        <f t="shared" si="25"/>
        <v>113.37110481586403</v>
      </c>
      <c r="AP22" s="40">
        <v>19.989999999999998</v>
      </c>
      <c r="AQ22" s="46">
        <f t="shared" si="26"/>
        <v>113.25779036827196</v>
      </c>
      <c r="AR22" s="40">
        <v>19.55</v>
      </c>
      <c r="AS22" s="47">
        <f t="shared" si="27"/>
        <v>110.76487252124647</v>
      </c>
    </row>
    <row r="23" spans="2:45" s="95" customFormat="1" ht="12.75" customHeight="1" x14ac:dyDescent="0.25">
      <c r="B23" s="3">
        <v>63</v>
      </c>
      <c r="C23" s="3"/>
      <c r="D23" s="3"/>
      <c r="E23" s="3">
        <v>0</v>
      </c>
      <c r="F23" s="3">
        <v>0</v>
      </c>
      <c r="G23" s="1"/>
      <c r="H23" s="1"/>
      <c r="I23" s="1"/>
      <c r="K23" s="354"/>
      <c r="L23" s="44" t="s">
        <v>535</v>
      </c>
      <c r="M23" s="65">
        <v>16.010000000000002</v>
      </c>
      <c r="N23" s="40">
        <v>17.73</v>
      </c>
      <c r="O23" s="46">
        <f>N23/M23*100</f>
        <v>110.74328544659586</v>
      </c>
      <c r="P23" s="48">
        <v>16.29</v>
      </c>
      <c r="Q23" s="46">
        <f t="shared" si="1"/>
        <v>101.74890693316677</v>
      </c>
      <c r="R23" s="40">
        <v>17.100000000000001</v>
      </c>
      <c r="S23" s="47">
        <f t="shared" si="8"/>
        <v>106.80824484697065</v>
      </c>
      <c r="T23" s="40">
        <v>17.850000000000001</v>
      </c>
      <c r="U23" s="47">
        <f t="shared" si="9"/>
        <v>111.49281698938162</v>
      </c>
      <c r="V23" s="40">
        <v>17.670000000000002</v>
      </c>
      <c r="W23" s="46">
        <f t="shared" si="10"/>
        <v>110.368519675203</v>
      </c>
      <c r="X23" s="40">
        <v>17.93</v>
      </c>
      <c r="Y23" s="46">
        <f t="shared" si="11"/>
        <v>111.99250468457214</v>
      </c>
      <c r="Z23" s="40">
        <v>18.72</v>
      </c>
      <c r="AA23" s="46">
        <f t="shared" si="12"/>
        <v>116.92692067457837</v>
      </c>
      <c r="AB23" s="40">
        <v>18.54</v>
      </c>
      <c r="AC23" s="46">
        <f t="shared" si="14"/>
        <v>115.80262336039972</v>
      </c>
      <c r="AD23" s="40">
        <v>18.3</v>
      </c>
      <c r="AE23" s="46">
        <f t="shared" si="15"/>
        <v>114.30356027482821</v>
      </c>
      <c r="AF23" s="40">
        <v>18.440000000000001</v>
      </c>
      <c r="AG23" s="46">
        <f t="shared" si="16"/>
        <v>115.1780137414116</v>
      </c>
      <c r="AH23" s="40">
        <v>18.11</v>
      </c>
      <c r="AI23" s="46">
        <f t="shared" si="17"/>
        <v>113.11680199875076</v>
      </c>
      <c r="AJ23" s="40">
        <v>17.5</v>
      </c>
      <c r="AK23" s="46">
        <f t="shared" si="23"/>
        <v>109.30668332292316</v>
      </c>
      <c r="AL23" s="40">
        <v>18.149999999999999</v>
      </c>
      <c r="AM23" s="46">
        <f t="shared" si="24"/>
        <v>113.36664584634602</v>
      </c>
      <c r="AN23" s="40">
        <v>18.61</v>
      </c>
      <c r="AO23" s="46">
        <f t="shared" si="25"/>
        <v>116.23985009369142</v>
      </c>
      <c r="AP23" s="40">
        <v>18.57</v>
      </c>
      <c r="AQ23" s="46">
        <f t="shared" si="26"/>
        <v>115.99000624609619</v>
      </c>
      <c r="AR23" s="40">
        <v>18.489999999999998</v>
      </c>
      <c r="AS23" s="47">
        <f t="shared" si="27"/>
        <v>115.49031855090566</v>
      </c>
    </row>
    <row r="24" spans="2:45" s="95" customFormat="1" ht="12.75" customHeight="1" x14ac:dyDescent="0.45">
      <c r="B24" s="3">
        <v>63</v>
      </c>
      <c r="C24" s="3"/>
      <c r="D24" s="3"/>
      <c r="E24" s="3">
        <v>0</v>
      </c>
      <c r="F24" s="3">
        <v>0</v>
      </c>
      <c r="G24" s="1"/>
      <c r="H24" s="7" t="s">
        <v>140</v>
      </c>
      <c r="I24" s="3"/>
      <c r="J24"/>
      <c r="K24" s="354"/>
      <c r="L24" s="44" t="s">
        <v>536</v>
      </c>
      <c r="M24" s="65">
        <v>16.63</v>
      </c>
      <c r="N24" s="40">
        <v>17.38</v>
      </c>
      <c r="O24" s="46">
        <f>N24/M24*100</f>
        <v>104.50992182802166</v>
      </c>
      <c r="P24" s="40">
        <v>17.32</v>
      </c>
      <c r="Q24" s="46">
        <f t="shared" si="1"/>
        <v>104.14912808177992</v>
      </c>
      <c r="R24" s="40">
        <v>17.420000000000002</v>
      </c>
      <c r="S24" s="47">
        <f t="shared" si="8"/>
        <v>104.75045099218281</v>
      </c>
      <c r="T24" s="40">
        <v>17.7</v>
      </c>
      <c r="U24" s="47">
        <f>T24/M24*100</f>
        <v>106.4341551413109</v>
      </c>
      <c r="V24" s="40">
        <v>18.09</v>
      </c>
      <c r="W24" s="46">
        <f t="shared" si="10"/>
        <v>108.77931449188213</v>
      </c>
      <c r="X24" s="40">
        <v>18.46</v>
      </c>
      <c r="Y24" s="46">
        <f t="shared" si="11"/>
        <v>111.00420926037282</v>
      </c>
      <c r="Z24" s="40">
        <v>19.16</v>
      </c>
      <c r="AA24" s="46">
        <f>Z24/M24*100</f>
        <v>115.21346963319303</v>
      </c>
      <c r="AB24" s="40">
        <v>20.309999999999999</v>
      </c>
      <c r="AC24" s="46">
        <f t="shared" si="14"/>
        <v>122.1286831028262</v>
      </c>
      <c r="AD24" s="40">
        <v>20.309999999999999</v>
      </c>
      <c r="AE24" s="46">
        <f>AD24/M24*100</f>
        <v>122.1286831028262</v>
      </c>
      <c r="AF24" s="40">
        <v>20.49</v>
      </c>
      <c r="AG24" s="46">
        <f>AF24/M24*100</f>
        <v>123.21106434155141</v>
      </c>
      <c r="AH24" s="40">
        <v>20.190000000000001</v>
      </c>
      <c r="AI24" s="46">
        <f>AH24/M24*100</f>
        <v>121.40709561034278</v>
      </c>
      <c r="AJ24" s="40">
        <v>19.600000000000001</v>
      </c>
      <c r="AK24" s="46">
        <f t="shared" si="23"/>
        <v>117.85929043896574</v>
      </c>
      <c r="AL24" s="40">
        <v>19.850000000000001</v>
      </c>
      <c r="AM24" s="46">
        <f t="shared" si="24"/>
        <v>119.36259771497295</v>
      </c>
      <c r="AN24" s="40">
        <v>19.75</v>
      </c>
      <c r="AO24" s="46">
        <f t="shared" si="25"/>
        <v>118.76127480457006</v>
      </c>
      <c r="AP24" s="40">
        <v>19.78</v>
      </c>
      <c r="AQ24" s="46">
        <f t="shared" si="26"/>
        <v>118.94167167769095</v>
      </c>
      <c r="AR24" s="40">
        <v>19.989999999999998</v>
      </c>
      <c r="AS24" s="47">
        <f t="shared" si="27"/>
        <v>120.20444978953697</v>
      </c>
    </row>
    <row r="25" spans="2:45" s="95" customFormat="1" ht="12.75" customHeight="1" x14ac:dyDescent="0.45">
      <c r="B25" s="3">
        <v>63</v>
      </c>
      <c r="C25" s="3"/>
      <c r="D25" s="3"/>
      <c r="E25" s="3">
        <v>0</v>
      </c>
      <c r="F25" s="3">
        <v>0</v>
      </c>
      <c r="G25" s="1"/>
      <c r="H25" s="2"/>
      <c r="I25" s="3"/>
      <c r="J25"/>
      <c r="K25" s="5"/>
      <c r="L25" s="96"/>
      <c r="M25" s="97" t="s">
        <v>13</v>
      </c>
      <c r="N25" s="98"/>
      <c r="O25" s="98"/>
    </row>
    <row r="26" spans="2:45" s="95" customFormat="1" ht="12.75" customHeight="1" x14ac:dyDescent="0.45">
      <c r="B26" s="3">
        <v>63</v>
      </c>
      <c r="C26" s="3"/>
      <c r="D26" s="3"/>
      <c r="E26" s="3">
        <v>0</v>
      </c>
      <c r="F26" s="3">
        <v>0</v>
      </c>
      <c r="G26" s="1"/>
      <c r="H26" s="2" t="s">
        <v>141</v>
      </c>
      <c r="I26" s="3"/>
      <c r="J26"/>
      <c r="K26" s="5"/>
      <c r="L26" s="96"/>
      <c r="M26" s="26" t="s">
        <v>107</v>
      </c>
      <c r="N26" s="98"/>
      <c r="O26" s="98"/>
    </row>
    <row r="27" spans="2:45" s="95" customFormat="1" ht="12.75" customHeight="1" x14ac:dyDescent="0.45">
      <c r="B27" s="3">
        <v>63</v>
      </c>
      <c r="C27" s="3"/>
      <c r="D27" s="3"/>
      <c r="E27" s="3">
        <v>0</v>
      </c>
      <c r="F27" s="3">
        <v>0</v>
      </c>
      <c r="G27" s="1"/>
      <c r="H27" s="2" t="s">
        <v>142</v>
      </c>
      <c r="I27" s="3">
        <v>12.15</v>
      </c>
      <c r="J27"/>
      <c r="K27" s="5"/>
      <c r="L27" s="96"/>
      <c r="M27" s="98"/>
      <c r="N27" s="98"/>
      <c r="O27" s="98"/>
    </row>
    <row r="28" spans="2:45" s="95" customFormat="1" ht="12.75" customHeight="1" x14ac:dyDescent="0.45">
      <c r="B28" s="3">
        <v>63</v>
      </c>
      <c r="C28" s="3"/>
      <c r="D28" s="3"/>
      <c r="E28" s="3">
        <v>0</v>
      </c>
      <c r="F28" s="3">
        <v>0</v>
      </c>
      <c r="G28" s="1"/>
      <c r="H28" s="2" t="s">
        <v>143</v>
      </c>
      <c r="I28" s="3">
        <v>1</v>
      </c>
      <c r="J28"/>
      <c r="K28" s="5"/>
      <c r="L28" s="96"/>
      <c r="M28" s="98"/>
      <c r="N28" s="98"/>
      <c r="O28" s="98"/>
    </row>
    <row r="29" spans="2:45" s="95" customFormat="1" ht="12.75" customHeight="1" x14ac:dyDescent="0.45">
      <c r="B29" s="3">
        <v>63</v>
      </c>
      <c r="C29" s="3"/>
      <c r="D29" s="3"/>
      <c r="E29" s="3">
        <v>0</v>
      </c>
      <c r="F29" s="3">
        <v>0</v>
      </c>
      <c r="G29" s="1"/>
      <c r="H29" s="7" t="s">
        <v>47</v>
      </c>
      <c r="I29" s="8">
        <v>5.0000000000000001E-4</v>
      </c>
      <c r="J29"/>
      <c r="K29" s="99" t="s">
        <v>149</v>
      </c>
      <c r="L29" s="100"/>
      <c r="M29" s="101"/>
      <c r="N29" s="101"/>
    </row>
    <row r="30" spans="2:45" s="95" customFormat="1" ht="12.75" customHeight="1" x14ac:dyDescent="0.45">
      <c r="B30" s="3">
        <v>63</v>
      </c>
      <c r="C30" s="3"/>
      <c r="D30" s="3"/>
      <c r="E30" s="3"/>
      <c r="F30" s="3">
        <v>0</v>
      </c>
      <c r="G30" s="1"/>
      <c r="H30" s="7" t="s">
        <v>49</v>
      </c>
      <c r="I30" s="8" t="s">
        <v>50</v>
      </c>
      <c r="J30"/>
      <c r="K30" s="27"/>
      <c r="L30" s="263" t="s">
        <v>72</v>
      </c>
      <c r="M30" s="263" t="s">
        <v>172</v>
      </c>
      <c r="N30" s="358" t="s">
        <v>173</v>
      </c>
      <c r="O30" s="359"/>
      <c r="P30" s="358" t="s">
        <v>102</v>
      </c>
      <c r="Q30" s="359"/>
      <c r="R30" s="358" t="s">
        <v>174</v>
      </c>
      <c r="S30" s="359"/>
      <c r="T30" s="358" t="s">
        <v>103</v>
      </c>
      <c r="U30" s="359"/>
      <c r="V30" s="358" t="s">
        <v>175</v>
      </c>
      <c r="W30" s="359"/>
      <c r="X30" s="358" t="s">
        <v>74</v>
      </c>
      <c r="Y30" s="359"/>
      <c r="Z30" s="358" t="s">
        <v>176</v>
      </c>
      <c r="AA30" s="359"/>
      <c r="AB30" s="358" t="s">
        <v>75</v>
      </c>
      <c r="AC30" s="359"/>
    </row>
    <row r="31" spans="2:45" s="95" customFormat="1" ht="12.75" customHeight="1" x14ac:dyDescent="0.45">
      <c r="B31" s="95" t="s">
        <v>170</v>
      </c>
      <c r="F31" s="1"/>
      <c r="H31" s="2" t="s">
        <v>144</v>
      </c>
      <c r="I31" s="3" t="s">
        <v>52</v>
      </c>
      <c r="J31"/>
      <c r="K31" s="27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  <c r="AA31" s="263"/>
      <c r="AB31" s="263"/>
      <c r="AC31" s="263"/>
    </row>
    <row r="32" spans="2:45" s="95" customFormat="1" ht="12.75" customHeight="1" x14ac:dyDescent="0.45">
      <c r="F32" s="1"/>
      <c r="H32" s="2"/>
      <c r="I32" s="3"/>
      <c r="J32"/>
      <c r="K32" s="354" t="s">
        <v>516</v>
      </c>
      <c r="L32" s="44" t="s">
        <v>540</v>
      </c>
      <c r="M32" s="45">
        <v>21.33</v>
      </c>
      <c r="N32" s="40">
        <v>19.87</v>
      </c>
      <c r="O32" s="66">
        <f t="shared" ref="O32:O55" si="28">N32/M32*100</f>
        <v>93.155180496952667</v>
      </c>
      <c r="P32" s="40">
        <v>17.59</v>
      </c>
      <c r="Q32" s="46">
        <f>P32/M32*100</f>
        <v>82.466010314111585</v>
      </c>
      <c r="R32" s="49" t="s">
        <v>224</v>
      </c>
      <c r="S32" s="53"/>
      <c r="T32" s="48"/>
      <c r="U32" s="53"/>
      <c r="V32" s="48"/>
      <c r="W32" s="53"/>
      <c r="X32" s="48"/>
      <c r="Y32" s="53"/>
      <c r="Z32" s="48"/>
      <c r="AA32" s="53"/>
      <c r="AB32" s="48"/>
      <c r="AC32" s="54"/>
    </row>
    <row r="33" spans="8:29" s="95" customFormat="1" ht="12.75" customHeight="1" x14ac:dyDescent="0.45">
      <c r="H33" s="2" t="s">
        <v>205</v>
      </c>
      <c r="I33" s="3"/>
      <c r="J33"/>
      <c r="K33" s="354"/>
      <c r="L33" s="44" t="s">
        <v>541</v>
      </c>
      <c r="M33" s="45">
        <v>20.92</v>
      </c>
      <c r="N33" s="40">
        <v>18.72</v>
      </c>
      <c r="O33" s="66">
        <f t="shared" si="28"/>
        <v>89.483747609942625</v>
      </c>
      <c r="P33" s="48">
        <v>16.82</v>
      </c>
      <c r="Q33" s="46">
        <f t="shared" ref="Q33:Q34" si="29">P33/M33*100</f>
        <v>80.401529636711274</v>
      </c>
      <c r="R33" s="48">
        <v>15.6</v>
      </c>
      <c r="S33" s="52">
        <f>R33/M33*100</f>
        <v>74.56978967495219</v>
      </c>
      <c r="T33" s="48">
        <v>15.22</v>
      </c>
      <c r="U33" s="52">
        <f>T33/M33*100</f>
        <v>72.753346080305931</v>
      </c>
      <c r="V33" s="48">
        <v>14.84</v>
      </c>
      <c r="W33" s="52">
        <f>V33/M33*100</f>
        <v>70.936902485659644</v>
      </c>
      <c r="X33" s="48">
        <v>13.59</v>
      </c>
      <c r="Y33" s="52">
        <f>X33/M33*100</f>
        <v>64.961759082217966</v>
      </c>
      <c r="Z33" s="48">
        <v>13.42</v>
      </c>
      <c r="AA33" s="52">
        <f>Z33/M33*100</f>
        <v>64.149139579349907</v>
      </c>
      <c r="AB33" s="48">
        <v>13.53</v>
      </c>
      <c r="AC33" s="50">
        <f>AB33/M33*100</f>
        <v>64.674952198852765</v>
      </c>
    </row>
    <row r="34" spans="8:29" s="95" customFormat="1" ht="12.75" customHeight="1" x14ac:dyDescent="0.45">
      <c r="H34" s="2" t="s">
        <v>142</v>
      </c>
      <c r="I34" s="3">
        <v>11.7</v>
      </c>
      <c r="J34"/>
      <c r="K34" s="354"/>
      <c r="L34" s="44" t="s">
        <v>542</v>
      </c>
      <c r="M34" s="45">
        <v>22.41</v>
      </c>
      <c r="N34" s="40">
        <v>20.32</v>
      </c>
      <c r="O34" s="66">
        <f t="shared" si="28"/>
        <v>90.673806336456948</v>
      </c>
      <c r="P34" s="40">
        <v>18.78</v>
      </c>
      <c r="Q34" s="46">
        <f t="shared" si="29"/>
        <v>83.801874163319951</v>
      </c>
      <c r="R34" s="40">
        <v>17.3</v>
      </c>
      <c r="S34" s="52">
        <f>R34/M34*100</f>
        <v>77.197679607318165</v>
      </c>
      <c r="T34" s="49" t="s">
        <v>363</v>
      </c>
      <c r="U34" s="53"/>
      <c r="V34" s="48"/>
      <c r="W34" s="53"/>
      <c r="X34" s="48"/>
      <c r="Y34" s="53"/>
      <c r="Z34" s="48"/>
      <c r="AA34" s="53"/>
      <c r="AB34" s="48"/>
      <c r="AC34" s="54"/>
    </row>
    <row r="35" spans="8:29" s="95" customFormat="1" ht="12.75" customHeight="1" x14ac:dyDescent="0.45">
      <c r="H35" s="2" t="s">
        <v>143</v>
      </c>
      <c r="I35" s="3">
        <v>1</v>
      </c>
      <c r="J35"/>
      <c r="K35" s="354"/>
      <c r="L35" s="44" t="s">
        <v>543</v>
      </c>
      <c r="M35" s="45">
        <v>20.73</v>
      </c>
      <c r="N35" s="40">
        <v>19.55</v>
      </c>
      <c r="O35" s="66">
        <f t="shared" si="28"/>
        <v>94.307766521948864</v>
      </c>
      <c r="P35" s="49" t="s">
        <v>440</v>
      </c>
      <c r="Q35" s="53"/>
      <c r="R35" s="48"/>
      <c r="S35" s="53"/>
      <c r="T35" s="48"/>
      <c r="U35" s="53"/>
      <c r="V35" s="48"/>
      <c r="W35" s="53"/>
      <c r="X35" s="48"/>
      <c r="Y35" s="53"/>
      <c r="Z35" s="48"/>
      <c r="AA35" s="53"/>
      <c r="AB35" s="48"/>
      <c r="AC35" s="54"/>
    </row>
    <row r="36" spans="8:29" s="95" customFormat="1" ht="12.75" customHeight="1" x14ac:dyDescent="0.45">
      <c r="H36" s="2" t="s">
        <v>47</v>
      </c>
      <c r="I36" s="3">
        <v>5.9999999999999995E-4</v>
      </c>
      <c r="J36"/>
      <c r="K36" s="354"/>
      <c r="L36" s="44" t="s">
        <v>544</v>
      </c>
      <c r="M36" s="45">
        <v>21.79</v>
      </c>
      <c r="N36" s="40">
        <v>19.95</v>
      </c>
      <c r="O36" s="66">
        <f t="shared" si="28"/>
        <v>91.555759522716841</v>
      </c>
      <c r="P36" s="48">
        <v>16.62</v>
      </c>
      <c r="Q36" s="46">
        <f>P36/M36*100</f>
        <v>76.273519963285921</v>
      </c>
      <c r="R36" s="40">
        <v>17.850000000000001</v>
      </c>
      <c r="S36" s="46">
        <f>R36/M36*100</f>
        <v>81.918311151904561</v>
      </c>
      <c r="T36" s="40">
        <v>18.350000000000001</v>
      </c>
      <c r="U36" s="46">
        <f>T36/M36*100</f>
        <v>84.212941716383668</v>
      </c>
      <c r="V36" s="48">
        <v>16.239999999999998</v>
      </c>
      <c r="W36" s="52">
        <f>V36/M36*100</f>
        <v>74.529600734281772</v>
      </c>
      <c r="X36" s="48">
        <v>15.28</v>
      </c>
      <c r="Y36" s="52">
        <f>X36/M36*100</f>
        <v>70.123910050481868</v>
      </c>
      <c r="Z36" s="48">
        <v>15.13</v>
      </c>
      <c r="AA36" s="52">
        <f>Z36/M36*100</f>
        <v>69.435520881138146</v>
      </c>
      <c r="AB36" s="48">
        <v>16.88</v>
      </c>
      <c r="AC36" s="50">
        <f>AB36/M36*100</f>
        <v>77.466727856815055</v>
      </c>
    </row>
    <row r="37" spans="8:29" s="95" customFormat="1" ht="12.75" customHeight="1" x14ac:dyDescent="0.45">
      <c r="H37" s="2" t="s">
        <v>49</v>
      </c>
      <c r="I37" s="3" t="s">
        <v>50</v>
      </c>
      <c r="J37"/>
      <c r="K37" s="354"/>
      <c r="L37" s="44" t="s">
        <v>545</v>
      </c>
      <c r="M37" s="45">
        <v>18.82</v>
      </c>
      <c r="N37" s="48">
        <v>15.78</v>
      </c>
      <c r="O37" s="66">
        <f t="shared" si="28"/>
        <v>83.846971307120072</v>
      </c>
      <c r="P37" s="49" t="s">
        <v>546</v>
      </c>
      <c r="Q37" s="53"/>
      <c r="R37" s="48"/>
      <c r="S37" s="53"/>
      <c r="T37" s="48"/>
      <c r="U37" s="53"/>
      <c r="V37" s="48"/>
      <c r="W37" s="53"/>
      <c r="X37" s="48"/>
      <c r="Y37" s="53"/>
      <c r="Z37" s="48"/>
      <c r="AA37" s="53"/>
      <c r="AB37" s="48"/>
      <c r="AC37" s="54"/>
    </row>
    <row r="38" spans="8:29" s="95" customFormat="1" ht="12.75" customHeight="1" x14ac:dyDescent="0.45">
      <c r="H38" s="2" t="s">
        <v>144</v>
      </c>
      <c r="I38" s="3" t="s">
        <v>52</v>
      </c>
      <c r="J38"/>
      <c r="K38" s="367" t="s">
        <v>537</v>
      </c>
      <c r="L38" s="44" t="s">
        <v>547</v>
      </c>
      <c r="M38" s="45">
        <v>20.48</v>
      </c>
      <c r="N38" s="40">
        <v>19.329999999999998</v>
      </c>
      <c r="O38" s="66">
        <f t="shared" si="28"/>
        <v>94.384765624999986</v>
      </c>
      <c r="P38" s="40">
        <v>18.16</v>
      </c>
      <c r="Q38" s="46">
        <f t="shared" ref="Q38:Q42" si="30">P38/M38*100</f>
        <v>88.671875</v>
      </c>
      <c r="R38" s="49" t="s">
        <v>224</v>
      </c>
      <c r="S38" s="53"/>
      <c r="T38" s="48"/>
      <c r="U38" s="53"/>
      <c r="V38" s="48"/>
      <c r="W38" s="53"/>
      <c r="X38" s="48"/>
      <c r="Y38" s="53"/>
      <c r="Z38" s="48"/>
      <c r="AA38" s="53"/>
      <c r="AB38" s="48"/>
      <c r="AC38" s="54"/>
    </row>
    <row r="39" spans="8:29" s="95" customFormat="1" ht="12.75" customHeight="1" x14ac:dyDescent="0.45">
      <c r="H39" s="2"/>
      <c r="I39" s="3"/>
      <c r="J39"/>
      <c r="K39" s="367"/>
      <c r="L39" s="44" t="s">
        <v>548</v>
      </c>
      <c r="M39" s="45">
        <v>19.829999999999998</v>
      </c>
      <c r="N39" s="40">
        <v>19.16</v>
      </c>
      <c r="O39" s="66">
        <f t="shared" si="28"/>
        <v>96.621280887544131</v>
      </c>
      <c r="P39" s="40">
        <v>17.45</v>
      </c>
      <c r="Q39" s="46">
        <f t="shared" si="30"/>
        <v>87.997982854261224</v>
      </c>
      <c r="R39" s="49" t="s">
        <v>228</v>
      </c>
      <c r="S39" s="53"/>
      <c r="T39" s="48"/>
      <c r="U39" s="53"/>
      <c r="V39" s="48"/>
      <c r="W39" s="53"/>
      <c r="X39" s="48"/>
      <c r="Y39" s="53"/>
      <c r="Z39" s="48"/>
      <c r="AA39" s="53"/>
      <c r="AB39" s="48"/>
      <c r="AC39" s="54"/>
    </row>
    <row r="40" spans="8:29" s="95" customFormat="1" ht="12.75" customHeight="1" x14ac:dyDescent="0.45">
      <c r="H40" s="2" t="s">
        <v>206</v>
      </c>
      <c r="I40" s="3"/>
      <c r="J40"/>
      <c r="K40" s="367"/>
      <c r="L40" s="44" t="s">
        <v>549</v>
      </c>
      <c r="M40" s="45">
        <v>21.43</v>
      </c>
      <c r="N40" s="40">
        <v>20.22</v>
      </c>
      <c r="O40" s="66">
        <f t="shared" si="28"/>
        <v>94.353709752683145</v>
      </c>
      <c r="P40" s="40">
        <v>18.010000000000002</v>
      </c>
      <c r="Q40" s="46">
        <f t="shared" si="30"/>
        <v>84.041063929071399</v>
      </c>
      <c r="R40" s="48">
        <v>16.559999999999999</v>
      </c>
      <c r="S40" s="52">
        <f t="shared" ref="S40:S42" si="31">R40/M40*100</f>
        <v>77.274848343443765</v>
      </c>
      <c r="T40" s="40">
        <v>17.170000000000002</v>
      </c>
      <c r="U40" s="46">
        <f>T40/M40*100</f>
        <v>80.12132524498368</v>
      </c>
      <c r="V40" s="40">
        <v>18.27</v>
      </c>
      <c r="W40" s="46">
        <f>V40/M40*100</f>
        <v>85.254316378908072</v>
      </c>
      <c r="X40" s="48">
        <v>15.68</v>
      </c>
      <c r="Y40" s="52">
        <f>X40/M40*100</f>
        <v>73.168455436304242</v>
      </c>
      <c r="Z40" s="48">
        <v>14.23</v>
      </c>
      <c r="AA40" s="52">
        <f>Z40/M40*100</f>
        <v>66.402239850676622</v>
      </c>
      <c r="AB40" s="49" t="s">
        <v>91</v>
      </c>
      <c r="AC40" s="54"/>
    </row>
    <row r="41" spans="8:29" s="95" customFormat="1" ht="12.75" customHeight="1" x14ac:dyDescent="0.45">
      <c r="H41" s="2" t="s">
        <v>1553</v>
      </c>
      <c r="I41" s="3">
        <v>9.5</v>
      </c>
      <c r="J41"/>
      <c r="K41" s="367"/>
      <c r="L41" s="44" t="s">
        <v>550</v>
      </c>
      <c r="M41" s="45">
        <v>20.54</v>
      </c>
      <c r="N41" s="40">
        <v>19.100000000000001</v>
      </c>
      <c r="O41" s="66">
        <f t="shared" si="28"/>
        <v>92.989289191820845</v>
      </c>
      <c r="P41" s="40">
        <v>17.52</v>
      </c>
      <c r="Q41" s="46">
        <f t="shared" si="30"/>
        <v>85.296981499513151</v>
      </c>
      <c r="R41" s="48">
        <v>15.98</v>
      </c>
      <c r="S41" s="52">
        <f t="shared" si="31"/>
        <v>77.799415774099316</v>
      </c>
      <c r="T41" s="49" t="s">
        <v>363</v>
      </c>
      <c r="U41" s="53"/>
      <c r="V41" s="48"/>
      <c r="W41" s="53"/>
      <c r="X41" s="48"/>
      <c r="Y41" s="53"/>
      <c r="Z41" s="48"/>
      <c r="AA41" s="53"/>
      <c r="AB41" s="48"/>
      <c r="AC41" s="54"/>
    </row>
    <row r="42" spans="8:29" s="95" customFormat="1" ht="12.75" customHeight="1" x14ac:dyDescent="0.45">
      <c r="H42" s="2" t="s">
        <v>1554</v>
      </c>
      <c r="I42" s="3" t="s">
        <v>293</v>
      </c>
      <c r="J42"/>
      <c r="K42" s="367"/>
      <c r="L42" s="44" t="s">
        <v>551</v>
      </c>
      <c r="M42" s="45">
        <v>22.12</v>
      </c>
      <c r="N42" s="40">
        <v>20.67</v>
      </c>
      <c r="O42" s="66">
        <f t="shared" si="28"/>
        <v>93.44484629294756</v>
      </c>
      <c r="P42" s="40">
        <v>18.82</v>
      </c>
      <c r="Q42" s="46">
        <f t="shared" si="30"/>
        <v>85.081374321880659</v>
      </c>
      <c r="R42" s="40">
        <v>17.420000000000002</v>
      </c>
      <c r="S42" s="52">
        <f t="shared" si="31"/>
        <v>78.752260397830014</v>
      </c>
      <c r="T42" s="48">
        <v>15.76</v>
      </c>
      <c r="U42" s="52">
        <f>T42/M42*100</f>
        <v>71.247739602169986</v>
      </c>
      <c r="V42" s="48">
        <v>13.91</v>
      </c>
      <c r="W42" s="52">
        <f>V42/M42*100</f>
        <v>62.884267631103071</v>
      </c>
      <c r="X42" s="49" t="s">
        <v>128</v>
      </c>
      <c r="Y42" s="53"/>
      <c r="Z42" s="48"/>
      <c r="AA42" s="53"/>
      <c r="AB42" s="48"/>
      <c r="AC42" s="54"/>
    </row>
    <row r="43" spans="8:29" s="95" customFormat="1" ht="12.75" customHeight="1" x14ac:dyDescent="0.45">
      <c r="H43" s="2"/>
      <c r="I43" s="3"/>
      <c r="J43"/>
      <c r="K43" s="367"/>
      <c r="L43" s="44" t="s">
        <v>552</v>
      </c>
      <c r="M43" s="45">
        <v>20.46</v>
      </c>
      <c r="N43" s="40">
        <v>18.46</v>
      </c>
      <c r="O43" s="66">
        <f t="shared" si="28"/>
        <v>90.224828934506348</v>
      </c>
      <c r="P43" s="49" t="s">
        <v>546</v>
      </c>
      <c r="Q43" s="53"/>
      <c r="R43" s="48"/>
      <c r="S43" s="53"/>
      <c r="T43" s="48"/>
      <c r="U43" s="53"/>
      <c r="V43" s="48"/>
      <c r="W43" s="53"/>
      <c r="X43" s="48"/>
      <c r="Y43" s="53"/>
      <c r="Z43" s="48"/>
      <c r="AA43" s="53"/>
      <c r="AB43" s="48"/>
      <c r="AC43" s="54"/>
    </row>
    <row r="44" spans="8:29" s="95" customFormat="1" ht="12.75" customHeight="1" x14ac:dyDescent="0.45">
      <c r="H44" s="2" t="s">
        <v>211</v>
      </c>
      <c r="I44" s="3"/>
      <c r="J44"/>
      <c r="K44" s="367" t="s">
        <v>538</v>
      </c>
      <c r="L44" s="44" t="s">
        <v>553</v>
      </c>
      <c r="M44" s="45">
        <v>19.63</v>
      </c>
      <c r="N44" s="48">
        <v>16.309999999999999</v>
      </c>
      <c r="O44" s="66">
        <f t="shared" si="28"/>
        <v>83.087111563932751</v>
      </c>
      <c r="P44" s="48">
        <v>14.7</v>
      </c>
      <c r="Q44" s="46">
        <f t="shared" ref="Q44:Q55" si="32">P44/M44*100</f>
        <v>74.885379521141118</v>
      </c>
      <c r="R44" s="48">
        <v>15.03</v>
      </c>
      <c r="S44" s="52">
        <f t="shared" ref="S44:S55" si="33">R44/M44*100</f>
        <v>76.566479877738161</v>
      </c>
      <c r="T44" s="48">
        <v>15.35</v>
      </c>
      <c r="U44" s="52">
        <f t="shared" ref="U44:U55" si="34">T44/M44*100</f>
        <v>78.196637799286805</v>
      </c>
      <c r="V44" s="48">
        <v>15.7</v>
      </c>
      <c r="W44" s="52">
        <f t="shared" ref="W44:W55" si="35">V44/M44*100</f>
        <v>79.979623025980644</v>
      </c>
      <c r="X44" s="48">
        <v>16.43</v>
      </c>
      <c r="Y44" s="46">
        <f t="shared" ref="Y44:Y54" si="36">X44/M44*100</f>
        <v>83.698420784513502</v>
      </c>
      <c r="Z44" s="48">
        <v>14.73</v>
      </c>
      <c r="AA44" s="52">
        <f>Z44/M44*100</f>
        <v>75.038206826286299</v>
      </c>
      <c r="AB44" s="48">
        <v>14.78</v>
      </c>
      <c r="AC44" s="50">
        <f t="shared" ref="AC44:AC54" si="37">AB44/M44*100</f>
        <v>75.292919001528276</v>
      </c>
    </row>
    <row r="45" spans="8:29" s="95" customFormat="1" ht="12.75" customHeight="1" x14ac:dyDescent="0.45">
      <c r="H45" s="2" t="s">
        <v>208</v>
      </c>
      <c r="I45" s="3">
        <v>12.38</v>
      </c>
      <c r="J45"/>
      <c r="K45" s="367"/>
      <c r="L45" s="44" t="s">
        <v>554</v>
      </c>
      <c r="M45" s="45">
        <v>20.149999999999999</v>
      </c>
      <c r="N45" s="48">
        <v>16.78</v>
      </c>
      <c r="O45" s="66">
        <f t="shared" si="28"/>
        <v>83.275434243176193</v>
      </c>
      <c r="P45" s="48">
        <v>15.37</v>
      </c>
      <c r="Q45" s="46">
        <f t="shared" si="32"/>
        <v>76.277915632754343</v>
      </c>
      <c r="R45" s="48">
        <v>15.59</v>
      </c>
      <c r="S45" s="52">
        <f t="shared" si="33"/>
        <v>77.369727047146412</v>
      </c>
      <c r="T45" s="48">
        <v>16.57</v>
      </c>
      <c r="U45" s="46">
        <f t="shared" si="34"/>
        <v>82.233250620347391</v>
      </c>
      <c r="V45" s="48">
        <v>14.82</v>
      </c>
      <c r="W45" s="52">
        <f t="shared" si="35"/>
        <v>73.548387096774206</v>
      </c>
      <c r="X45" s="48">
        <v>16.149999999999999</v>
      </c>
      <c r="Y45" s="46">
        <f t="shared" si="36"/>
        <v>80.148883374689831</v>
      </c>
      <c r="Z45" s="48">
        <v>16.98</v>
      </c>
      <c r="AA45" s="46">
        <f t="shared" ref="AA45:AA55" si="38">Z45/M45*100</f>
        <v>84.267990074441684</v>
      </c>
      <c r="AB45" s="48">
        <v>16.55</v>
      </c>
      <c r="AC45" s="47">
        <f t="shared" si="37"/>
        <v>82.133995037220856</v>
      </c>
    </row>
    <row r="46" spans="8:29" s="95" customFormat="1" ht="12.75" customHeight="1" x14ac:dyDescent="0.45">
      <c r="H46" s="2" t="s">
        <v>209</v>
      </c>
      <c r="I46" s="3" t="s">
        <v>1555</v>
      </c>
      <c r="J46"/>
      <c r="K46" s="367"/>
      <c r="L46" s="44" t="s">
        <v>555</v>
      </c>
      <c r="M46" s="45">
        <v>19.78</v>
      </c>
      <c r="N46" s="48">
        <v>16.11</v>
      </c>
      <c r="O46" s="66">
        <f t="shared" si="28"/>
        <v>81.445904954499483</v>
      </c>
      <c r="P46" s="48">
        <v>14.91</v>
      </c>
      <c r="Q46" s="46">
        <f t="shared" si="32"/>
        <v>75.379170879676437</v>
      </c>
      <c r="R46" s="48">
        <v>14.97</v>
      </c>
      <c r="S46" s="52">
        <f t="shared" si="33"/>
        <v>75.682507583417589</v>
      </c>
      <c r="T46" s="48">
        <v>15.52</v>
      </c>
      <c r="U46" s="52">
        <f t="shared" si="34"/>
        <v>78.463094034378159</v>
      </c>
      <c r="V46" s="48">
        <v>13.96</v>
      </c>
      <c r="W46" s="52">
        <f t="shared" si="35"/>
        <v>70.576339737108199</v>
      </c>
      <c r="X46" s="48">
        <v>15.37</v>
      </c>
      <c r="Y46" s="52">
        <f t="shared" si="36"/>
        <v>77.704752275025271</v>
      </c>
      <c r="Z46" s="48">
        <v>15.26</v>
      </c>
      <c r="AA46" s="52">
        <f t="shared" si="38"/>
        <v>77.148634984833166</v>
      </c>
      <c r="AB46" s="48">
        <v>14.82</v>
      </c>
      <c r="AC46" s="50">
        <f t="shared" si="37"/>
        <v>74.924165824064701</v>
      </c>
    </row>
    <row r="47" spans="8:29" s="95" customFormat="1" ht="12.75" customHeight="1" x14ac:dyDescent="0.25">
      <c r="K47" s="367"/>
      <c r="L47" s="44" t="s">
        <v>556</v>
      </c>
      <c r="M47" s="45">
        <v>20.14</v>
      </c>
      <c r="N47" s="40">
        <v>17.05</v>
      </c>
      <c r="O47" s="66">
        <f t="shared" si="28"/>
        <v>84.657398212512419</v>
      </c>
      <c r="P47" s="48">
        <v>15.83</v>
      </c>
      <c r="Q47" s="46">
        <f t="shared" si="32"/>
        <v>78.599801390268127</v>
      </c>
      <c r="R47" s="48">
        <v>15.52</v>
      </c>
      <c r="S47" s="52">
        <f t="shared" si="33"/>
        <v>77.060575968222437</v>
      </c>
      <c r="T47" s="48">
        <v>15.99</v>
      </c>
      <c r="U47" s="52">
        <f t="shared" si="34"/>
        <v>79.394240317775569</v>
      </c>
      <c r="V47" s="48">
        <v>15.68</v>
      </c>
      <c r="W47" s="52">
        <f t="shared" si="35"/>
        <v>77.855014895729894</v>
      </c>
      <c r="X47" s="40">
        <v>17.8</v>
      </c>
      <c r="Y47" s="46">
        <f t="shared" si="36"/>
        <v>88.381330685203579</v>
      </c>
      <c r="Z47" s="40">
        <v>18.63</v>
      </c>
      <c r="AA47" s="46">
        <f t="shared" si="38"/>
        <v>92.502482621648454</v>
      </c>
      <c r="AB47" s="40">
        <v>19.88</v>
      </c>
      <c r="AC47" s="47">
        <f t="shared" si="37"/>
        <v>98.709036742800393</v>
      </c>
    </row>
    <row r="48" spans="8:29" s="95" customFormat="1" ht="12.75" customHeight="1" x14ac:dyDescent="0.25">
      <c r="K48" s="367"/>
      <c r="L48" s="44" t="s">
        <v>557</v>
      </c>
      <c r="M48" s="45">
        <v>21.2</v>
      </c>
      <c r="N48" s="40">
        <v>18.32</v>
      </c>
      <c r="O48" s="66">
        <f t="shared" si="28"/>
        <v>86.415094339622641</v>
      </c>
      <c r="P48" s="48">
        <v>16.87</v>
      </c>
      <c r="Q48" s="46">
        <f t="shared" si="32"/>
        <v>79.575471698113219</v>
      </c>
      <c r="R48" s="48">
        <v>15.82</v>
      </c>
      <c r="S48" s="52">
        <f t="shared" si="33"/>
        <v>74.622641509433961</v>
      </c>
      <c r="T48" s="48">
        <v>16.420000000000002</v>
      </c>
      <c r="U48" s="52">
        <f t="shared" si="34"/>
        <v>77.452830188679258</v>
      </c>
      <c r="V48" s="48">
        <v>15.22</v>
      </c>
      <c r="W48" s="52">
        <f t="shared" si="35"/>
        <v>71.79245283018868</v>
      </c>
      <c r="X48" s="40">
        <v>18.579999999999998</v>
      </c>
      <c r="Y48" s="46">
        <f t="shared" si="36"/>
        <v>87.641509433962256</v>
      </c>
      <c r="Z48" s="40">
        <v>19.38</v>
      </c>
      <c r="AA48" s="46">
        <f t="shared" si="38"/>
        <v>91.415094339622641</v>
      </c>
      <c r="AB48" s="40">
        <v>20.23</v>
      </c>
      <c r="AC48" s="47">
        <f t="shared" si="37"/>
        <v>95.424528301886795</v>
      </c>
    </row>
    <row r="49" spans="8:29" s="95" customFormat="1" ht="12.75" customHeight="1" x14ac:dyDescent="0.45">
      <c r="H49" s="2" t="s">
        <v>140</v>
      </c>
      <c r="I49" s="3"/>
      <c r="J49"/>
      <c r="K49" s="367"/>
      <c r="L49" s="44" t="s">
        <v>558</v>
      </c>
      <c r="M49" s="45">
        <v>19.91</v>
      </c>
      <c r="N49" s="48">
        <v>16.899999999999999</v>
      </c>
      <c r="O49" s="66">
        <f t="shared" si="28"/>
        <v>84.881968859869403</v>
      </c>
      <c r="P49" s="48">
        <v>15.68</v>
      </c>
      <c r="Q49" s="46">
        <f t="shared" si="32"/>
        <v>78.754394776494223</v>
      </c>
      <c r="R49" s="48">
        <v>16.03</v>
      </c>
      <c r="S49" s="46">
        <f t="shared" si="33"/>
        <v>80.512305374183839</v>
      </c>
      <c r="T49" s="48">
        <v>16.37</v>
      </c>
      <c r="U49" s="46">
        <f t="shared" si="34"/>
        <v>82.219989954796588</v>
      </c>
      <c r="V49" s="48">
        <v>15.37</v>
      </c>
      <c r="W49" s="52">
        <f t="shared" si="35"/>
        <v>77.197388247112002</v>
      </c>
      <c r="X49" s="48">
        <v>16.78</v>
      </c>
      <c r="Y49" s="46">
        <f t="shared" si="36"/>
        <v>84.279256654947261</v>
      </c>
      <c r="Z49" s="40">
        <v>17.09</v>
      </c>
      <c r="AA49" s="46">
        <f t="shared" si="38"/>
        <v>85.836263184329482</v>
      </c>
      <c r="AB49" s="40">
        <v>18.989999999999998</v>
      </c>
      <c r="AC49" s="47">
        <f t="shared" si="37"/>
        <v>95.379206428930175</v>
      </c>
    </row>
    <row r="50" spans="8:29" s="95" customFormat="1" ht="12.75" customHeight="1" x14ac:dyDescent="0.45">
      <c r="H50" s="2"/>
      <c r="I50" s="3"/>
      <c r="J50"/>
      <c r="K50" s="367" t="s">
        <v>539</v>
      </c>
      <c r="L50" s="44" t="s">
        <v>559</v>
      </c>
      <c r="M50" s="45">
        <v>22.06</v>
      </c>
      <c r="N50" s="40">
        <v>20.53</v>
      </c>
      <c r="O50" s="66">
        <f t="shared" si="28"/>
        <v>93.064369900271998</v>
      </c>
      <c r="P50" s="40">
        <v>20.36</v>
      </c>
      <c r="Q50" s="46">
        <f t="shared" si="32"/>
        <v>92.293744333635544</v>
      </c>
      <c r="R50" s="40">
        <v>20.29</v>
      </c>
      <c r="S50" s="46">
        <f t="shared" si="33"/>
        <v>91.976427923844057</v>
      </c>
      <c r="T50" s="40">
        <v>20.72</v>
      </c>
      <c r="U50" s="46">
        <f t="shared" si="34"/>
        <v>93.925657298277414</v>
      </c>
      <c r="V50" s="40">
        <v>20.9</v>
      </c>
      <c r="W50" s="46">
        <f t="shared" si="35"/>
        <v>94.741613780598371</v>
      </c>
      <c r="X50" s="40">
        <v>21.21</v>
      </c>
      <c r="Y50" s="46">
        <f t="shared" si="36"/>
        <v>96.146872166817772</v>
      </c>
      <c r="Z50" s="40">
        <v>21.28</v>
      </c>
      <c r="AA50" s="46">
        <f t="shared" si="38"/>
        <v>96.46418857660926</v>
      </c>
      <c r="AB50" s="40">
        <v>22.15</v>
      </c>
      <c r="AC50" s="47">
        <f t="shared" si="37"/>
        <v>100.40797824116048</v>
      </c>
    </row>
    <row r="51" spans="8:29" s="95" customFormat="1" ht="12.75" customHeight="1" x14ac:dyDescent="0.45">
      <c r="H51" s="2" t="s">
        <v>141</v>
      </c>
      <c r="I51" s="3"/>
      <c r="J51"/>
      <c r="K51" s="367"/>
      <c r="L51" s="44" t="s">
        <v>560</v>
      </c>
      <c r="M51" s="45">
        <v>20.94</v>
      </c>
      <c r="N51" s="40">
        <v>19.79</v>
      </c>
      <c r="O51" s="66">
        <f t="shared" si="28"/>
        <v>94.508118433619856</v>
      </c>
      <c r="P51" s="40">
        <v>19.43</v>
      </c>
      <c r="Q51" s="46">
        <f t="shared" si="32"/>
        <v>92.788920725883472</v>
      </c>
      <c r="R51" s="40">
        <v>19.260000000000002</v>
      </c>
      <c r="S51" s="46">
        <f t="shared" si="33"/>
        <v>91.977077363896854</v>
      </c>
      <c r="T51" s="40">
        <v>19.14</v>
      </c>
      <c r="U51" s="46">
        <f t="shared" si="34"/>
        <v>91.404011461318049</v>
      </c>
      <c r="V51" s="40">
        <v>20.23</v>
      </c>
      <c r="W51" s="46">
        <f t="shared" si="35"/>
        <v>96.609360076408777</v>
      </c>
      <c r="X51" s="40">
        <v>20.23</v>
      </c>
      <c r="Y51" s="46">
        <f t="shared" si="36"/>
        <v>96.609360076408777</v>
      </c>
      <c r="Z51" s="40">
        <v>19.71</v>
      </c>
      <c r="AA51" s="46">
        <f t="shared" si="38"/>
        <v>94.126074498567334</v>
      </c>
      <c r="AB51" s="40">
        <v>20.3</v>
      </c>
      <c r="AC51" s="47">
        <f t="shared" si="37"/>
        <v>96.943648519579753</v>
      </c>
    </row>
    <row r="52" spans="8:29" s="95" customFormat="1" ht="12.75" customHeight="1" x14ac:dyDescent="0.45">
      <c r="H52" s="2" t="s">
        <v>142</v>
      </c>
      <c r="I52" s="3">
        <v>19.41</v>
      </c>
      <c r="J52"/>
      <c r="K52" s="367"/>
      <c r="L52" s="44" t="s">
        <v>561</v>
      </c>
      <c r="M52" s="45">
        <v>20.46</v>
      </c>
      <c r="N52" s="40">
        <v>18.53</v>
      </c>
      <c r="O52" s="66">
        <f t="shared" si="28"/>
        <v>90.566959921798627</v>
      </c>
      <c r="P52" s="40">
        <v>18.78</v>
      </c>
      <c r="Q52" s="46">
        <f t="shared" si="32"/>
        <v>91.78885630498533</v>
      </c>
      <c r="R52" s="40">
        <v>18.03</v>
      </c>
      <c r="S52" s="46">
        <f t="shared" si="33"/>
        <v>88.123167155425222</v>
      </c>
      <c r="T52" s="40">
        <v>18.53</v>
      </c>
      <c r="U52" s="46">
        <f t="shared" si="34"/>
        <v>90.566959921798627</v>
      </c>
      <c r="V52" s="40">
        <v>19.55</v>
      </c>
      <c r="W52" s="46">
        <f t="shared" si="35"/>
        <v>95.5522971652004</v>
      </c>
      <c r="X52" s="40">
        <v>19.14</v>
      </c>
      <c r="Y52" s="46">
        <f t="shared" si="36"/>
        <v>93.548387096774192</v>
      </c>
      <c r="Z52" s="40">
        <v>19.079999999999998</v>
      </c>
      <c r="AA52" s="46">
        <f t="shared" si="38"/>
        <v>93.255131964809365</v>
      </c>
      <c r="AB52" s="40">
        <v>19.8</v>
      </c>
      <c r="AC52" s="47">
        <f t="shared" si="37"/>
        <v>96.774193548387103</v>
      </c>
    </row>
    <row r="53" spans="8:29" s="95" customFormat="1" ht="12.75" customHeight="1" x14ac:dyDescent="0.45">
      <c r="H53" s="2" t="s">
        <v>143</v>
      </c>
      <c r="I53" s="3">
        <v>1</v>
      </c>
      <c r="J53"/>
      <c r="K53" s="367"/>
      <c r="L53" s="44" t="s">
        <v>562</v>
      </c>
      <c r="M53" s="45">
        <v>21.6</v>
      </c>
      <c r="N53" s="40">
        <v>20.47</v>
      </c>
      <c r="O53" s="66">
        <f t="shared" si="28"/>
        <v>94.768518518518505</v>
      </c>
      <c r="P53" s="40">
        <v>20.48</v>
      </c>
      <c r="Q53" s="46">
        <f t="shared" si="32"/>
        <v>94.81481481481481</v>
      </c>
      <c r="R53" s="40">
        <v>20.14</v>
      </c>
      <c r="S53" s="46">
        <f t="shared" si="33"/>
        <v>93.240740740740733</v>
      </c>
      <c r="T53" s="40">
        <v>20.28</v>
      </c>
      <c r="U53" s="46">
        <f t="shared" si="34"/>
        <v>93.888888888888886</v>
      </c>
      <c r="V53" s="40">
        <v>19.670000000000002</v>
      </c>
      <c r="W53" s="46">
        <f t="shared" si="35"/>
        <v>91.064814814814824</v>
      </c>
      <c r="X53" s="40">
        <v>20.65</v>
      </c>
      <c r="Y53" s="46">
        <f t="shared" si="36"/>
        <v>95.601851851851833</v>
      </c>
      <c r="Z53" s="40">
        <v>20.82</v>
      </c>
      <c r="AA53" s="46">
        <f t="shared" si="38"/>
        <v>96.388888888888886</v>
      </c>
      <c r="AB53" s="40">
        <v>22.09</v>
      </c>
      <c r="AC53" s="47">
        <f t="shared" si="37"/>
        <v>102.2685185185185</v>
      </c>
    </row>
    <row r="54" spans="8:29" s="95" customFormat="1" ht="12.75" customHeight="1" x14ac:dyDescent="0.45">
      <c r="H54" s="2" t="s">
        <v>47</v>
      </c>
      <c r="I54" s="3" t="s">
        <v>48</v>
      </c>
      <c r="J54"/>
      <c r="K54" s="367"/>
      <c r="L54" s="44" t="s">
        <v>563</v>
      </c>
      <c r="M54" s="45">
        <v>19.579999999999998</v>
      </c>
      <c r="N54" s="40">
        <v>18.53</v>
      </c>
      <c r="O54" s="66">
        <f t="shared" si="28"/>
        <v>94.637385086823301</v>
      </c>
      <c r="P54" s="40">
        <v>18.43</v>
      </c>
      <c r="Q54" s="46">
        <f t="shared" si="32"/>
        <v>94.126659856996937</v>
      </c>
      <c r="R54" s="40">
        <v>17.72</v>
      </c>
      <c r="S54" s="46">
        <f t="shared" si="33"/>
        <v>90.50051072522983</v>
      </c>
      <c r="T54" s="40">
        <v>18.59</v>
      </c>
      <c r="U54" s="46">
        <f t="shared" si="34"/>
        <v>94.943820224719104</v>
      </c>
      <c r="V54" s="40">
        <v>20.010000000000002</v>
      </c>
      <c r="W54" s="46">
        <f t="shared" si="35"/>
        <v>102.19611848825335</v>
      </c>
      <c r="X54" s="40">
        <v>18.809999999999999</v>
      </c>
      <c r="Y54" s="46">
        <f t="shared" si="36"/>
        <v>96.067415730337075</v>
      </c>
      <c r="Z54" s="40">
        <v>17.48</v>
      </c>
      <c r="AA54" s="46">
        <f t="shared" si="38"/>
        <v>89.274770173646587</v>
      </c>
      <c r="AB54" s="40">
        <v>17.489999999999998</v>
      </c>
      <c r="AC54" s="47">
        <f t="shared" si="37"/>
        <v>89.325842696629209</v>
      </c>
    </row>
    <row r="55" spans="8:29" s="95" customFormat="1" ht="12.75" customHeight="1" x14ac:dyDescent="0.45">
      <c r="H55" s="2" t="s">
        <v>49</v>
      </c>
      <c r="I55" s="3" t="s">
        <v>50</v>
      </c>
      <c r="J55"/>
      <c r="K55" s="367"/>
      <c r="L55" s="44" t="s">
        <v>564</v>
      </c>
      <c r="M55" s="45">
        <v>20.68</v>
      </c>
      <c r="N55" s="40">
        <v>19.7</v>
      </c>
      <c r="O55" s="66">
        <f t="shared" si="28"/>
        <v>95.261121856866538</v>
      </c>
      <c r="P55" s="40">
        <v>20.14</v>
      </c>
      <c r="Q55" s="46">
        <f t="shared" si="32"/>
        <v>97.388781431334621</v>
      </c>
      <c r="R55" s="40">
        <v>20.46</v>
      </c>
      <c r="S55" s="46">
        <f t="shared" si="33"/>
        <v>98.936170212765958</v>
      </c>
      <c r="T55" s="40">
        <v>21.17</v>
      </c>
      <c r="U55" s="46">
        <f t="shared" si="34"/>
        <v>102.36943907156675</v>
      </c>
      <c r="V55" s="40">
        <v>21.51</v>
      </c>
      <c r="W55" s="46">
        <f t="shared" si="35"/>
        <v>104.01353965183753</v>
      </c>
      <c r="X55" s="40">
        <v>20.190000000000001</v>
      </c>
      <c r="Y55" s="46">
        <f>X55/M55*100</f>
        <v>97.630560928433269</v>
      </c>
      <c r="Z55" s="40">
        <v>21.41</v>
      </c>
      <c r="AA55" s="46">
        <f t="shared" si="38"/>
        <v>103.52998065764024</v>
      </c>
      <c r="AB55" s="40">
        <v>22.08</v>
      </c>
      <c r="AC55" s="47">
        <f>AB55/M55*100</f>
        <v>106.76982591876208</v>
      </c>
    </row>
    <row r="56" spans="8:29" s="95" customFormat="1" ht="12.75" customHeight="1" x14ac:dyDescent="0.45">
      <c r="H56" s="2" t="s">
        <v>144</v>
      </c>
      <c r="I56" s="3" t="s">
        <v>52</v>
      </c>
      <c r="J56"/>
      <c r="L56" s="13"/>
      <c r="M56" s="265" t="s">
        <v>13</v>
      </c>
      <c r="N56" s="264"/>
      <c r="O56" s="264"/>
      <c r="P56" s="264"/>
      <c r="Q56" s="264"/>
      <c r="R56" s="264"/>
      <c r="S56" s="264"/>
      <c r="T56" s="264"/>
      <c r="U56" s="264"/>
      <c r="V56" s="264"/>
      <c r="W56" s="264"/>
      <c r="X56" s="264"/>
      <c r="Y56" s="264"/>
      <c r="Z56" s="264"/>
      <c r="AA56" s="264"/>
      <c r="AB56" s="264"/>
      <c r="AC56" s="264"/>
    </row>
    <row r="57" spans="8:29" s="95" customFormat="1" ht="12.75" customHeight="1" x14ac:dyDescent="0.45">
      <c r="H57" s="2"/>
      <c r="I57" s="3"/>
      <c r="J57"/>
      <c r="L57" s="264"/>
      <c r="M57" s="266" t="s">
        <v>107</v>
      </c>
      <c r="N57" s="264"/>
      <c r="O57" s="264"/>
      <c r="P57" s="264"/>
      <c r="Q57" s="264"/>
      <c r="R57" s="264"/>
      <c r="S57" s="264"/>
      <c r="T57" s="264"/>
      <c r="U57" s="264"/>
      <c r="V57" s="264"/>
      <c r="W57" s="264"/>
      <c r="X57" s="264"/>
      <c r="Y57" s="264"/>
      <c r="Z57" s="264"/>
      <c r="AA57" s="264"/>
      <c r="AB57" s="264"/>
      <c r="AC57" s="264"/>
    </row>
    <row r="58" spans="8:29" ht="12.75" customHeight="1" x14ac:dyDescent="0.45">
      <c r="H58" s="2" t="s">
        <v>205</v>
      </c>
      <c r="I58" s="3"/>
      <c r="J58"/>
    </row>
    <row r="59" spans="8:29" ht="12.75" customHeight="1" x14ac:dyDescent="0.45">
      <c r="H59" s="2" t="s">
        <v>142</v>
      </c>
      <c r="I59" s="3">
        <v>16.920000000000002</v>
      </c>
      <c r="J59"/>
    </row>
    <row r="60" spans="8:29" ht="12.75" customHeight="1" x14ac:dyDescent="0.45">
      <c r="H60" s="2" t="s">
        <v>143</v>
      </c>
      <c r="I60" s="3">
        <v>1</v>
      </c>
      <c r="J60"/>
    </row>
    <row r="61" spans="8:29" ht="12.75" customHeight="1" x14ac:dyDescent="0.45">
      <c r="H61" s="2" t="s">
        <v>47</v>
      </c>
      <c r="I61" s="3" t="s">
        <v>48</v>
      </c>
      <c r="J61"/>
    </row>
    <row r="62" spans="8:29" ht="12.75" customHeight="1" x14ac:dyDescent="0.45">
      <c r="H62" s="2" t="s">
        <v>49</v>
      </c>
      <c r="I62" s="3" t="s">
        <v>50</v>
      </c>
      <c r="J62"/>
    </row>
    <row r="63" spans="8:29" ht="12.75" customHeight="1" x14ac:dyDescent="0.45">
      <c r="H63" s="2" t="s">
        <v>144</v>
      </c>
      <c r="I63" s="3" t="s">
        <v>52</v>
      </c>
      <c r="J63"/>
    </row>
    <row r="64" spans="8:29" ht="12.75" customHeight="1" x14ac:dyDescent="0.45">
      <c r="H64" s="2"/>
      <c r="I64" s="3"/>
      <c r="J64"/>
    </row>
    <row r="65" spans="8:10" ht="12.75" customHeight="1" x14ac:dyDescent="0.45">
      <c r="H65" s="2" t="s">
        <v>206</v>
      </c>
      <c r="I65" s="3"/>
      <c r="J65"/>
    </row>
    <row r="66" spans="8:10" ht="12.75" customHeight="1" x14ac:dyDescent="0.45">
      <c r="H66" s="2" t="s">
        <v>207</v>
      </c>
      <c r="I66" s="3">
        <v>12</v>
      </c>
      <c r="J66"/>
    </row>
    <row r="67" spans="8:10" ht="12.75" customHeight="1" x14ac:dyDescent="0.45">
      <c r="H67" s="2" t="s">
        <v>1556</v>
      </c>
      <c r="I67" s="3" t="s">
        <v>293</v>
      </c>
      <c r="J67"/>
    </row>
    <row r="68" spans="8:10" ht="12.75" customHeight="1" x14ac:dyDescent="0.45">
      <c r="H68" s="2"/>
      <c r="I68" s="3"/>
      <c r="J68"/>
    </row>
    <row r="69" spans="8:10" ht="12.75" customHeight="1" x14ac:dyDescent="0.45">
      <c r="H69" s="2" t="s">
        <v>211</v>
      </c>
      <c r="I69" s="3"/>
      <c r="J69"/>
    </row>
    <row r="70" spans="8:10" ht="12.75" customHeight="1" x14ac:dyDescent="0.45">
      <c r="H70" s="2" t="s">
        <v>208</v>
      </c>
      <c r="I70" s="3">
        <v>20.94</v>
      </c>
      <c r="J70"/>
    </row>
    <row r="71" spans="8:10" ht="12.75" customHeight="1" x14ac:dyDescent="0.45">
      <c r="H71" s="2" t="s">
        <v>209</v>
      </c>
      <c r="I71" s="3" t="s">
        <v>1557</v>
      </c>
      <c r="J71"/>
    </row>
    <row r="72" spans="8:10" ht="12.75" customHeight="1" x14ac:dyDescent="0.3"/>
    <row r="73" spans="8:10" ht="12.75" customHeight="1" x14ac:dyDescent="0.3"/>
    <row r="74" spans="8:10" ht="12.75" customHeight="1" x14ac:dyDescent="0.3"/>
    <row r="75" spans="8:10" ht="12.75" customHeight="1" x14ac:dyDescent="0.3"/>
    <row r="76" spans="8:10" ht="12.75" customHeight="1" x14ac:dyDescent="0.3"/>
    <row r="77" spans="8:10" ht="12.75" customHeight="1" x14ac:dyDescent="0.3"/>
    <row r="78" spans="8:10" ht="12.75" customHeight="1" x14ac:dyDescent="0.3"/>
    <row r="79" spans="8:10" ht="12.75" customHeight="1" x14ac:dyDescent="0.3"/>
    <row r="80" spans="8:1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</sheetData>
  <mergeCells count="32">
    <mergeCell ref="AN4:AO4"/>
    <mergeCell ref="AP4:AQ4"/>
    <mergeCell ref="K50:K55"/>
    <mergeCell ref="K32:K37"/>
    <mergeCell ref="K38:K43"/>
    <mergeCell ref="K44:K49"/>
    <mergeCell ref="V30:W30"/>
    <mergeCell ref="N30:O30"/>
    <mergeCell ref="P30:Q30"/>
    <mergeCell ref="R30:S30"/>
    <mergeCell ref="T30:U30"/>
    <mergeCell ref="V4:W4"/>
    <mergeCell ref="X4:Y4"/>
    <mergeCell ref="X30:Y30"/>
    <mergeCell ref="Z30:AA30"/>
    <mergeCell ref="AB30:AC30"/>
    <mergeCell ref="AR4:AS4"/>
    <mergeCell ref="K10:K14"/>
    <mergeCell ref="K15:K19"/>
    <mergeCell ref="K20:K24"/>
    <mergeCell ref="AF4:AG4"/>
    <mergeCell ref="AH4:AI4"/>
    <mergeCell ref="AJ4:AK4"/>
    <mergeCell ref="AL4:AM4"/>
    <mergeCell ref="Z4:AA4"/>
    <mergeCell ref="AB4:AC4"/>
    <mergeCell ref="AD4:AE4"/>
    <mergeCell ref="K6:K9"/>
    <mergeCell ref="N4:O4"/>
    <mergeCell ref="P4:Q4"/>
    <mergeCell ref="R4:S4"/>
    <mergeCell ref="T4:U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58E3-4B42-41E5-B2AC-BD69E4696E0B}">
  <dimension ref="A2:N34"/>
  <sheetViews>
    <sheetView zoomScale="90" zoomScaleNormal="90" workbookViewId="0">
      <selection activeCell="I33" sqref="I33"/>
    </sheetView>
  </sheetViews>
  <sheetFormatPr defaultRowHeight="14" x14ac:dyDescent="0.3"/>
  <cols>
    <col min="1" max="1" width="9" style="25"/>
    <col min="2" max="2" width="13.25" style="25" customWidth="1"/>
    <col min="3" max="3" width="14.75" style="25" customWidth="1"/>
    <col min="4" max="4" width="15.83203125" style="25" customWidth="1"/>
    <col min="5" max="5" width="11.5" style="25" customWidth="1"/>
    <col min="6" max="6" width="13.25" style="25" customWidth="1"/>
    <col min="7" max="7" width="14" style="25" customWidth="1"/>
    <col min="8" max="8" width="9.33203125" style="25" bestFit="1" customWidth="1"/>
    <col min="9" max="9" width="9.58203125" style="25" bestFit="1" customWidth="1"/>
    <col min="10" max="10" width="7.33203125" style="25" bestFit="1" customWidth="1"/>
    <col min="11" max="11" width="8.33203125" style="25" customWidth="1"/>
    <col min="12" max="12" width="32.25" style="25" customWidth="1"/>
    <col min="13" max="13" width="17.75" style="25" bestFit="1" customWidth="1"/>
    <col min="14" max="14" width="15.5" style="25" customWidth="1"/>
    <col min="15" max="16" width="14" style="25" customWidth="1"/>
    <col min="17" max="17" width="8.25" style="25" customWidth="1"/>
    <col min="18" max="257" width="9" style="25"/>
    <col min="258" max="270" width="15.5" style="25" customWidth="1"/>
    <col min="271" max="272" width="14" style="25" customWidth="1"/>
    <col min="273" max="273" width="8.25" style="25" customWidth="1"/>
    <col min="274" max="513" width="9" style="25"/>
    <col min="514" max="526" width="15.5" style="25" customWidth="1"/>
    <col min="527" max="528" width="14" style="25" customWidth="1"/>
    <col min="529" max="529" width="8.25" style="25" customWidth="1"/>
    <col min="530" max="769" width="9" style="25"/>
    <col min="770" max="782" width="15.5" style="25" customWidth="1"/>
    <col min="783" max="784" width="14" style="25" customWidth="1"/>
    <col min="785" max="785" width="8.25" style="25" customWidth="1"/>
    <col min="786" max="1025" width="9" style="25"/>
    <col min="1026" max="1038" width="15.5" style="25" customWidth="1"/>
    <col min="1039" max="1040" width="14" style="25" customWidth="1"/>
    <col min="1041" max="1041" width="8.25" style="25" customWidth="1"/>
    <col min="1042" max="1281" width="9" style="25"/>
    <col min="1282" max="1294" width="15.5" style="25" customWidth="1"/>
    <col min="1295" max="1296" width="14" style="25" customWidth="1"/>
    <col min="1297" max="1297" width="8.25" style="25" customWidth="1"/>
    <col min="1298" max="1537" width="9" style="25"/>
    <col min="1538" max="1550" width="15.5" style="25" customWidth="1"/>
    <col min="1551" max="1552" width="14" style="25" customWidth="1"/>
    <col min="1553" max="1553" width="8.25" style="25" customWidth="1"/>
    <col min="1554" max="1793" width="9" style="25"/>
    <col min="1794" max="1806" width="15.5" style="25" customWidth="1"/>
    <col min="1807" max="1808" width="14" style="25" customWidth="1"/>
    <col min="1809" max="1809" width="8.25" style="25" customWidth="1"/>
    <col min="1810" max="2049" width="9" style="25"/>
    <col min="2050" max="2062" width="15.5" style="25" customWidth="1"/>
    <col min="2063" max="2064" width="14" style="25" customWidth="1"/>
    <col min="2065" max="2065" width="8.25" style="25" customWidth="1"/>
    <col min="2066" max="2305" width="9" style="25"/>
    <col min="2306" max="2318" width="15.5" style="25" customWidth="1"/>
    <col min="2319" max="2320" width="14" style="25" customWidth="1"/>
    <col min="2321" max="2321" width="8.25" style="25" customWidth="1"/>
    <col min="2322" max="2561" width="9" style="25"/>
    <col min="2562" max="2574" width="15.5" style="25" customWidth="1"/>
    <col min="2575" max="2576" width="14" style="25" customWidth="1"/>
    <col min="2577" max="2577" width="8.25" style="25" customWidth="1"/>
    <col min="2578" max="2817" width="9" style="25"/>
    <col min="2818" max="2830" width="15.5" style="25" customWidth="1"/>
    <col min="2831" max="2832" width="14" style="25" customWidth="1"/>
    <col min="2833" max="2833" width="8.25" style="25" customWidth="1"/>
    <col min="2834" max="3073" width="9" style="25"/>
    <col min="3074" max="3086" width="15.5" style="25" customWidth="1"/>
    <col min="3087" max="3088" width="14" style="25" customWidth="1"/>
    <col min="3089" max="3089" width="8.25" style="25" customWidth="1"/>
    <col min="3090" max="3329" width="9" style="25"/>
    <col min="3330" max="3342" width="15.5" style="25" customWidth="1"/>
    <col min="3343" max="3344" width="14" style="25" customWidth="1"/>
    <col min="3345" max="3345" width="8.25" style="25" customWidth="1"/>
    <col min="3346" max="3585" width="9" style="25"/>
    <col min="3586" max="3598" width="15.5" style="25" customWidth="1"/>
    <col min="3599" max="3600" width="14" style="25" customWidth="1"/>
    <col min="3601" max="3601" width="8.25" style="25" customWidth="1"/>
    <col min="3602" max="3841" width="9" style="25"/>
    <col min="3842" max="3854" width="15.5" style="25" customWidth="1"/>
    <col min="3855" max="3856" width="14" style="25" customWidth="1"/>
    <col min="3857" max="3857" width="8.25" style="25" customWidth="1"/>
    <col min="3858" max="4097" width="9" style="25"/>
    <col min="4098" max="4110" width="15.5" style="25" customWidth="1"/>
    <col min="4111" max="4112" width="14" style="25" customWidth="1"/>
    <col min="4113" max="4113" width="8.25" style="25" customWidth="1"/>
    <col min="4114" max="4353" width="9" style="25"/>
    <col min="4354" max="4366" width="15.5" style="25" customWidth="1"/>
    <col min="4367" max="4368" width="14" style="25" customWidth="1"/>
    <col min="4369" max="4369" width="8.25" style="25" customWidth="1"/>
    <col min="4370" max="4609" width="9" style="25"/>
    <col min="4610" max="4622" width="15.5" style="25" customWidth="1"/>
    <col min="4623" max="4624" width="14" style="25" customWidth="1"/>
    <col min="4625" max="4625" width="8.25" style="25" customWidth="1"/>
    <col min="4626" max="4865" width="9" style="25"/>
    <col min="4866" max="4878" width="15.5" style="25" customWidth="1"/>
    <col min="4879" max="4880" width="14" style="25" customWidth="1"/>
    <col min="4881" max="4881" width="8.25" style="25" customWidth="1"/>
    <col min="4882" max="5121" width="9" style="25"/>
    <col min="5122" max="5134" width="15.5" style="25" customWidth="1"/>
    <col min="5135" max="5136" width="14" style="25" customWidth="1"/>
    <col min="5137" max="5137" width="8.25" style="25" customWidth="1"/>
    <col min="5138" max="5377" width="9" style="25"/>
    <col min="5378" max="5390" width="15.5" style="25" customWidth="1"/>
    <col min="5391" max="5392" width="14" style="25" customWidth="1"/>
    <col min="5393" max="5393" width="8.25" style="25" customWidth="1"/>
    <col min="5394" max="5633" width="9" style="25"/>
    <col min="5634" max="5646" width="15.5" style="25" customWidth="1"/>
    <col min="5647" max="5648" width="14" style="25" customWidth="1"/>
    <col min="5649" max="5649" width="8.25" style="25" customWidth="1"/>
    <col min="5650" max="5889" width="9" style="25"/>
    <col min="5890" max="5902" width="15.5" style="25" customWidth="1"/>
    <col min="5903" max="5904" width="14" style="25" customWidth="1"/>
    <col min="5905" max="5905" width="8.25" style="25" customWidth="1"/>
    <col min="5906" max="6145" width="9" style="25"/>
    <col min="6146" max="6158" width="15.5" style="25" customWidth="1"/>
    <col min="6159" max="6160" width="14" style="25" customWidth="1"/>
    <col min="6161" max="6161" width="8.25" style="25" customWidth="1"/>
    <col min="6162" max="6401" width="9" style="25"/>
    <col min="6402" max="6414" width="15.5" style="25" customWidth="1"/>
    <col min="6415" max="6416" width="14" style="25" customWidth="1"/>
    <col min="6417" max="6417" width="8.25" style="25" customWidth="1"/>
    <col min="6418" max="6657" width="9" style="25"/>
    <col min="6658" max="6670" width="15.5" style="25" customWidth="1"/>
    <col min="6671" max="6672" width="14" style="25" customWidth="1"/>
    <col min="6673" max="6673" width="8.25" style="25" customWidth="1"/>
    <col min="6674" max="6913" width="9" style="25"/>
    <col min="6914" max="6926" width="15.5" style="25" customWidth="1"/>
    <col min="6927" max="6928" width="14" style="25" customWidth="1"/>
    <col min="6929" max="6929" width="8.25" style="25" customWidth="1"/>
    <col min="6930" max="7169" width="9" style="25"/>
    <col min="7170" max="7182" width="15.5" style="25" customWidth="1"/>
    <col min="7183" max="7184" width="14" style="25" customWidth="1"/>
    <col min="7185" max="7185" width="8.25" style="25" customWidth="1"/>
    <col min="7186" max="7425" width="9" style="25"/>
    <col min="7426" max="7438" width="15.5" style="25" customWidth="1"/>
    <col min="7439" max="7440" width="14" style="25" customWidth="1"/>
    <col min="7441" max="7441" width="8.25" style="25" customWidth="1"/>
    <col min="7442" max="7681" width="9" style="25"/>
    <col min="7682" max="7694" width="15.5" style="25" customWidth="1"/>
    <col min="7695" max="7696" width="14" style="25" customWidth="1"/>
    <col min="7697" max="7697" width="8.25" style="25" customWidth="1"/>
    <col min="7698" max="7937" width="9" style="25"/>
    <col min="7938" max="7950" width="15.5" style="25" customWidth="1"/>
    <col min="7951" max="7952" width="14" style="25" customWidth="1"/>
    <col min="7953" max="7953" width="8.25" style="25" customWidth="1"/>
    <col min="7954" max="8193" width="9" style="25"/>
    <col min="8194" max="8206" width="15.5" style="25" customWidth="1"/>
    <col min="8207" max="8208" width="14" style="25" customWidth="1"/>
    <col min="8209" max="8209" width="8.25" style="25" customWidth="1"/>
    <col min="8210" max="8449" width="9" style="25"/>
    <col min="8450" max="8462" width="15.5" style="25" customWidth="1"/>
    <col min="8463" max="8464" width="14" style="25" customWidth="1"/>
    <col min="8465" max="8465" width="8.25" style="25" customWidth="1"/>
    <col min="8466" max="8705" width="9" style="25"/>
    <col min="8706" max="8718" width="15.5" style="25" customWidth="1"/>
    <col min="8719" max="8720" width="14" style="25" customWidth="1"/>
    <col min="8721" max="8721" width="8.25" style="25" customWidth="1"/>
    <col min="8722" max="8961" width="9" style="25"/>
    <col min="8962" max="8974" width="15.5" style="25" customWidth="1"/>
    <col min="8975" max="8976" width="14" style="25" customWidth="1"/>
    <col min="8977" max="8977" width="8.25" style="25" customWidth="1"/>
    <col min="8978" max="9217" width="9" style="25"/>
    <col min="9218" max="9230" width="15.5" style="25" customWidth="1"/>
    <col min="9231" max="9232" width="14" style="25" customWidth="1"/>
    <col min="9233" max="9233" width="8.25" style="25" customWidth="1"/>
    <col min="9234" max="9473" width="9" style="25"/>
    <col min="9474" max="9486" width="15.5" style="25" customWidth="1"/>
    <col min="9487" max="9488" width="14" style="25" customWidth="1"/>
    <col min="9489" max="9489" width="8.25" style="25" customWidth="1"/>
    <col min="9490" max="9729" width="9" style="25"/>
    <col min="9730" max="9742" width="15.5" style="25" customWidth="1"/>
    <col min="9743" max="9744" width="14" style="25" customWidth="1"/>
    <col min="9745" max="9745" width="8.25" style="25" customWidth="1"/>
    <col min="9746" max="9985" width="9" style="25"/>
    <col min="9986" max="9998" width="15.5" style="25" customWidth="1"/>
    <col min="9999" max="10000" width="14" style="25" customWidth="1"/>
    <col min="10001" max="10001" width="8.25" style="25" customWidth="1"/>
    <col min="10002" max="10241" width="9" style="25"/>
    <col min="10242" max="10254" width="15.5" style="25" customWidth="1"/>
    <col min="10255" max="10256" width="14" style="25" customWidth="1"/>
    <col min="10257" max="10257" width="8.25" style="25" customWidth="1"/>
    <col min="10258" max="10497" width="9" style="25"/>
    <col min="10498" max="10510" width="15.5" style="25" customWidth="1"/>
    <col min="10511" max="10512" width="14" style="25" customWidth="1"/>
    <col min="10513" max="10513" width="8.25" style="25" customWidth="1"/>
    <col min="10514" max="10753" width="9" style="25"/>
    <col min="10754" max="10766" width="15.5" style="25" customWidth="1"/>
    <col min="10767" max="10768" width="14" style="25" customWidth="1"/>
    <col min="10769" max="10769" width="8.25" style="25" customWidth="1"/>
    <col min="10770" max="11009" width="9" style="25"/>
    <col min="11010" max="11022" width="15.5" style="25" customWidth="1"/>
    <col min="11023" max="11024" width="14" style="25" customWidth="1"/>
    <col min="11025" max="11025" width="8.25" style="25" customWidth="1"/>
    <col min="11026" max="11265" width="9" style="25"/>
    <col min="11266" max="11278" width="15.5" style="25" customWidth="1"/>
    <col min="11279" max="11280" width="14" style="25" customWidth="1"/>
    <col min="11281" max="11281" width="8.25" style="25" customWidth="1"/>
    <col min="11282" max="11521" width="9" style="25"/>
    <col min="11522" max="11534" width="15.5" style="25" customWidth="1"/>
    <col min="11535" max="11536" width="14" style="25" customWidth="1"/>
    <col min="11537" max="11537" width="8.25" style="25" customWidth="1"/>
    <col min="11538" max="11777" width="9" style="25"/>
    <col min="11778" max="11790" width="15.5" style="25" customWidth="1"/>
    <col min="11791" max="11792" width="14" style="25" customWidth="1"/>
    <col min="11793" max="11793" width="8.25" style="25" customWidth="1"/>
    <col min="11794" max="12033" width="9" style="25"/>
    <col min="12034" max="12046" width="15.5" style="25" customWidth="1"/>
    <col min="12047" max="12048" width="14" style="25" customWidth="1"/>
    <col min="12049" max="12049" width="8.25" style="25" customWidth="1"/>
    <col min="12050" max="12289" width="9" style="25"/>
    <col min="12290" max="12302" width="15.5" style="25" customWidth="1"/>
    <col min="12303" max="12304" width="14" style="25" customWidth="1"/>
    <col min="12305" max="12305" width="8.25" style="25" customWidth="1"/>
    <col min="12306" max="12545" width="9" style="25"/>
    <col min="12546" max="12558" width="15.5" style="25" customWidth="1"/>
    <col min="12559" max="12560" width="14" style="25" customWidth="1"/>
    <col min="12561" max="12561" width="8.25" style="25" customWidth="1"/>
    <col min="12562" max="12801" width="9" style="25"/>
    <col min="12802" max="12814" width="15.5" style="25" customWidth="1"/>
    <col min="12815" max="12816" width="14" style="25" customWidth="1"/>
    <col min="12817" max="12817" width="8.25" style="25" customWidth="1"/>
    <col min="12818" max="13057" width="9" style="25"/>
    <col min="13058" max="13070" width="15.5" style="25" customWidth="1"/>
    <col min="13071" max="13072" width="14" style="25" customWidth="1"/>
    <col min="13073" max="13073" width="8.25" style="25" customWidth="1"/>
    <col min="13074" max="13313" width="9" style="25"/>
    <col min="13314" max="13326" width="15.5" style="25" customWidth="1"/>
    <col min="13327" max="13328" width="14" style="25" customWidth="1"/>
    <col min="13329" max="13329" width="8.25" style="25" customWidth="1"/>
    <col min="13330" max="13569" width="9" style="25"/>
    <col min="13570" max="13582" width="15.5" style="25" customWidth="1"/>
    <col min="13583" max="13584" width="14" style="25" customWidth="1"/>
    <col min="13585" max="13585" width="8.25" style="25" customWidth="1"/>
    <col min="13586" max="13825" width="9" style="25"/>
    <col min="13826" max="13838" width="15.5" style="25" customWidth="1"/>
    <col min="13839" max="13840" width="14" style="25" customWidth="1"/>
    <col min="13841" max="13841" width="8.25" style="25" customWidth="1"/>
    <col min="13842" max="14081" width="9" style="25"/>
    <col min="14082" max="14094" width="15.5" style="25" customWidth="1"/>
    <col min="14095" max="14096" width="14" style="25" customWidth="1"/>
    <col min="14097" max="14097" width="8.25" style="25" customWidth="1"/>
    <col min="14098" max="14337" width="9" style="25"/>
    <col min="14338" max="14350" width="15.5" style="25" customWidth="1"/>
    <col min="14351" max="14352" width="14" style="25" customWidth="1"/>
    <col min="14353" max="14353" width="8.25" style="25" customWidth="1"/>
    <col min="14354" max="14593" width="9" style="25"/>
    <col min="14594" max="14606" width="15.5" style="25" customWidth="1"/>
    <col min="14607" max="14608" width="14" style="25" customWidth="1"/>
    <col min="14609" max="14609" width="8.25" style="25" customWidth="1"/>
    <col min="14610" max="14849" width="9" style="25"/>
    <col min="14850" max="14862" width="15.5" style="25" customWidth="1"/>
    <col min="14863" max="14864" width="14" style="25" customWidth="1"/>
    <col min="14865" max="14865" width="8.25" style="25" customWidth="1"/>
    <col min="14866" max="15105" width="9" style="25"/>
    <col min="15106" max="15118" width="15.5" style="25" customWidth="1"/>
    <col min="15119" max="15120" width="14" style="25" customWidth="1"/>
    <col min="15121" max="15121" width="8.25" style="25" customWidth="1"/>
    <col min="15122" max="15361" width="9" style="25"/>
    <col min="15362" max="15374" width="15.5" style="25" customWidth="1"/>
    <col min="15375" max="15376" width="14" style="25" customWidth="1"/>
    <col min="15377" max="15377" width="8.25" style="25" customWidth="1"/>
    <col min="15378" max="15617" width="9" style="25"/>
    <col min="15618" max="15630" width="15.5" style="25" customWidth="1"/>
    <col min="15631" max="15632" width="14" style="25" customWidth="1"/>
    <col min="15633" max="15633" width="8.25" style="25" customWidth="1"/>
    <col min="15634" max="15873" width="9" style="25"/>
    <col min="15874" max="15886" width="15.5" style="25" customWidth="1"/>
    <col min="15887" max="15888" width="14" style="25" customWidth="1"/>
    <col min="15889" max="15889" width="8.25" style="25" customWidth="1"/>
    <col min="15890" max="16129" width="9" style="25"/>
    <col min="16130" max="16142" width="15.5" style="25" customWidth="1"/>
    <col min="16143" max="16144" width="14" style="25" customWidth="1"/>
    <col min="16145" max="16145" width="8.25" style="25" customWidth="1"/>
    <col min="16146" max="16384" width="9" style="25"/>
  </cols>
  <sheetData>
    <row r="2" spans="1:13" s="95" customFormat="1" ht="13" x14ac:dyDescent="0.25">
      <c r="B2" s="100" t="s">
        <v>39</v>
      </c>
      <c r="C2" s="101"/>
      <c r="D2" s="101"/>
    </row>
    <row r="3" spans="1:13" s="101" customFormat="1" ht="13" x14ac:dyDescent="0.45">
      <c r="A3" s="13"/>
    </row>
    <row r="4" spans="1:13" s="95" customFormat="1" ht="13" x14ac:dyDescent="0.3">
      <c r="B4" s="103" t="s">
        <v>21</v>
      </c>
      <c r="J4" s="26"/>
      <c r="L4" s="103" t="s">
        <v>71</v>
      </c>
    </row>
    <row r="5" spans="1:13" s="95" customFormat="1" ht="12.5" x14ac:dyDescent="0.25"/>
    <row r="6" spans="1:13" s="95" customFormat="1" ht="12.5" x14ac:dyDescent="0.25">
      <c r="B6" s="3"/>
      <c r="C6" s="27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L6" s="2" t="s">
        <v>41</v>
      </c>
      <c r="M6" s="3" t="s">
        <v>42</v>
      </c>
    </row>
    <row r="7" spans="1:13" s="95" customFormat="1" ht="13" x14ac:dyDescent="0.3">
      <c r="B7" s="6" t="s">
        <v>30</v>
      </c>
      <c r="C7" s="67">
        <v>1.101</v>
      </c>
      <c r="D7" s="67">
        <v>0.68600000000000005</v>
      </c>
      <c r="E7" s="67">
        <v>0.40799999999999997</v>
      </c>
      <c r="F7" s="67">
        <v>0.23899999999999999</v>
      </c>
      <c r="G7" s="67">
        <v>0.14499999999999999</v>
      </c>
      <c r="H7" s="67">
        <v>9.6000000000000002E-2</v>
      </c>
      <c r="I7" s="67">
        <v>8.6999999999999994E-2</v>
      </c>
      <c r="J7" s="67">
        <v>6.0999999999999999E-2</v>
      </c>
      <c r="L7" s="7" t="s">
        <v>43</v>
      </c>
      <c r="M7" s="8" t="s">
        <v>137</v>
      </c>
    </row>
    <row r="8" spans="1:13" s="95" customFormat="1" ht="13" x14ac:dyDescent="0.3">
      <c r="B8" s="6" t="s">
        <v>31</v>
      </c>
      <c r="C8" s="67">
        <v>1.1619999999999999</v>
      </c>
      <c r="D8" s="67">
        <v>0.755</v>
      </c>
      <c r="E8" s="67">
        <v>0.41799999999999998</v>
      </c>
      <c r="F8" s="67">
        <v>0.217</v>
      </c>
      <c r="G8" s="67">
        <v>0.14099999999999999</v>
      </c>
      <c r="H8" s="67">
        <v>9.6000000000000002E-2</v>
      </c>
      <c r="I8" s="67">
        <v>7.6999999999999999E-2</v>
      </c>
      <c r="J8" s="67">
        <v>6.5000000000000002E-2</v>
      </c>
      <c r="L8" s="7" t="s">
        <v>44</v>
      </c>
      <c r="M8" s="8" t="s">
        <v>44</v>
      </c>
    </row>
    <row r="9" spans="1:13" s="95" customFormat="1" ht="13" x14ac:dyDescent="0.3">
      <c r="B9" s="26"/>
      <c r="L9" s="7" t="s">
        <v>45</v>
      </c>
      <c r="M9" s="8" t="s">
        <v>139</v>
      </c>
    </row>
    <row r="10" spans="1:13" s="95" customFormat="1" ht="13" x14ac:dyDescent="0.3">
      <c r="B10" s="26"/>
      <c r="D10" s="124" t="s">
        <v>32</v>
      </c>
      <c r="E10" s="125"/>
      <c r="F10" s="125"/>
      <c r="G10" s="125"/>
      <c r="H10" s="125"/>
      <c r="L10" s="2"/>
      <c r="M10" s="3"/>
    </row>
    <row r="11" spans="1:13" s="95" customFormat="1" ht="13" x14ac:dyDescent="0.3">
      <c r="B11" s="26"/>
      <c r="D11" s="128"/>
      <c r="L11" s="2" t="s">
        <v>46</v>
      </c>
      <c r="M11" s="3"/>
    </row>
    <row r="12" spans="1:13" s="95" customFormat="1" ht="13" x14ac:dyDescent="0.3">
      <c r="B12" s="129" t="s">
        <v>40</v>
      </c>
      <c r="C12" s="103"/>
      <c r="D12" s="128"/>
      <c r="L12" s="7" t="s">
        <v>47</v>
      </c>
      <c r="M12" s="8" t="s">
        <v>48</v>
      </c>
    </row>
    <row r="13" spans="1:13" s="95" customFormat="1" ht="13" x14ac:dyDescent="0.3">
      <c r="B13" s="130">
        <v>1</v>
      </c>
      <c r="C13" s="130">
        <v>2</v>
      </c>
      <c r="D13" s="130">
        <v>3</v>
      </c>
      <c r="L13" s="7" t="s">
        <v>49</v>
      </c>
      <c r="M13" s="8" t="s">
        <v>50</v>
      </c>
    </row>
    <row r="14" spans="1:13" s="95" customFormat="1" ht="13" x14ac:dyDescent="0.3">
      <c r="B14" s="131" t="s">
        <v>35</v>
      </c>
      <c r="C14" s="131" t="s">
        <v>35</v>
      </c>
      <c r="D14" s="131" t="s">
        <v>35</v>
      </c>
      <c r="L14" s="2" t="s">
        <v>51</v>
      </c>
      <c r="M14" s="3" t="s">
        <v>52</v>
      </c>
    </row>
    <row r="15" spans="1:13" s="95" customFormat="1" ht="13" x14ac:dyDescent="0.3">
      <c r="B15" s="28"/>
      <c r="C15" s="28"/>
      <c r="D15" s="28"/>
      <c r="L15" s="2" t="s">
        <v>53</v>
      </c>
      <c r="M15" s="3" t="s">
        <v>54</v>
      </c>
    </row>
    <row r="16" spans="1:13" s="95" customFormat="1" ht="13" x14ac:dyDescent="0.3">
      <c r="B16" s="184" t="s">
        <v>36</v>
      </c>
      <c r="C16" s="135" t="s">
        <v>37</v>
      </c>
      <c r="D16" s="135" t="s">
        <v>37</v>
      </c>
      <c r="L16" s="2" t="s">
        <v>55</v>
      </c>
      <c r="M16" s="3" t="s">
        <v>56</v>
      </c>
    </row>
    <row r="17" spans="2:14" s="95" customFormat="1" ht="13" x14ac:dyDescent="0.25">
      <c r="B17" s="312">
        <v>7.0000000000000007E-2</v>
      </c>
      <c r="C17" s="144">
        <v>1.0309999999999999</v>
      </c>
      <c r="D17" s="313">
        <v>0.35399999999999998</v>
      </c>
      <c r="E17" s="145"/>
      <c r="F17" s="314"/>
      <c r="G17" s="146"/>
      <c r="L17" s="2"/>
      <c r="M17" s="3"/>
    </row>
    <row r="18" spans="2:14" s="95" customFormat="1" ht="13" x14ac:dyDescent="0.3">
      <c r="B18" s="312">
        <v>7.2999999999999995E-2</v>
      </c>
      <c r="C18" s="144">
        <v>1.044</v>
      </c>
      <c r="D18" s="313">
        <v>0.35499999999999998</v>
      </c>
      <c r="E18" s="148" t="s">
        <v>38</v>
      </c>
      <c r="F18" s="315" t="s">
        <v>34</v>
      </c>
      <c r="G18" s="149" t="s">
        <v>33</v>
      </c>
      <c r="L18" s="2" t="s">
        <v>57</v>
      </c>
      <c r="M18" s="3"/>
    </row>
    <row r="19" spans="2:14" s="95" customFormat="1" ht="13" x14ac:dyDescent="0.25">
      <c r="B19" s="312">
        <v>7.2999999999999995E-2</v>
      </c>
      <c r="C19" s="144">
        <v>1.0269999999999999</v>
      </c>
      <c r="D19" s="313">
        <v>0.372</v>
      </c>
      <c r="E19" s="151"/>
      <c r="F19" s="316"/>
      <c r="G19" s="152"/>
      <c r="L19" s="2" t="s">
        <v>58</v>
      </c>
      <c r="M19" s="3" t="s">
        <v>59</v>
      </c>
    </row>
    <row r="20" spans="2:14" s="95" customFormat="1" ht="12.5" x14ac:dyDescent="0.25">
      <c r="B20" s="101"/>
      <c r="C20" s="101"/>
      <c r="D20" s="101"/>
      <c r="L20" s="2" t="s">
        <v>60</v>
      </c>
      <c r="M20" s="3" t="s">
        <v>61</v>
      </c>
    </row>
    <row r="21" spans="2:14" s="95" customFormat="1" ht="12.5" x14ac:dyDescent="0.25">
      <c r="L21" s="2" t="s">
        <v>62</v>
      </c>
      <c r="M21" s="3" t="s">
        <v>63</v>
      </c>
    </row>
    <row r="22" spans="2:14" s="95" customFormat="1" ht="13" x14ac:dyDescent="0.3">
      <c r="B22" s="129" t="s">
        <v>855</v>
      </c>
      <c r="C22" s="103"/>
      <c r="D22" s="128"/>
      <c r="L22" s="2" t="s">
        <v>64</v>
      </c>
      <c r="M22" s="3" t="s">
        <v>65</v>
      </c>
    </row>
    <row r="23" spans="2:14" s="95" customFormat="1" ht="13" x14ac:dyDescent="0.3">
      <c r="B23" s="130">
        <v>1</v>
      </c>
      <c r="C23" s="130">
        <v>2</v>
      </c>
      <c r="D23" s="130">
        <v>3</v>
      </c>
      <c r="L23" s="2" t="s">
        <v>66</v>
      </c>
      <c r="M23" s="3">
        <v>0.99850000000000005</v>
      </c>
    </row>
    <row r="24" spans="2:14" s="95" customFormat="1" ht="13" x14ac:dyDescent="0.3">
      <c r="B24" s="131" t="s">
        <v>35</v>
      </c>
      <c r="C24" s="131" t="s">
        <v>35</v>
      </c>
      <c r="D24" s="131" t="s">
        <v>35</v>
      </c>
      <c r="L24" s="2"/>
      <c r="M24" s="3"/>
    </row>
    <row r="25" spans="2:14" s="95" customFormat="1" ht="13" x14ac:dyDescent="0.3">
      <c r="B25" s="28"/>
      <c r="C25" s="28"/>
      <c r="D25" s="28"/>
      <c r="L25" s="2" t="s">
        <v>67</v>
      </c>
      <c r="M25" s="3"/>
    </row>
    <row r="26" spans="2:14" s="95" customFormat="1" ht="13" x14ac:dyDescent="0.3">
      <c r="B26" s="184" t="s">
        <v>36</v>
      </c>
      <c r="C26" s="135" t="s">
        <v>37</v>
      </c>
      <c r="D26" s="135" t="s">
        <v>37</v>
      </c>
      <c r="L26" s="2" t="s">
        <v>68</v>
      </c>
      <c r="M26" s="3" t="s">
        <v>69</v>
      </c>
    </row>
    <row r="27" spans="2:14" s="1" customFormat="1" ht="13" x14ac:dyDescent="0.25">
      <c r="B27" s="42">
        <f>(B17-0.061862)/0.000333*3</f>
        <v>73.315315315315374</v>
      </c>
      <c r="C27" s="180">
        <f>(C17-0.061862)/0.000333*48</f>
        <v>139695.56756756757</v>
      </c>
      <c r="D27" s="42">
        <f>(D17-0.061862)/0.000333*192</f>
        <v>168439.92792792793</v>
      </c>
      <c r="L27" s="2" t="s">
        <v>47</v>
      </c>
      <c r="M27" s="3" t="s">
        <v>48</v>
      </c>
      <c r="N27" s="95"/>
    </row>
    <row r="28" spans="2:14" s="1" customFormat="1" ht="13" x14ac:dyDescent="0.25">
      <c r="B28" s="42">
        <f>(B18-0.061862)/0.000333*3</f>
        <v>100.34234234234229</v>
      </c>
      <c r="C28" s="180">
        <f>(C18-0.061862)/0.000333*48</f>
        <v>141569.44144144145</v>
      </c>
      <c r="D28" s="42">
        <f>(D18-0.061862)/0.000333*192</f>
        <v>169016.5045045045</v>
      </c>
      <c r="L28" s="2" t="s">
        <v>49</v>
      </c>
      <c r="M28" s="3" t="s">
        <v>50</v>
      </c>
      <c r="N28" s="95"/>
    </row>
    <row r="29" spans="2:14" s="1" customFormat="1" ht="13" x14ac:dyDescent="0.25">
      <c r="B29" s="42">
        <f>(B19-0.061862)/0.000333*3</f>
        <v>100.34234234234229</v>
      </c>
      <c r="C29" s="180">
        <f>(C19-0.061862)/0.000333*48</f>
        <v>139118.99099099098</v>
      </c>
      <c r="D29" s="42">
        <f>(D19-0.061862)/0.000333*192</f>
        <v>178818.3063063063</v>
      </c>
      <c r="L29" s="2" t="s">
        <v>70</v>
      </c>
      <c r="M29" s="3" t="s">
        <v>52</v>
      </c>
      <c r="N29" s="95"/>
    </row>
    <row r="30" spans="2:14" s="95" customFormat="1" ht="12.5" x14ac:dyDescent="0.25"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</row>
    <row r="31" spans="2:14" s="95" customFormat="1" ht="12.5" x14ac:dyDescent="0.25"/>
    <row r="32" spans="2:14" s="95" customFormat="1" ht="12.5" x14ac:dyDescent="0.25"/>
    <row r="33" s="95" customFormat="1" ht="12.5" x14ac:dyDescent="0.25"/>
    <row r="34" s="95" customFormat="1" ht="12.5" x14ac:dyDescent="0.25"/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1837-3F7D-402F-A946-4C04DFD7456E}">
  <dimension ref="B2:I49"/>
  <sheetViews>
    <sheetView zoomScale="90" zoomScaleNormal="90" workbookViewId="0">
      <selection activeCell="O18" sqref="O18"/>
    </sheetView>
  </sheetViews>
  <sheetFormatPr defaultColWidth="9" defaultRowHeight="14" x14ac:dyDescent="0.45"/>
  <cols>
    <col min="1" max="1" width="9" style="14"/>
    <col min="2" max="2" width="9" style="13"/>
    <col min="3" max="3" width="13.75" style="23" customWidth="1"/>
    <col min="4" max="4" width="9" style="14"/>
    <col min="5" max="5" width="11.08203125" style="14" bestFit="1" customWidth="1"/>
    <col min="6" max="6" width="18.83203125" style="14" customWidth="1"/>
    <col min="7" max="7" width="25.25" style="14" customWidth="1"/>
    <col min="8" max="8" width="11.5" style="14" customWidth="1"/>
    <col min="9" max="9" width="10.5" style="14" bestFit="1" customWidth="1"/>
    <col min="10" max="16384" width="9" style="14"/>
  </cols>
  <sheetData>
    <row r="2" spans="2:9" s="101" customFormat="1" ht="13" x14ac:dyDescent="0.45">
      <c r="B2" s="13"/>
      <c r="C2" s="100" t="s">
        <v>17</v>
      </c>
    </row>
    <row r="3" spans="2:9" s="101" customFormat="1" ht="13" x14ac:dyDescent="0.45">
      <c r="B3" s="13"/>
      <c r="C3" s="13"/>
    </row>
    <row r="4" spans="2:9" s="102" customFormat="1" ht="13" x14ac:dyDescent="0.45">
      <c r="B4" s="15"/>
      <c r="C4" s="17"/>
      <c r="D4" s="16" t="s">
        <v>2</v>
      </c>
      <c r="E4" s="17" t="s">
        <v>3</v>
      </c>
      <c r="F4" s="16" t="s">
        <v>4</v>
      </c>
      <c r="G4" s="17" t="s">
        <v>854</v>
      </c>
      <c r="H4" s="16" t="s">
        <v>5</v>
      </c>
      <c r="I4" s="17" t="s">
        <v>6</v>
      </c>
    </row>
    <row r="5" spans="2:9" s="102" customFormat="1" ht="13" x14ac:dyDescent="0.45">
      <c r="B5" s="18"/>
      <c r="C5" s="20"/>
      <c r="D5" s="19"/>
      <c r="E5" s="20"/>
      <c r="F5" s="19"/>
      <c r="G5" s="20" t="s">
        <v>797</v>
      </c>
      <c r="H5" s="104"/>
      <c r="I5" s="20"/>
    </row>
    <row r="6" spans="2:9" s="101" customFormat="1" ht="13" x14ac:dyDescent="0.45">
      <c r="B6" s="15" t="s">
        <v>7</v>
      </c>
      <c r="C6" s="17" t="s">
        <v>8</v>
      </c>
      <c r="D6" s="155" t="s">
        <v>9</v>
      </c>
      <c r="E6" s="156">
        <v>2007</v>
      </c>
      <c r="F6" s="106">
        <v>17030</v>
      </c>
      <c r="G6" s="108">
        <f>10000*F6/E6</f>
        <v>84853.014449427006</v>
      </c>
      <c r="H6" s="229">
        <f>G6/84853*100</f>
        <v>100.00001702877566</v>
      </c>
      <c r="I6" s="156">
        <v>0</v>
      </c>
    </row>
    <row r="7" spans="2:9" s="101" customFormat="1" ht="13" x14ac:dyDescent="0.45">
      <c r="B7" s="351" t="s">
        <v>10</v>
      </c>
      <c r="C7" s="309"/>
      <c r="D7" s="161" t="s">
        <v>11</v>
      </c>
      <c r="E7" s="162">
        <v>2011</v>
      </c>
      <c r="F7" s="101">
        <v>16592</v>
      </c>
      <c r="G7" s="114">
        <f t="shared" ref="G7:G13" si="0">10000*F7/E7</f>
        <v>82506.21581302835</v>
      </c>
      <c r="H7" s="231">
        <f t="shared" ref="H7:H9" si="1">G7/84853*100</f>
        <v>97.234294383260874</v>
      </c>
      <c r="I7" s="162">
        <v>3</v>
      </c>
    </row>
    <row r="8" spans="2:9" s="101" customFormat="1" ht="13" x14ac:dyDescent="0.45">
      <c r="B8" s="351"/>
      <c r="C8" s="68"/>
      <c r="D8" s="161" t="s">
        <v>12</v>
      </c>
      <c r="E8" s="162">
        <v>2008</v>
      </c>
      <c r="F8" s="101">
        <v>17155</v>
      </c>
      <c r="G8" s="114">
        <f t="shared" si="0"/>
        <v>85433.266932270912</v>
      </c>
      <c r="H8" s="231">
        <f t="shared" si="1"/>
        <v>100.68384963674933</v>
      </c>
      <c r="I8" s="162">
        <v>0</v>
      </c>
    </row>
    <row r="9" spans="2:9" s="101" customFormat="1" ht="13" x14ac:dyDescent="0.45">
      <c r="B9" s="18" t="s">
        <v>13</v>
      </c>
      <c r="C9" s="271" t="s">
        <v>568</v>
      </c>
      <c r="D9" s="164" t="s">
        <v>14</v>
      </c>
      <c r="E9" s="165">
        <v>2002</v>
      </c>
      <c r="F9" s="137">
        <v>14862</v>
      </c>
      <c r="G9" s="139">
        <f t="shared" si="0"/>
        <v>74235.764235764233</v>
      </c>
      <c r="H9" s="234">
        <f t="shared" si="1"/>
        <v>87.487495121874574</v>
      </c>
      <c r="I9" s="165">
        <v>13</v>
      </c>
    </row>
    <row r="10" spans="2:9" s="101" customFormat="1" ht="13" x14ac:dyDescent="0.45">
      <c r="B10" s="15" t="s">
        <v>7</v>
      </c>
      <c r="C10" s="17" t="s">
        <v>8</v>
      </c>
      <c r="D10" s="155" t="s">
        <v>9</v>
      </c>
      <c r="E10" s="107">
        <v>1527</v>
      </c>
      <c r="F10" s="156">
        <v>11141</v>
      </c>
      <c r="G10" s="109">
        <f t="shared" si="0"/>
        <v>72960.052390307799</v>
      </c>
      <c r="H10" s="109">
        <f>G10/72960*100</f>
        <v>100.00007180689117</v>
      </c>
      <c r="I10" s="157">
        <v>0</v>
      </c>
    </row>
    <row r="11" spans="2:9" s="101" customFormat="1" ht="12.5" x14ac:dyDescent="0.45">
      <c r="B11" s="351" t="s">
        <v>10</v>
      </c>
      <c r="C11" s="368" t="s">
        <v>569</v>
      </c>
      <c r="D11" s="161" t="s">
        <v>11</v>
      </c>
      <c r="E11" s="113">
        <v>1528</v>
      </c>
      <c r="F11" s="162">
        <v>7403</v>
      </c>
      <c r="G11" s="115">
        <f t="shared" si="0"/>
        <v>48448.952879581149</v>
      </c>
      <c r="H11" s="115">
        <f t="shared" ref="H11:H13" si="2">G11/72960*100</f>
        <v>66.404814802057501</v>
      </c>
      <c r="I11" s="163">
        <v>34</v>
      </c>
    </row>
    <row r="12" spans="2:9" s="101" customFormat="1" ht="12.5" x14ac:dyDescent="0.45">
      <c r="B12" s="351"/>
      <c r="C12" s="368"/>
      <c r="D12" s="161" t="s">
        <v>12</v>
      </c>
      <c r="E12" s="113">
        <v>1501</v>
      </c>
      <c r="F12" s="162">
        <v>1966</v>
      </c>
      <c r="G12" s="115">
        <f t="shared" si="0"/>
        <v>13097.934710193205</v>
      </c>
      <c r="H12" s="115">
        <f t="shared" si="2"/>
        <v>17.952213144453406</v>
      </c>
      <c r="I12" s="163">
        <v>82</v>
      </c>
    </row>
    <row r="13" spans="2:9" s="101" customFormat="1" ht="13" x14ac:dyDescent="0.45">
      <c r="B13" s="18" t="s">
        <v>13</v>
      </c>
      <c r="C13" s="271" t="s">
        <v>568</v>
      </c>
      <c r="D13" s="164" t="s">
        <v>14</v>
      </c>
      <c r="E13" s="138">
        <v>1499</v>
      </c>
      <c r="F13" s="165">
        <v>2082</v>
      </c>
      <c r="G13" s="140">
        <f t="shared" si="0"/>
        <v>13889.259506337557</v>
      </c>
      <c r="H13" s="140">
        <f t="shared" si="2"/>
        <v>19.036814016361784</v>
      </c>
      <c r="I13" s="166">
        <v>81</v>
      </c>
    </row>
    <row r="14" spans="2:9" s="101" customFormat="1" ht="13" x14ac:dyDescent="0.45">
      <c r="B14" s="13"/>
      <c r="C14" s="13"/>
      <c r="D14" s="102"/>
    </row>
    <row r="15" spans="2:9" s="101" customFormat="1" ht="13" x14ac:dyDescent="0.45">
      <c r="B15" s="13"/>
      <c r="C15" s="13"/>
      <c r="G15" s="24" t="s">
        <v>15</v>
      </c>
    </row>
    <row r="16" spans="2:9" s="101" customFormat="1" ht="13" x14ac:dyDescent="0.45">
      <c r="B16" s="13"/>
      <c r="C16" s="13"/>
      <c r="G16" s="24"/>
    </row>
    <row r="17" spans="2:9" s="101" customFormat="1" ht="13" x14ac:dyDescent="0.45">
      <c r="B17" s="13"/>
      <c r="C17" s="13" t="s">
        <v>20</v>
      </c>
    </row>
    <row r="18" spans="2:9" s="101" customFormat="1" ht="13" x14ac:dyDescent="0.45">
      <c r="H18" s="24"/>
    </row>
    <row r="19" spans="2:9" s="101" customFormat="1" ht="13" x14ac:dyDescent="0.45">
      <c r="B19" s="15"/>
      <c r="C19" s="17"/>
      <c r="D19" s="16" t="s">
        <v>2</v>
      </c>
      <c r="E19" s="17" t="s">
        <v>3</v>
      </c>
      <c r="F19" s="16" t="s">
        <v>4</v>
      </c>
      <c r="G19" s="17" t="s">
        <v>854</v>
      </c>
      <c r="H19" s="16" t="s">
        <v>5</v>
      </c>
      <c r="I19" s="17" t="s">
        <v>6</v>
      </c>
    </row>
    <row r="20" spans="2:9" s="101" customFormat="1" ht="13" x14ac:dyDescent="0.45">
      <c r="B20" s="18"/>
      <c r="C20" s="20"/>
      <c r="D20" s="19"/>
      <c r="E20" s="20"/>
      <c r="F20" s="19"/>
      <c r="G20" s="20" t="s">
        <v>797</v>
      </c>
      <c r="H20" s="104"/>
      <c r="I20" s="20"/>
    </row>
    <row r="21" spans="2:9" s="101" customFormat="1" ht="13" x14ac:dyDescent="0.45">
      <c r="B21" s="15" t="s">
        <v>7</v>
      </c>
      <c r="C21" s="17" t="s">
        <v>8</v>
      </c>
      <c r="D21" s="155" t="s">
        <v>9</v>
      </c>
      <c r="E21" s="107">
        <v>1999</v>
      </c>
      <c r="F21" s="156">
        <v>8162</v>
      </c>
      <c r="G21" s="229">
        <f t="shared" ref="G21:G28" si="3">10000*F21/E21</f>
        <v>40830.415207603801</v>
      </c>
      <c r="H21" s="108">
        <f>G21/40830*100</f>
        <v>100.00101691796179</v>
      </c>
      <c r="I21" s="157">
        <v>0</v>
      </c>
    </row>
    <row r="22" spans="2:9" s="101" customFormat="1" ht="13" x14ac:dyDescent="0.45">
      <c r="B22" s="351" t="s">
        <v>10</v>
      </c>
      <c r="C22" s="309"/>
      <c r="D22" s="161" t="s">
        <v>11</v>
      </c>
      <c r="E22" s="113">
        <v>1998</v>
      </c>
      <c r="F22" s="162">
        <v>8150</v>
      </c>
      <c r="G22" s="231">
        <f t="shared" si="3"/>
        <v>40790.790790790794</v>
      </c>
      <c r="H22" s="114">
        <f>G22/40830*100</f>
        <v>99.90396960761889</v>
      </c>
      <c r="I22" s="163">
        <v>0</v>
      </c>
    </row>
    <row r="23" spans="2:9" s="101" customFormat="1" ht="13" x14ac:dyDescent="0.45">
      <c r="B23" s="351"/>
      <c r="C23" s="68"/>
      <c r="D23" s="161" t="s">
        <v>12</v>
      </c>
      <c r="E23" s="113">
        <v>1998</v>
      </c>
      <c r="F23" s="162">
        <v>7788</v>
      </c>
      <c r="G23" s="231">
        <f t="shared" si="3"/>
        <v>38978.978978978979</v>
      </c>
      <c r="H23" s="114">
        <f>G23/40830*100</f>
        <v>95.466517215231391</v>
      </c>
      <c r="I23" s="163">
        <v>5</v>
      </c>
    </row>
    <row r="24" spans="2:9" s="101" customFormat="1" ht="13" x14ac:dyDescent="0.45">
      <c r="B24" s="18" t="s">
        <v>13</v>
      </c>
      <c r="C24" s="271" t="s">
        <v>568</v>
      </c>
      <c r="D24" s="164" t="s">
        <v>14</v>
      </c>
      <c r="E24" s="138">
        <v>1992</v>
      </c>
      <c r="F24" s="165">
        <v>7311</v>
      </c>
      <c r="G24" s="234">
        <f t="shared" si="3"/>
        <v>36701.807228915663</v>
      </c>
      <c r="H24" s="139">
        <f>G24/40830*100</f>
        <v>89.889314790388596</v>
      </c>
      <c r="I24" s="166">
        <v>10</v>
      </c>
    </row>
    <row r="25" spans="2:9" s="101" customFormat="1" ht="13" x14ac:dyDescent="0.45">
      <c r="B25" s="15" t="s">
        <v>7</v>
      </c>
      <c r="C25" s="17" t="s">
        <v>8</v>
      </c>
      <c r="D25" s="161" t="s">
        <v>9</v>
      </c>
      <c r="E25" s="113">
        <v>1999</v>
      </c>
      <c r="F25" s="162">
        <v>8511</v>
      </c>
      <c r="G25" s="231">
        <f t="shared" si="3"/>
        <v>42576.288144072038</v>
      </c>
      <c r="H25" s="114">
        <f>G25/42576*100</f>
        <v>100.00067677581745</v>
      </c>
      <c r="I25" s="163">
        <v>0</v>
      </c>
    </row>
    <row r="26" spans="2:9" s="101" customFormat="1" ht="12.5" x14ac:dyDescent="0.45">
      <c r="B26" s="351" t="s">
        <v>10</v>
      </c>
      <c r="C26" s="368" t="s">
        <v>569</v>
      </c>
      <c r="D26" s="161" t="s">
        <v>11</v>
      </c>
      <c r="E26" s="113">
        <v>2002</v>
      </c>
      <c r="F26" s="162">
        <v>5223</v>
      </c>
      <c r="G26" s="231">
        <f t="shared" si="3"/>
        <v>26088.911088911089</v>
      </c>
      <c r="H26" s="114">
        <f>G26/42576*100</f>
        <v>61.27609707091105</v>
      </c>
      <c r="I26" s="163">
        <v>39</v>
      </c>
    </row>
    <row r="27" spans="2:9" s="101" customFormat="1" ht="12.5" x14ac:dyDescent="0.45">
      <c r="B27" s="351"/>
      <c r="C27" s="368"/>
      <c r="D27" s="161" t="s">
        <v>12</v>
      </c>
      <c r="E27" s="113">
        <v>2000</v>
      </c>
      <c r="F27" s="162">
        <v>1340</v>
      </c>
      <c r="G27" s="231">
        <f t="shared" si="3"/>
        <v>6700</v>
      </c>
      <c r="H27" s="114">
        <f>G27/42576*100</f>
        <v>15.736565201052235</v>
      </c>
      <c r="I27" s="163">
        <v>84</v>
      </c>
    </row>
    <row r="28" spans="2:9" s="101" customFormat="1" ht="13" x14ac:dyDescent="0.45">
      <c r="B28" s="18" t="s">
        <v>13</v>
      </c>
      <c r="C28" s="271" t="s">
        <v>568</v>
      </c>
      <c r="D28" s="164" t="s">
        <v>14</v>
      </c>
      <c r="E28" s="138">
        <v>1996</v>
      </c>
      <c r="F28" s="165">
        <v>952</v>
      </c>
      <c r="G28" s="234">
        <f t="shared" si="3"/>
        <v>4769.5390781563128</v>
      </c>
      <c r="H28" s="139">
        <f>G28/42576*100</f>
        <v>11.202412340652746</v>
      </c>
      <c r="I28" s="166">
        <v>89</v>
      </c>
    </row>
    <row r="29" spans="2:9" s="101" customFormat="1" ht="13" x14ac:dyDescent="0.45">
      <c r="B29" s="13"/>
      <c r="C29" s="13"/>
    </row>
    <row r="30" spans="2:9" s="101" customFormat="1" ht="13" x14ac:dyDescent="0.45">
      <c r="B30" s="13"/>
      <c r="C30" s="13"/>
    </row>
    <row r="31" spans="2:9" s="101" customFormat="1" ht="13" x14ac:dyDescent="0.45">
      <c r="B31" s="13"/>
      <c r="C31" s="13" t="s">
        <v>19</v>
      </c>
    </row>
    <row r="32" spans="2:9" s="101" customFormat="1" ht="13" x14ac:dyDescent="0.45">
      <c r="H32" s="24"/>
    </row>
    <row r="33" spans="2:9" s="101" customFormat="1" ht="13" x14ac:dyDescent="0.45">
      <c r="B33" s="15"/>
      <c r="C33" s="17"/>
      <c r="D33" s="16" t="s">
        <v>2</v>
      </c>
      <c r="E33" s="17" t="s">
        <v>3</v>
      </c>
      <c r="F33" s="16" t="s">
        <v>4</v>
      </c>
      <c r="G33" s="17" t="s">
        <v>854</v>
      </c>
      <c r="H33" s="16" t="s">
        <v>5</v>
      </c>
      <c r="I33" s="17" t="s">
        <v>6</v>
      </c>
    </row>
    <row r="34" spans="2:9" s="101" customFormat="1" ht="13" x14ac:dyDescent="0.45">
      <c r="B34" s="18"/>
      <c r="C34" s="20"/>
      <c r="D34" s="19"/>
      <c r="E34" s="20"/>
      <c r="F34" s="19"/>
      <c r="G34" s="20" t="s">
        <v>797</v>
      </c>
      <c r="H34" s="104"/>
      <c r="I34" s="20"/>
    </row>
    <row r="35" spans="2:9" s="101" customFormat="1" ht="13" x14ac:dyDescent="0.45">
      <c r="B35" s="15" t="s">
        <v>7</v>
      </c>
      <c r="C35" s="17" t="s">
        <v>8</v>
      </c>
      <c r="D35" s="155" t="s">
        <v>9</v>
      </c>
      <c r="E35" s="156">
        <v>2064</v>
      </c>
      <c r="F35" s="106">
        <v>14368</v>
      </c>
      <c r="G35" s="108">
        <f>10000*F35/E35</f>
        <v>69612.403100775191</v>
      </c>
      <c r="H35" s="229">
        <f>G35/69612*100</f>
        <v>100.00057906794115</v>
      </c>
      <c r="I35" s="156">
        <v>0</v>
      </c>
    </row>
    <row r="36" spans="2:9" s="101" customFormat="1" ht="13" x14ac:dyDescent="0.45">
      <c r="B36" s="351" t="s">
        <v>10</v>
      </c>
      <c r="C36" s="309"/>
      <c r="D36" s="161" t="s">
        <v>11</v>
      </c>
      <c r="E36" s="162">
        <v>2055</v>
      </c>
      <c r="F36" s="101">
        <v>14082</v>
      </c>
      <c r="G36" s="114">
        <f t="shared" ref="G36:G42" si="4">10000*F36/E36</f>
        <v>68525.547445255477</v>
      </c>
      <c r="H36" s="231">
        <f t="shared" ref="H36:H38" si="5">G36/69612*100</f>
        <v>98.439274040762342</v>
      </c>
      <c r="I36" s="162">
        <v>2</v>
      </c>
    </row>
    <row r="37" spans="2:9" s="101" customFormat="1" ht="13" x14ac:dyDescent="0.45">
      <c r="B37" s="351"/>
      <c r="C37" s="68"/>
      <c r="D37" s="161" t="s">
        <v>12</v>
      </c>
      <c r="E37" s="162">
        <v>2067</v>
      </c>
      <c r="F37" s="101">
        <v>13940</v>
      </c>
      <c r="G37" s="114">
        <f t="shared" si="4"/>
        <v>67440.735365263667</v>
      </c>
      <c r="H37" s="231">
        <f t="shared" si="5"/>
        <v>96.880904679169774</v>
      </c>
      <c r="I37" s="162">
        <v>3</v>
      </c>
    </row>
    <row r="38" spans="2:9" s="101" customFormat="1" ht="13" x14ac:dyDescent="0.45">
      <c r="B38" s="18" t="s">
        <v>13</v>
      </c>
      <c r="C38" s="271" t="s">
        <v>568</v>
      </c>
      <c r="D38" s="164" t="s">
        <v>14</v>
      </c>
      <c r="E38" s="165">
        <v>2049</v>
      </c>
      <c r="F38" s="137">
        <v>12274</v>
      </c>
      <c r="G38" s="139">
        <f t="shared" si="4"/>
        <v>59902.391410444121</v>
      </c>
      <c r="H38" s="234">
        <f t="shared" si="5"/>
        <v>86.051817805039533</v>
      </c>
      <c r="I38" s="165">
        <v>14</v>
      </c>
    </row>
    <row r="39" spans="2:9" s="101" customFormat="1" ht="13" x14ac:dyDescent="0.45">
      <c r="B39" s="15" t="s">
        <v>7</v>
      </c>
      <c r="C39" s="17" t="s">
        <v>8</v>
      </c>
      <c r="D39" s="161" t="s">
        <v>9</v>
      </c>
      <c r="E39" s="162">
        <v>2141</v>
      </c>
      <c r="F39" s="101">
        <v>15059</v>
      </c>
      <c r="G39" s="114">
        <f t="shared" si="4"/>
        <v>70336.291452592253</v>
      </c>
      <c r="H39" s="231">
        <f>G39/70336*100</f>
        <v>100.00041437186114</v>
      </c>
      <c r="I39" s="162">
        <v>0</v>
      </c>
    </row>
    <row r="40" spans="2:9" s="101" customFormat="1" ht="12.5" x14ac:dyDescent="0.45">
      <c r="B40" s="351" t="s">
        <v>10</v>
      </c>
      <c r="C40" s="368" t="s">
        <v>569</v>
      </c>
      <c r="D40" s="161" t="s">
        <v>11</v>
      </c>
      <c r="E40" s="162">
        <v>2154</v>
      </c>
      <c r="F40" s="101">
        <v>12297</v>
      </c>
      <c r="G40" s="114">
        <f t="shared" si="4"/>
        <v>57089.136490250698</v>
      </c>
      <c r="H40" s="231">
        <f t="shared" ref="H40:H42" si="6">G40/70336*100</f>
        <v>81.1663109790871</v>
      </c>
      <c r="I40" s="162">
        <v>19</v>
      </c>
    </row>
    <row r="41" spans="2:9" s="101" customFormat="1" ht="12.5" x14ac:dyDescent="0.45">
      <c r="B41" s="351"/>
      <c r="C41" s="368"/>
      <c r="D41" s="161" t="s">
        <v>12</v>
      </c>
      <c r="E41" s="162">
        <v>2060</v>
      </c>
      <c r="F41" s="101">
        <v>5905</v>
      </c>
      <c r="G41" s="114">
        <f t="shared" si="4"/>
        <v>28665.048543689321</v>
      </c>
      <c r="H41" s="231">
        <f t="shared" si="6"/>
        <v>40.75444799773846</v>
      </c>
      <c r="I41" s="162">
        <v>59</v>
      </c>
    </row>
    <row r="42" spans="2:9" s="101" customFormat="1" ht="13" x14ac:dyDescent="0.45">
      <c r="B42" s="18" t="s">
        <v>13</v>
      </c>
      <c r="C42" s="271" t="s">
        <v>568</v>
      </c>
      <c r="D42" s="164" t="s">
        <v>14</v>
      </c>
      <c r="E42" s="165">
        <v>2020</v>
      </c>
      <c r="F42" s="137">
        <v>1786</v>
      </c>
      <c r="G42" s="139">
        <f t="shared" si="4"/>
        <v>8841.5841584158425</v>
      </c>
      <c r="H42" s="234">
        <f t="shared" si="6"/>
        <v>12.570496130595773</v>
      </c>
      <c r="I42" s="165">
        <v>87</v>
      </c>
    </row>
    <row r="43" spans="2:9" s="101" customFormat="1" ht="13" x14ac:dyDescent="0.45">
      <c r="B43" s="13"/>
      <c r="C43" s="13"/>
    </row>
    <row r="44" spans="2:9" s="101" customFormat="1" ht="13" x14ac:dyDescent="0.45">
      <c r="B44" s="13"/>
      <c r="C44" s="13"/>
    </row>
    <row r="45" spans="2:9" s="101" customFormat="1" ht="12.5" x14ac:dyDescent="0.45"/>
    <row r="46" spans="2:9" s="101" customFormat="1" ht="12.5" x14ac:dyDescent="0.45"/>
    <row r="47" spans="2:9" s="101" customFormat="1" ht="12.5" x14ac:dyDescent="0.45"/>
    <row r="48" spans="2:9" s="101" customFormat="1" ht="13" x14ac:dyDescent="0.45">
      <c r="B48" s="13"/>
      <c r="C48" s="13"/>
    </row>
    <row r="49" s="101" customFormat="1" ht="12.5" x14ac:dyDescent="0.45"/>
  </sheetData>
  <mergeCells count="9">
    <mergeCell ref="C11:C12"/>
    <mergeCell ref="C26:C27"/>
    <mergeCell ref="C40:C41"/>
    <mergeCell ref="B7:B8"/>
    <mergeCell ref="B11:B12"/>
    <mergeCell ref="B22:B23"/>
    <mergeCell ref="B26:B27"/>
    <mergeCell ref="B36:B37"/>
    <mergeCell ref="B40:B41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EC60-374F-4854-9D4C-D2C3E9E99D67}">
  <dimension ref="A2:N33"/>
  <sheetViews>
    <sheetView zoomScale="90" zoomScaleNormal="90" workbookViewId="0">
      <selection activeCell="K40" sqref="K40"/>
    </sheetView>
  </sheetViews>
  <sheetFormatPr defaultRowHeight="14" x14ac:dyDescent="0.3"/>
  <cols>
    <col min="1" max="1" width="9" style="25"/>
    <col min="2" max="2" width="13.75" style="25" customWidth="1"/>
    <col min="3" max="3" width="13.25" style="25" customWidth="1"/>
    <col min="4" max="4" width="14.5" style="25" customWidth="1"/>
    <col min="5" max="5" width="12.08203125" style="25" customWidth="1"/>
    <col min="6" max="6" width="12.83203125" style="25" customWidth="1"/>
    <col min="7" max="7" width="12.5" style="25" customWidth="1"/>
    <col min="8" max="8" width="9.33203125" style="25" bestFit="1" customWidth="1"/>
    <col min="9" max="9" width="9.58203125" style="25" bestFit="1" customWidth="1"/>
    <col min="10" max="10" width="7.33203125" style="25" bestFit="1" customWidth="1"/>
    <col min="11" max="11" width="8" style="25" customWidth="1"/>
    <col min="12" max="12" width="33.25" style="25" bestFit="1" customWidth="1"/>
    <col min="13" max="13" width="24.83203125" style="25" bestFit="1" customWidth="1"/>
    <col min="14" max="14" width="15.5" style="25" customWidth="1"/>
    <col min="15" max="16" width="14" style="25" customWidth="1"/>
    <col min="17" max="17" width="8.25" style="25" customWidth="1"/>
    <col min="18" max="257" width="9" style="25"/>
    <col min="258" max="270" width="15.5" style="25" customWidth="1"/>
    <col min="271" max="272" width="14" style="25" customWidth="1"/>
    <col min="273" max="273" width="8.25" style="25" customWidth="1"/>
    <col min="274" max="513" width="9" style="25"/>
    <col min="514" max="526" width="15.5" style="25" customWidth="1"/>
    <col min="527" max="528" width="14" style="25" customWidth="1"/>
    <col min="529" max="529" width="8.25" style="25" customWidth="1"/>
    <col min="530" max="769" width="9" style="25"/>
    <col min="770" max="782" width="15.5" style="25" customWidth="1"/>
    <col min="783" max="784" width="14" style="25" customWidth="1"/>
    <col min="785" max="785" width="8.25" style="25" customWidth="1"/>
    <col min="786" max="1025" width="9" style="25"/>
    <col min="1026" max="1038" width="15.5" style="25" customWidth="1"/>
    <col min="1039" max="1040" width="14" style="25" customWidth="1"/>
    <col min="1041" max="1041" width="8.25" style="25" customWidth="1"/>
    <col min="1042" max="1281" width="9" style="25"/>
    <col min="1282" max="1294" width="15.5" style="25" customWidth="1"/>
    <col min="1295" max="1296" width="14" style="25" customWidth="1"/>
    <col min="1297" max="1297" width="8.25" style="25" customWidth="1"/>
    <col min="1298" max="1537" width="9" style="25"/>
    <col min="1538" max="1550" width="15.5" style="25" customWidth="1"/>
    <col min="1551" max="1552" width="14" style="25" customWidth="1"/>
    <col min="1553" max="1553" width="8.25" style="25" customWidth="1"/>
    <col min="1554" max="1793" width="9" style="25"/>
    <col min="1794" max="1806" width="15.5" style="25" customWidth="1"/>
    <col min="1807" max="1808" width="14" style="25" customWidth="1"/>
    <col min="1809" max="1809" width="8.25" style="25" customWidth="1"/>
    <col min="1810" max="2049" width="9" style="25"/>
    <col min="2050" max="2062" width="15.5" style="25" customWidth="1"/>
    <col min="2063" max="2064" width="14" style="25" customWidth="1"/>
    <col min="2065" max="2065" width="8.25" style="25" customWidth="1"/>
    <col min="2066" max="2305" width="9" style="25"/>
    <col min="2306" max="2318" width="15.5" style="25" customWidth="1"/>
    <col min="2319" max="2320" width="14" style="25" customWidth="1"/>
    <col min="2321" max="2321" width="8.25" style="25" customWidth="1"/>
    <col min="2322" max="2561" width="9" style="25"/>
    <col min="2562" max="2574" width="15.5" style="25" customWidth="1"/>
    <col min="2575" max="2576" width="14" style="25" customWidth="1"/>
    <col min="2577" max="2577" width="8.25" style="25" customWidth="1"/>
    <col min="2578" max="2817" width="9" style="25"/>
    <col min="2818" max="2830" width="15.5" style="25" customWidth="1"/>
    <col min="2831" max="2832" width="14" style="25" customWidth="1"/>
    <col min="2833" max="2833" width="8.25" style="25" customWidth="1"/>
    <col min="2834" max="3073" width="9" style="25"/>
    <col min="3074" max="3086" width="15.5" style="25" customWidth="1"/>
    <col min="3087" max="3088" width="14" style="25" customWidth="1"/>
    <col min="3089" max="3089" width="8.25" style="25" customWidth="1"/>
    <col min="3090" max="3329" width="9" style="25"/>
    <col min="3330" max="3342" width="15.5" style="25" customWidth="1"/>
    <col min="3343" max="3344" width="14" style="25" customWidth="1"/>
    <col min="3345" max="3345" width="8.25" style="25" customWidth="1"/>
    <col min="3346" max="3585" width="9" style="25"/>
    <col min="3586" max="3598" width="15.5" style="25" customWidth="1"/>
    <col min="3599" max="3600" width="14" style="25" customWidth="1"/>
    <col min="3601" max="3601" width="8.25" style="25" customWidth="1"/>
    <col min="3602" max="3841" width="9" style="25"/>
    <col min="3842" max="3854" width="15.5" style="25" customWidth="1"/>
    <col min="3855" max="3856" width="14" style="25" customWidth="1"/>
    <col min="3857" max="3857" width="8.25" style="25" customWidth="1"/>
    <col min="3858" max="4097" width="9" style="25"/>
    <col min="4098" max="4110" width="15.5" style="25" customWidth="1"/>
    <col min="4111" max="4112" width="14" style="25" customWidth="1"/>
    <col min="4113" max="4113" width="8.25" style="25" customWidth="1"/>
    <col min="4114" max="4353" width="9" style="25"/>
    <col min="4354" max="4366" width="15.5" style="25" customWidth="1"/>
    <col min="4367" max="4368" width="14" style="25" customWidth="1"/>
    <col min="4369" max="4369" width="8.25" style="25" customWidth="1"/>
    <col min="4370" max="4609" width="9" style="25"/>
    <col min="4610" max="4622" width="15.5" style="25" customWidth="1"/>
    <col min="4623" max="4624" width="14" style="25" customWidth="1"/>
    <col min="4625" max="4625" width="8.25" style="25" customWidth="1"/>
    <col min="4626" max="4865" width="9" style="25"/>
    <col min="4866" max="4878" width="15.5" style="25" customWidth="1"/>
    <col min="4879" max="4880" width="14" style="25" customWidth="1"/>
    <col min="4881" max="4881" width="8.25" style="25" customWidth="1"/>
    <col min="4882" max="5121" width="9" style="25"/>
    <col min="5122" max="5134" width="15.5" style="25" customWidth="1"/>
    <col min="5135" max="5136" width="14" style="25" customWidth="1"/>
    <col min="5137" max="5137" width="8.25" style="25" customWidth="1"/>
    <col min="5138" max="5377" width="9" style="25"/>
    <col min="5378" max="5390" width="15.5" style="25" customWidth="1"/>
    <col min="5391" max="5392" width="14" style="25" customWidth="1"/>
    <col min="5393" max="5393" width="8.25" style="25" customWidth="1"/>
    <col min="5394" max="5633" width="9" style="25"/>
    <col min="5634" max="5646" width="15.5" style="25" customWidth="1"/>
    <col min="5647" max="5648" width="14" style="25" customWidth="1"/>
    <col min="5649" max="5649" width="8.25" style="25" customWidth="1"/>
    <col min="5650" max="5889" width="9" style="25"/>
    <col min="5890" max="5902" width="15.5" style="25" customWidth="1"/>
    <col min="5903" max="5904" width="14" style="25" customWidth="1"/>
    <col min="5905" max="5905" width="8.25" style="25" customWidth="1"/>
    <col min="5906" max="6145" width="9" style="25"/>
    <col min="6146" max="6158" width="15.5" style="25" customWidth="1"/>
    <col min="6159" max="6160" width="14" style="25" customWidth="1"/>
    <col min="6161" max="6161" width="8.25" style="25" customWidth="1"/>
    <col min="6162" max="6401" width="9" style="25"/>
    <col min="6402" max="6414" width="15.5" style="25" customWidth="1"/>
    <col min="6415" max="6416" width="14" style="25" customWidth="1"/>
    <col min="6417" max="6417" width="8.25" style="25" customWidth="1"/>
    <col min="6418" max="6657" width="9" style="25"/>
    <col min="6658" max="6670" width="15.5" style="25" customWidth="1"/>
    <col min="6671" max="6672" width="14" style="25" customWidth="1"/>
    <col min="6673" max="6673" width="8.25" style="25" customWidth="1"/>
    <col min="6674" max="6913" width="9" style="25"/>
    <col min="6914" max="6926" width="15.5" style="25" customWidth="1"/>
    <col min="6927" max="6928" width="14" style="25" customWidth="1"/>
    <col min="6929" max="6929" width="8.25" style="25" customWidth="1"/>
    <col min="6930" max="7169" width="9" style="25"/>
    <col min="7170" max="7182" width="15.5" style="25" customWidth="1"/>
    <col min="7183" max="7184" width="14" style="25" customWidth="1"/>
    <col min="7185" max="7185" width="8.25" style="25" customWidth="1"/>
    <col min="7186" max="7425" width="9" style="25"/>
    <col min="7426" max="7438" width="15.5" style="25" customWidth="1"/>
    <col min="7439" max="7440" width="14" style="25" customWidth="1"/>
    <col min="7441" max="7441" width="8.25" style="25" customWidth="1"/>
    <col min="7442" max="7681" width="9" style="25"/>
    <col min="7682" max="7694" width="15.5" style="25" customWidth="1"/>
    <col min="7695" max="7696" width="14" style="25" customWidth="1"/>
    <col min="7697" max="7697" width="8.25" style="25" customWidth="1"/>
    <col min="7698" max="7937" width="9" style="25"/>
    <col min="7938" max="7950" width="15.5" style="25" customWidth="1"/>
    <col min="7951" max="7952" width="14" style="25" customWidth="1"/>
    <col min="7953" max="7953" width="8.25" style="25" customWidth="1"/>
    <col min="7954" max="8193" width="9" style="25"/>
    <col min="8194" max="8206" width="15.5" style="25" customWidth="1"/>
    <col min="8207" max="8208" width="14" style="25" customWidth="1"/>
    <col min="8209" max="8209" width="8.25" style="25" customWidth="1"/>
    <col min="8210" max="8449" width="9" style="25"/>
    <col min="8450" max="8462" width="15.5" style="25" customWidth="1"/>
    <col min="8463" max="8464" width="14" style="25" customWidth="1"/>
    <col min="8465" max="8465" width="8.25" style="25" customWidth="1"/>
    <col min="8466" max="8705" width="9" style="25"/>
    <col min="8706" max="8718" width="15.5" style="25" customWidth="1"/>
    <col min="8719" max="8720" width="14" style="25" customWidth="1"/>
    <col min="8721" max="8721" width="8.25" style="25" customWidth="1"/>
    <col min="8722" max="8961" width="9" style="25"/>
    <col min="8962" max="8974" width="15.5" style="25" customWidth="1"/>
    <col min="8975" max="8976" width="14" style="25" customWidth="1"/>
    <col min="8977" max="8977" width="8.25" style="25" customWidth="1"/>
    <col min="8978" max="9217" width="9" style="25"/>
    <col min="9218" max="9230" width="15.5" style="25" customWidth="1"/>
    <col min="9231" max="9232" width="14" style="25" customWidth="1"/>
    <col min="9233" max="9233" width="8.25" style="25" customWidth="1"/>
    <col min="9234" max="9473" width="9" style="25"/>
    <col min="9474" max="9486" width="15.5" style="25" customWidth="1"/>
    <col min="9487" max="9488" width="14" style="25" customWidth="1"/>
    <col min="9489" max="9489" width="8.25" style="25" customWidth="1"/>
    <col min="9490" max="9729" width="9" style="25"/>
    <col min="9730" max="9742" width="15.5" style="25" customWidth="1"/>
    <col min="9743" max="9744" width="14" style="25" customWidth="1"/>
    <col min="9745" max="9745" width="8.25" style="25" customWidth="1"/>
    <col min="9746" max="9985" width="9" style="25"/>
    <col min="9986" max="9998" width="15.5" style="25" customWidth="1"/>
    <col min="9999" max="10000" width="14" style="25" customWidth="1"/>
    <col min="10001" max="10001" width="8.25" style="25" customWidth="1"/>
    <col min="10002" max="10241" width="9" style="25"/>
    <col min="10242" max="10254" width="15.5" style="25" customWidth="1"/>
    <col min="10255" max="10256" width="14" style="25" customWidth="1"/>
    <col min="10257" max="10257" width="8.25" style="25" customWidth="1"/>
    <col min="10258" max="10497" width="9" style="25"/>
    <col min="10498" max="10510" width="15.5" style="25" customWidth="1"/>
    <col min="10511" max="10512" width="14" style="25" customWidth="1"/>
    <col min="10513" max="10513" width="8.25" style="25" customWidth="1"/>
    <col min="10514" max="10753" width="9" style="25"/>
    <col min="10754" max="10766" width="15.5" style="25" customWidth="1"/>
    <col min="10767" max="10768" width="14" style="25" customWidth="1"/>
    <col min="10769" max="10769" width="8.25" style="25" customWidth="1"/>
    <col min="10770" max="11009" width="9" style="25"/>
    <col min="11010" max="11022" width="15.5" style="25" customWidth="1"/>
    <col min="11023" max="11024" width="14" style="25" customWidth="1"/>
    <col min="11025" max="11025" width="8.25" style="25" customWidth="1"/>
    <col min="11026" max="11265" width="9" style="25"/>
    <col min="11266" max="11278" width="15.5" style="25" customWidth="1"/>
    <col min="11279" max="11280" width="14" style="25" customWidth="1"/>
    <col min="11281" max="11281" width="8.25" style="25" customWidth="1"/>
    <col min="11282" max="11521" width="9" style="25"/>
    <col min="11522" max="11534" width="15.5" style="25" customWidth="1"/>
    <col min="11535" max="11536" width="14" style="25" customWidth="1"/>
    <col min="11537" max="11537" width="8.25" style="25" customWidth="1"/>
    <col min="11538" max="11777" width="9" style="25"/>
    <col min="11778" max="11790" width="15.5" style="25" customWidth="1"/>
    <col min="11791" max="11792" width="14" style="25" customWidth="1"/>
    <col min="11793" max="11793" width="8.25" style="25" customWidth="1"/>
    <col min="11794" max="12033" width="9" style="25"/>
    <col min="12034" max="12046" width="15.5" style="25" customWidth="1"/>
    <col min="12047" max="12048" width="14" style="25" customWidth="1"/>
    <col min="12049" max="12049" width="8.25" style="25" customWidth="1"/>
    <col min="12050" max="12289" width="9" style="25"/>
    <col min="12290" max="12302" width="15.5" style="25" customWidth="1"/>
    <col min="12303" max="12304" width="14" style="25" customWidth="1"/>
    <col min="12305" max="12305" width="8.25" style="25" customWidth="1"/>
    <col min="12306" max="12545" width="9" style="25"/>
    <col min="12546" max="12558" width="15.5" style="25" customWidth="1"/>
    <col min="12559" max="12560" width="14" style="25" customWidth="1"/>
    <col min="12561" max="12561" width="8.25" style="25" customWidth="1"/>
    <col min="12562" max="12801" width="9" style="25"/>
    <col min="12802" max="12814" width="15.5" style="25" customWidth="1"/>
    <col min="12815" max="12816" width="14" style="25" customWidth="1"/>
    <col min="12817" max="12817" width="8.25" style="25" customWidth="1"/>
    <col min="12818" max="13057" width="9" style="25"/>
    <col min="13058" max="13070" width="15.5" style="25" customWidth="1"/>
    <col min="13071" max="13072" width="14" style="25" customWidth="1"/>
    <col min="13073" max="13073" width="8.25" style="25" customWidth="1"/>
    <col min="13074" max="13313" width="9" style="25"/>
    <col min="13314" max="13326" width="15.5" style="25" customWidth="1"/>
    <col min="13327" max="13328" width="14" style="25" customWidth="1"/>
    <col min="13329" max="13329" width="8.25" style="25" customWidth="1"/>
    <col min="13330" max="13569" width="9" style="25"/>
    <col min="13570" max="13582" width="15.5" style="25" customWidth="1"/>
    <col min="13583" max="13584" width="14" style="25" customWidth="1"/>
    <col min="13585" max="13585" width="8.25" style="25" customWidth="1"/>
    <col min="13586" max="13825" width="9" style="25"/>
    <col min="13826" max="13838" width="15.5" style="25" customWidth="1"/>
    <col min="13839" max="13840" width="14" style="25" customWidth="1"/>
    <col min="13841" max="13841" width="8.25" style="25" customWidth="1"/>
    <col min="13842" max="14081" width="9" style="25"/>
    <col min="14082" max="14094" width="15.5" style="25" customWidth="1"/>
    <col min="14095" max="14096" width="14" style="25" customWidth="1"/>
    <col min="14097" max="14097" width="8.25" style="25" customWidth="1"/>
    <col min="14098" max="14337" width="9" style="25"/>
    <col min="14338" max="14350" width="15.5" style="25" customWidth="1"/>
    <col min="14351" max="14352" width="14" style="25" customWidth="1"/>
    <col min="14353" max="14353" width="8.25" style="25" customWidth="1"/>
    <col min="14354" max="14593" width="9" style="25"/>
    <col min="14594" max="14606" width="15.5" style="25" customWidth="1"/>
    <col min="14607" max="14608" width="14" style="25" customWidth="1"/>
    <col min="14609" max="14609" width="8.25" style="25" customWidth="1"/>
    <col min="14610" max="14849" width="9" style="25"/>
    <col min="14850" max="14862" width="15.5" style="25" customWidth="1"/>
    <col min="14863" max="14864" width="14" style="25" customWidth="1"/>
    <col min="14865" max="14865" width="8.25" style="25" customWidth="1"/>
    <col min="14866" max="15105" width="9" style="25"/>
    <col min="15106" max="15118" width="15.5" style="25" customWidth="1"/>
    <col min="15119" max="15120" width="14" style="25" customWidth="1"/>
    <col min="15121" max="15121" width="8.25" style="25" customWidth="1"/>
    <col min="15122" max="15361" width="9" style="25"/>
    <col min="15362" max="15374" width="15.5" style="25" customWidth="1"/>
    <col min="15375" max="15376" width="14" style="25" customWidth="1"/>
    <col min="15377" max="15377" width="8.25" style="25" customWidth="1"/>
    <col min="15378" max="15617" width="9" style="25"/>
    <col min="15618" max="15630" width="15.5" style="25" customWidth="1"/>
    <col min="15631" max="15632" width="14" style="25" customWidth="1"/>
    <col min="15633" max="15633" width="8.25" style="25" customWidth="1"/>
    <col min="15634" max="15873" width="9" style="25"/>
    <col min="15874" max="15886" width="15.5" style="25" customWidth="1"/>
    <col min="15887" max="15888" width="14" style="25" customWidth="1"/>
    <col min="15889" max="15889" width="8.25" style="25" customWidth="1"/>
    <col min="15890" max="16129" width="9" style="25"/>
    <col min="16130" max="16142" width="15.5" style="25" customWidth="1"/>
    <col min="16143" max="16144" width="14" style="25" customWidth="1"/>
    <col min="16145" max="16145" width="8.25" style="25" customWidth="1"/>
    <col min="16146" max="16384" width="9" style="25"/>
  </cols>
  <sheetData>
    <row r="2" spans="1:13" s="95" customFormat="1" ht="13" x14ac:dyDescent="0.25">
      <c r="B2" s="100" t="s">
        <v>39</v>
      </c>
      <c r="C2" s="101"/>
      <c r="D2" s="101"/>
    </row>
    <row r="3" spans="1:13" s="101" customFormat="1" ht="13" x14ac:dyDescent="0.45">
      <c r="A3" s="13"/>
    </row>
    <row r="4" spans="1:13" s="95" customFormat="1" ht="13" x14ac:dyDescent="0.3">
      <c r="B4" s="103" t="s">
        <v>21</v>
      </c>
      <c r="J4" s="26"/>
      <c r="L4" s="103" t="s">
        <v>71</v>
      </c>
    </row>
    <row r="5" spans="1:13" s="95" customFormat="1" ht="12.5" x14ac:dyDescent="0.25"/>
    <row r="6" spans="1:13" s="95" customFormat="1" ht="12.5" x14ac:dyDescent="0.25">
      <c r="B6" s="3"/>
      <c r="C6" s="27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L6" s="2" t="s">
        <v>41</v>
      </c>
      <c r="M6" s="3" t="s">
        <v>42</v>
      </c>
    </row>
    <row r="7" spans="1:13" s="95" customFormat="1" ht="13" x14ac:dyDescent="0.3">
      <c r="B7" s="6" t="s">
        <v>30</v>
      </c>
      <c r="C7" s="67">
        <v>1.101</v>
      </c>
      <c r="D7" s="67">
        <v>0.68600000000000005</v>
      </c>
      <c r="E7" s="67">
        <v>0.40799999999999997</v>
      </c>
      <c r="F7" s="67">
        <v>0.23899999999999999</v>
      </c>
      <c r="G7" s="67">
        <v>0.14499999999999999</v>
      </c>
      <c r="H7" s="67">
        <v>9.6000000000000002E-2</v>
      </c>
      <c r="I7" s="67">
        <v>8.6999999999999994E-2</v>
      </c>
      <c r="J7" s="67">
        <v>6.0999999999999999E-2</v>
      </c>
      <c r="L7" s="7" t="s">
        <v>43</v>
      </c>
      <c r="M7" s="8" t="s">
        <v>577</v>
      </c>
    </row>
    <row r="8" spans="1:13" s="95" customFormat="1" ht="13" x14ac:dyDescent="0.3">
      <c r="B8" s="6" t="s">
        <v>31</v>
      </c>
      <c r="C8" s="67">
        <v>1.1619999999999999</v>
      </c>
      <c r="D8" s="67">
        <v>0.755</v>
      </c>
      <c r="E8" s="67">
        <v>0.41799999999999998</v>
      </c>
      <c r="F8" s="67">
        <v>0.217</v>
      </c>
      <c r="G8" s="67">
        <v>0.14099999999999999</v>
      </c>
      <c r="H8" s="67">
        <v>9.6000000000000002E-2</v>
      </c>
      <c r="I8" s="67">
        <v>7.6999999999999999E-2</v>
      </c>
      <c r="J8" s="67">
        <v>6.5000000000000002E-2</v>
      </c>
      <c r="L8" s="7" t="s">
        <v>44</v>
      </c>
      <c r="M8" s="8" t="s">
        <v>44</v>
      </c>
    </row>
    <row r="9" spans="1:13" s="95" customFormat="1" ht="13" x14ac:dyDescent="0.3">
      <c r="B9" s="26"/>
      <c r="L9" s="7" t="s">
        <v>45</v>
      </c>
      <c r="M9" s="8" t="s">
        <v>578</v>
      </c>
    </row>
    <row r="10" spans="1:13" s="95" customFormat="1" ht="13" x14ac:dyDescent="0.3">
      <c r="B10" s="26"/>
      <c r="D10" s="124" t="s">
        <v>32</v>
      </c>
      <c r="E10" s="125"/>
      <c r="F10" s="125"/>
      <c r="G10" s="125"/>
      <c r="H10" s="125"/>
      <c r="L10" s="2"/>
      <c r="M10" s="3"/>
    </row>
    <row r="11" spans="1:13" s="95" customFormat="1" ht="13" x14ac:dyDescent="0.3">
      <c r="B11" s="26"/>
      <c r="D11" s="128"/>
      <c r="L11" s="2" t="s">
        <v>46</v>
      </c>
      <c r="M11" s="3"/>
    </row>
    <row r="12" spans="1:13" s="95" customFormat="1" ht="13" x14ac:dyDescent="0.3">
      <c r="B12" s="129" t="s">
        <v>40</v>
      </c>
      <c r="C12" s="103"/>
      <c r="D12" s="128"/>
      <c r="L12" s="7" t="s">
        <v>47</v>
      </c>
      <c r="M12" s="8" t="s">
        <v>48</v>
      </c>
    </row>
    <row r="13" spans="1:13" s="95" customFormat="1" ht="13" x14ac:dyDescent="0.3">
      <c r="B13" s="130">
        <v>1</v>
      </c>
      <c r="C13" s="130">
        <v>2</v>
      </c>
      <c r="D13" s="130">
        <v>3</v>
      </c>
      <c r="L13" s="7" t="s">
        <v>49</v>
      </c>
      <c r="M13" s="8" t="s">
        <v>50</v>
      </c>
    </row>
    <row r="14" spans="1:13" s="95" customFormat="1" ht="13" x14ac:dyDescent="0.3">
      <c r="B14" s="131" t="s">
        <v>35</v>
      </c>
      <c r="C14" s="131" t="s">
        <v>35</v>
      </c>
      <c r="D14" s="131" t="s">
        <v>35</v>
      </c>
      <c r="L14" s="2" t="s">
        <v>51</v>
      </c>
      <c r="M14" s="3" t="s">
        <v>52</v>
      </c>
    </row>
    <row r="15" spans="1:13" s="95" customFormat="1" ht="13" x14ac:dyDescent="0.3">
      <c r="B15" s="28"/>
      <c r="C15" s="133" t="s">
        <v>569</v>
      </c>
      <c r="D15" s="133" t="s">
        <v>569</v>
      </c>
      <c r="L15" s="2" t="s">
        <v>53</v>
      </c>
      <c r="M15" s="3" t="s">
        <v>54</v>
      </c>
    </row>
    <row r="16" spans="1:13" s="95" customFormat="1" ht="13" x14ac:dyDescent="0.3">
      <c r="B16" s="134" t="s">
        <v>570</v>
      </c>
      <c r="C16" s="134" t="s">
        <v>570</v>
      </c>
      <c r="D16" s="134" t="s">
        <v>570</v>
      </c>
      <c r="L16" s="2" t="s">
        <v>55</v>
      </c>
      <c r="M16" s="3" t="s">
        <v>572</v>
      </c>
    </row>
    <row r="17" spans="2:14" s="95" customFormat="1" ht="12.5" x14ac:dyDescent="0.25">
      <c r="B17" s="320">
        <v>7.0000000000000007E-2</v>
      </c>
      <c r="C17" s="143">
        <v>1.274</v>
      </c>
      <c r="D17" s="144">
        <v>0.55400000000000005</v>
      </c>
      <c r="E17" s="145"/>
      <c r="F17" s="146"/>
      <c r="G17" s="314"/>
      <c r="L17" s="2"/>
      <c r="M17" s="3"/>
    </row>
    <row r="18" spans="2:14" s="95" customFormat="1" ht="13" x14ac:dyDescent="0.3">
      <c r="B18" s="320">
        <v>7.2999999999999995E-2</v>
      </c>
      <c r="C18" s="143">
        <v>1.2849999999999999</v>
      </c>
      <c r="D18" s="144">
        <v>0.53700000000000003</v>
      </c>
      <c r="E18" s="148" t="s">
        <v>38</v>
      </c>
      <c r="F18" s="149" t="s">
        <v>571</v>
      </c>
      <c r="G18" s="315" t="s">
        <v>34</v>
      </c>
      <c r="L18" s="2" t="s">
        <v>57</v>
      </c>
      <c r="M18" s="3"/>
    </row>
    <row r="19" spans="2:14" s="95" customFormat="1" ht="12.5" x14ac:dyDescent="0.25">
      <c r="B19" s="320">
        <v>7.2999999999999995E-2</v>
      </c>
      <c r="C19" s="143">
        <v>1.222</v>
      </c>
      <c r="D19" s="144">
        <v>0.504</v>
      </c>
      <c r="E19" s="151"/>
      <c r="F19" s="152"/>
      <c r="G19" s="316"/>
      <c r="L19" s="2" t="s">
        <v>157</v>
      </c>
      <c r="M19" s="3" t="s">
        <v>573</v>
      </c>
    </row>
    <row r="20" spans="2:14" s="95" customFormat="1" ht="12.5" x14ac:dyDescent="0.25">
      <c r="B20" s="101"/>
      <c r="C20" s="101"/>
      <c r="D20" s="101"/>
      <c r="L20" s="2" t="s">
        <v>327</v>
      </c>
      <c r="M20" s="235"/>
    </row>
    <row r="21" spans="2:14" s="95" customFormat="1" ht="12.5" x14ac:dyDescent="0.25">
      <c r="L21" s="2" t="s">
        <v>62</v>
      </c>
      <c r="M21" s="3" t="s">
        <v>574</v>
      </c>
    </row>
    <row r="22" spans="2:14" s="95" customFormat="1" ht="13" x14ac:dyDescent="0.3">
      <c r="B22" s="129" t="s">
        <v>855</v>
      </c>
      <c r="C22" s="103"/>
      <c r="D22" s="128"/>
      <c r="L22" s="2" t="s">
        <v>64</v>
      </c>
      <c r="M22" s="3" t="s">
        <v>575</v>
      </c>
    </row>
    <row r="23" spans="2:14" s="95" customFormat="1" ht="13" x14ac:dyDescent="0.3">
      <c r="B23" s="130">
        <v>1</v>
      </c>
      <c r="C23" s="130">
        <v>2</v>
      </c>
      <c r="D23" s="130">
        <v>3</v>
      </c>
      <c r="L23" s="2" t="s">
        <v>66</v>
      </c>
      <c r="M23" s="3">
        <v>0.98829999999999996</v>
      </c>
    </row>
    <row r="24" spans="2:14" s="95" customFormat="1" ht="13" x14ac:dyDescent="0.3">
      <c r="B24" s="131" t="s">
        <v>35</v>
      </c>
      <c r="C24" s="131" t="s">
        <v>35</v>
      </c>
      <c r="D24" s="131" t="s">
        <v>35</v>
      </c>
      <c r="L24" s="2"/>
      <c r="M24" s="3"/>
    </row>
    <row r="25" spans="2:14" s="95" customFormat="1" ht="13" x14ac:dyDescent="0.3">
      <c r="B25" s="28"/>
      <c r="C25" s="133" t="s">
        <v>569</v>
      </c>
      <c r="D25" s="133" t="s">
        <v>569</v>
      </c>
      <c r="L25" s="2" t="s">
        <v>67</v>
      </c>
      <c r="M25" s="3"/>
    </row>
    <row r="26" spans="2:14" s="95" customFormat="1" ht="13" x14ac:dyDescent="0.3">
      <c r="B26" s="134" t="s">
        <v>570</v>
      </c>
      <c r="C26" s="134" t="s">
        <v>570</v>
      </c>
      <c r="D26" s="134" t="s">
        <v>570</v>
      </c>
      <c r="L26" s="2" t="s">
        <v>68</v>
      </c>
      <c r="M26" s="3" t="s">
        <v>576</v>
      </c>
    </row>
    <row r="27" spans="2:14" s="1" customFormat="1" ht="13" x14ac:dyDescent="0.25">
      <c r="B27" s="42">
        <f>(B17-0.061862)/0.000333*3</f>
        <v>73.315315315315374</v>
      </c>
      <c r="C27" s="180">
        <f>(C17-0.061862)/0.000333*12</f>
        <v>43680.648648648646</v>
      </c>
      <c r="D27" s="42">
        <f>(D17-0.061862)/0.000333*48</f>
        <v>70938.810810810828</v>
      </c>
      <c r="L27" s="2" t="s">
        <v>47</v>
      </c>
      <c r="M27" s="3" t="s">
        <v>48</v>
      </c>
      <c r="N27" s="95"/>
    </row>
    <row r="28" spans="2:14" s="1" customFormat="1" ht="13" x14ac:dyDescent="0.25">
      <c r="B28" s="42">
        <f t="shared" ref="B28" si="0">(B18-0.061862)/0.000333*3</f>
        <v>100.34234234234229</v>
      </c>
      <c r="C28" s="180">
        <f t="shared" ref="C28:C29" si="1">(C18-0.061862)/0.000333*12</f>
        <v>44077.045045045037</v>
      </c>
      <c r="D28" s="42">
        <f t="shared" ref="D28:D29" si="2">(D18-0.061862)/0.000333*48</f>
        <v>68488.360360360355</v>
      </c>
      <c r="L28" s="2" t="s">
        <v>49</v>
      </c>
      <c r="M28" s="3" t="s">
        <v>50</v>
      </c>
      <c r="N28" s="95"/>
    </row>
    <row r="29" spans="2:14" s="1" customFormat="1" ht="13" x14ac:dyDescent="0.25">
      <c r="B29" s="42">
        <f t="shared" ref="B29" si="3">(B19-0.061862)/0.000333*3</f>
        <v>100.34234234234229</v>
      </c>
      <c r="C29" s="180">
        <f t="shared" si="1"/>
        <v>41806.774774774771</v>
      </c>
      <c r="D29" s="42">
        <f t="shared" si="2"/>
        <v>63731.603603603609</v>
      </c>
      <c r="L29" s="2" t="s">
        <v>70</v>
      </c>
      <c r="M29" s="3" t="s">
        <v>52</v>
      </c>
      <c r="N29" s="95"/>
    </row>
    <row r="30" spans="2:14" s="95" customFormat="1" ht="12.5" x14ac:dyDescent="0.25"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</row>
    <row r="31" spans="2:14" s="95" customFormat="1" ht="12.5" x14ac:dyDescent="0.25"/>
    <row r="32" spans="2:14" s="95" customFormat="1" ht="12.5" x14ac:dyDescent="0.25"/>
    <row r="33" s="95" customFormat="1" ht="12.5" x14ac:dyDescent="0.25"/>
  </sheetData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7E9F-B3B6-47C4-8024-548D96883520}">
  <dimension ref="B2:U85"/>
  <sheetViews>
    <sheetView zoomScale="90" zoomScaleNormal="90" workbookViewId="0">
      <selection activeCell="L36" sqref="L36"/>
    </sheetView>
  </sheetViews>
  <sheetFormatPr defaultColWidth="9" defaultRowHeight="14" x14ac:dyDescent="0.45"/>
  <cols>
    <col min="1" max="1" width="9" style="14"/>
    <col min="2" max="2" width="9" style="23"/>
    <col min="3" max="3" width="17.08203125" style="23" customWidth="1"/>
    <col min="4" max="4" width="9" style="14"/>
    <col min="5" max="5" width="11.08203125" style="14" bestFit="1" customWidth="1"/>
    <col min="6" max="6" width="17.83203125" style="14" customWidth="1"/>
    <col min="7" max="7" width="25.83203125" style="14" customWidth="1"/>
    <col min="8" max="8" width="9.33203125" style="14" customWidth="1"/>
    <col min="9" max="9" width="10.5" style="14" bestFit="1" customWidth="1"/>
    <col min="10" max="10" width="6.25" style="14" customWidth="1"/>
    <col min="11" max="11" width="10.83203125" style="14" bestFit="1" customWidth="1"/>
    <col min="12" max="12" width="11.33203125" style="14" customWidth="1"/>
    <col min="13" max="13" width="13" style="14" customWidth="1"/>
    <col min="14" max="14" width="12.25" style="14" customWidth="1"/>
    <col min="15" max="15" width="12.58203125" style="14" bestFit="1" customWidth="1"/>
    <col min="16" max="16" width="12.75" style="14" customWidth="1"/>
    <col min="17" max="17" width="10.33203125" style="14" customWidth="1"/>
    <col min="18" max="18" width="10.83203125" style="14" customWidth="1"/>
    <col min="19" max="19" width="10.75" style="14" customWidth="1"/>
    <col min="20" max="20" width="8.08203125" style="14" customWidth="1"/>
    <col min="21" max="16384" width="9" style="14"/>
  </cols>
  <sheetData>
    <row r="2" spans="2:21" s="101" customFormat="1" ht="13" x14ac:dyDescent="0.25">
      <c r="B2" s="13"/>
      <c r="C2" s="100" t="s">
        <v>584</v>
      </c>
      <c r="L2" s="100" t="s">
        <v>589</v>
      </c>
      <c r="O2" s="95"/>
      <c r="P2" s="95"/>
      <c r="Q2" s="95"/>
      <c r="R2" s="95"/>
      <c r="S2" s="95"/>
      <c r="T2" s="95"/>
      <c r="U2" s="95"/>
    </row>
    <row r="3" spans="2:21" s="101" customFormat="1" ht="13" x14ac:dyDescent="0.45">
      <c r="B3" s="13"/>
      <c r="C3" s="13"/>
    </row>
    <row r="4" spans="2:21" s="102" customFormat="1" ht="13" x14ac:dyDescent="0.3">
      <c r="B4" s="15"/>
      <c r="C4" s="17"/>
      <c r="D4" s="16" t="s">
        <v>2</v>
      </c>
      <c r="E4" s="17" t="s">
        <v>3</v>
      </c>
      <c r="F4" s="16" t="s">
        <v>4</v>
      </c>
      <c r="G4" s="17" t="s">
        <v>854</v>
      </c>
      <c r="H4" s="16" t="s">
        <v>5</v>
      </c>
      <c r="I4" s="17" t="s">
        <v>6</v>
      </c>
      <c r="L4" s="103" t="s">
        <v>21</v>
      </c>
      <c r="M4" s="95"/>
      <c r="N4" s="95"/>
      <c r="O4" s="95"/>
      <c r="P4" s="95"/>
      <c r="Q4" s="95"/>
      <c r="R4" s="95"/>
      <c r="S4" s="95"/>
      <c r="T4" s="26"/>
      <c r="U4" s="95"/>
    </row>
    <row r="5" spans="2:21" s="102" customFormat="1" ht="13" x14ac:dyDescent="0.25">
      <c r="B5" s="18"/>
      <c r="C5" s="20"/>
      <c r="D5" s="13"/>
      <c r="E5" s="20"/>
      <c r="F5" s="19"/>
      <c r="G5" s="20" t="s">
        <v>797</v>
      </c>
      <c r="H5" s="104"/>
      <c r="I5" s="20"/>
      <c r="L5" s="95"/>
      <c r="M5" s="95"/>
      <c r="N5" s="95"/>
      <c r="O5" s="95"/>
      <c r="P5" s="95"/>
      <c r="Q5" s="95"/>
      <c r="R5" s="95"/>
      <c r="S5" s="95"/>
      <c r="T5" s="95"/>
      <c r="U5" s="95"/>
    </row>
    <row r="6" spans="2:21" s="101" customFormat="1" ht="13" x14ac:dyDescent="0.25">
      <c r="B6" s="15" t="s">
        <v>7</v>
      </c>
      <c r="C6" s="15" t="s">
        <v>8</v>
      </c>
      <c r="D6" s="105" t="s">
        <v>9</v>
      </c>
      <c r="E6" s="106">
        <v>1999</v>
      </c>
      <c r="F6" s="107">
        <v>14210</v>
      </c>
      <c r="G6" s="108">
        <f>10000*F6/E6</f>
        <v>71085.542771385692</v>
      </c>
      <c r="H6" s="109">
        <f>G6/71086*100</f>
        <v>99.999356795129415</v>
      </c>
      <c r="I6" s="110">
        <v>0</v>
      </c>
      <c r="L6" s="3"/>
      <c r="M6" s="4" t="s">
        <v>23</v>
      </c>
      <c r="N6" s="4" t="s">
        <v>24</v>
      </c>
      <c r="O6" s="4" t="s">
        <v>25</v>
      </c>
      <c r="P6" s="4" t="s">
        <v>26</v>
      </c>
      <c r="Q6" s="4" t="s">
        <v>27</v>
      </c>
      <c r="R6" s="4" t="s">
        <v>28</v>
      </c>
      <c r="S6" s="4" t="s">
        <v>306</v>
      </c>
      <c r="T6" s="4" t="s">
        <v>29</v>
      </c>
      <c r="U6" s="95"/>
    </row>
    <row r="7" spans="2:21" s="101" customFormat="1" ht="13" x14ac:dyDescent="0.3">
      <c r="B7" s="351" t="s">
        <v>10</v>
      </c>
      <c r="C7" s="111"/>
      <c r="D7" s="112" t="s">
        <v>11</v>
      </c>
      <c r="E7" s="101">
        <v>2000</v>
      </c>
      <c r="F7" s="113">
        <v>13674</v>
      </c>
      <c r="G7" s="114">
        <f t="shared" ref="G7:G25" si="0">10000*F7/E7</f>
        <v>68370</v>
      </c>
      <c r="H7" s="115">
        <f t="shared" ref="H7:H9" si="1">G7/71086*100</f>
        <v>96.179275806769255</v>
      </c>
      <c r="I7" s="116">
        <v>4</v>
      </c>
      <c r="L7" s="6" t="s">
        <v>30</v>
      </c>
      <c r="M7" s="67">
        <v>1.583</v>
      </c>
      <c r="N7" s="67">
        <v>1.075</v>
      </c>
      <c r="O7" s="67">
        <v>0.67200000000000004</v>
      </c>
      <c r="P7" s="67">
        <v>0.38800000000000001</v>
      </c>
      <c r="Q7" s="67">
        <v>0.23499999999999999</v>
      </c>
      <c r="R7" s="67">
        <v>0.14799999999999999</v>
      </c>
      <c r="S7" s="67">
        <v>0.105</v>
      </c>
      <c r="T7" s="67">
        <v>5.8000000000000003E-2</v>
      </c>
      <c r="U7" s="95"/>
    </row>
    <row r="8" spans="2:21" s="101" customFormat="1" ht="13" x14ac:dyDescent="0.3">
      <c r="B8" s="351"/>
      <c r="C8" s="89"/>
      <c r="D8" s="117" t="s">
        <v>12</v>
      </c>
      <c r="E8" s="118">
        <v>1997</v>
      </c>
      <c r="F8" s="119">
        <v>13119</v>
      </c>
      <c r="G8" s="120">
        <f t="shared" si="0"/>
        <v>65693.540310465702</v>
      </c>
      <c r="H8" s="121">
        <f t="shared" si="1"/>
        <v>92.414174817074667</v>
      </c>
      <c r="I8" s="122">
        <v>8</v>
      </c>
      <c r="L8" s="6" t="s">
        <v>31</v>
      </c>
      <c r="M8" s="67">
        <v>1.7050000000000001</v>
      </c>
      <c r="N8" s="67">
        <v>1.1319999999999999</v>
      </c>
      <c r="O8" s="67">
        <v>0.70599999999999996</v>
      </c>
      <c r="P8" s="67">
        <v>0.38600000000000001</v>
      </c>
      <c r="Q8" s="67">
        <v>0.23899999999999999</v>
      </c>
      <c r="R8" s="67">
        <v>0.151</v>
      </c>
      <c r="S8" s="67">
        <v>0.11</v>
      </c>
      <c r="T8" s="67">
        <v>6.0999999999999999E-2</v>
      </c>
      <c r="U8" s="95"/>
    </row>
    <row r="9" spans="2:21" s="101" customFormat="1" ht="13" x14ac:dyDescent="0.3">
      <c r="B9" s="18" t="s">
        <v>13</v>
      </c>
      <c r="C9" s="123" t="s">
        <v>568</v>
      </c>
      <c r="D9" s="112" t="s">
        <v>14</v>
      </c>
      <c r="E9" s="101">
        <v>1995</v>
      </c>
      <c r="F9" s="113">
        <v>11032</v>
      </c>
      <c r="G9" s="114">
        <f t="shared" si="0"/>
        <v>55298.245614035084</v>
      </c>
      <c r="H9" s="115">
        <f t="shared" si="1"/>
        <v>77.790627710146993</v>
      </c>
      <c r="I9" s="116">
        <v>22</v>
      </c>
      <c r="L9" s="26"/>
      <c r="M9" s="95"/>
      <c r="N9" s="95"/>
      <c r="O9" s="95"/>
      <c r="P9" s="95"/>
      <c r="Q9" s="95"/>
      <c r="R9" s="95"/>
      <c r="S9" s="95"/>
      <c r="T9" s="95"/>
      <c r="U9" s="95"/>
    </row>
    <row r="10" spans="2:21" s="101" customFormat="1" ht="13" x14ac:dyDescent="0.3">
      <c r="B10" s="15" t="s">
        <v>7</v>
      </c>
      <c r="C10" s="15" t="s">
        <v>8</v>
      </c>
      <c r="D10" s="105" t="s">
        <v>9</v>
      </c>
      <c r="E10" s="106">
        <v>1998</v>
      </c>
      <c r="F10" s="107">
        <v>14246</v>
      </c>
      <c r="G10" s="108">
        <f t="shared" si="0"/>
        <v>71301.301301301297</v>
      </c>
      <c r="H10" s="109">
        <f>G10/71301*100</f>
        <v>100.00042257654351</v>
      </c>
      <c r="I10" s="110">
        <v>0</v>
      </c>
      <c r="L10" s="26"/>
      <c r="M10" s="95"/>
      <c r="N10" s="124" t="s">
        <v>590</v>
      </c>
      <c r="O10" s="125"/>
      <c r="P10" s="125"/>
      <c r="Q10" s="125"/>
      <c r="R10" s="125"/>
      <c r="S10" s="126"/>
      <c r="T10" s="126"/>
      <c r="U10" s="95"/>
    </row>
    <row r="11" spans="2:21" s="101" customFormat="1" ht="13" x14ac:dyDescent="0.3">
      <c r="B11" s="351" t="s">
        <v>10</v>
      </c>
      <c r="C11" s="127" t="s">
        <v>569</v>
      </c>
      <c r="D11" s="112" t="s">
        <v>11</v>
      </c>
      <c r="E11" s="101">
        <v>1999</v>
      </c>
      <c r="F11" s="113">
        <v>6195</v>
      </c>
      <c r="G11" s="114">
        <f t="shared" si="0"/>
        <v>30990.49524762381</v>
      </c>
      <c r="H11" s="115">
        <f t="shared" ref="H11:H13" si="2">G11/71301*100</f>
        <v>43.464320623306563</v>
      </c>
      <c r="I11" s="116">
        <v>57</v>
      </c>
      <c r="L11" s="26"/>
      <c r="M11" s="95"/>
      <c r="N11" s="128"/>
      <c r="O11" s="95"/>
      <c r="P11" s="95"/>
      <c r="Q11" s="95"/>
      <c r="R11" s="95"/>
      <c r="S11" s="95"/>
      <c r="T11" s="95"/>
      <c r="U11" s="95"/>
    </row>
    <row r="12" spans="2:21" s="101" customFormat="1" ht="13" x14ac:dyDescent="0.3">
      <c r="B12" s="351"/>
      <c r="C12" s="127" t="s">
        <v>866</v>
      </c>
      <c r="D12" s="117" t="s">
        <v>12</v>
      </c>
      <c r="E12" s="118">
        <v>1997</v>
      </c>
      <c r="F12" s="119">
        <v>1319</v>
      </c>
      <c r="G12" s="120">
        <f t="shared" si="0"/>
        <v>6604.9073610415626</v>
      </c>
      <c r="H12" s="121">
        <f t="shared" si="2"/>
        <v>9.2634147642270968</v>
      </c>
      <c r="I12" s="122">
        <v>91</v>
      </c>
      <c r="L12" s="129" t="s">
        <v>40</v>
      </c>
      <c r="M12" s="103"/>
      <c r="N12" s="128"/>
      <c r="O12" s="95"/>
      <c r="P12" s="95"/>
      <c r="Q12" s="95"/>
      <c r="R12" s="95"/>
      <c r="S12" s="95"/>
      <c r="T12" s="95"/>
      <c r="U12" s="95"/>
    </row>
    <row r="13" spans="2:21" s="101" customFormat="1" ht="13" x14ac:dyDescent="0.3">
      <c r="B13" s="18" t="s">
        <v>13</v>
      </c>
      <c r="C13" s="123" t="s">
        <v>568</v>
      </c>
      <c r="D13" s="112" t="s">
        <v>14</v>
      </c>
      <c r="E13" s="101">
        <v>1997</v>
      </c>
      <c r="F13" s="113">
        <v>813</v>
      </c>
      <c r="G13" s="114">
        <f t="shared" si="0"/>
        <v>4071.106659989985</v>
      </c>
      <c r="H13" s="115">
        <f t="shared" si="2"/>
        <v>5.709746932006543</v>
      </c>
      <c r="I13" s="116">
        <v>94</v>
      </c>
      <c r="L13" s="130">
        <v>1</v>
      </c>
      <c r="M13" s="130">
        <v>2</v>
      </c>
      <c r="N13" s="130">
        <v>3</v>
      </c>
      <c r="O13" s="130">
        <v>4</v>
      </c>
      <c r="P13" s="130">
        <v>5</v>
      </c>
      <c r="Q13" s="95"/>
      <c r="R13" s="95"/>
      <c r="S13" s="95"/>
      <c r="T13" s="95"/>
      <c r="U13" s="95"/>
    </row>
    <row r="14" spans="2:21" s="101" customFormat="1" ht="13" x14ac:dyDescent="0.3">
      <c r="B14" s="15" t="s">
        <v>7</v>
      </c>
      <c r="C14" s="15" t="s">
        <v>8</v>
      </c>
      <c r="D14" s="105" t="s">
        <v>9</v>
      </c>
      <c r="E14" s="106">
        <v>2000</v>
      </c>
      <c r="F14" s="107">
        <v>15400</v>
      </c>
      <c r="G14" s="108">
        <f t="shared" si="0"/>
        <v>77000</v>
      </c>
      <c r="H14" s="109">
        <f>G14/77000*100</f>
        <v>100</v>
      </c>
      <c r="I14" s="110">
        <v>0</v>
      </c>
      <c r="L14" s="131" t="s">
        <v>35</v>
      </c>
      <c r="M14" s="131" t="s">
        <v>35</v>
      </c>
      <c r="N14" s="131" t="s">
        <v>35</v>
      </c>
      <c r="O14" s="131" t="s">
        <v>35</v>
      </c>
      <c r="P14" s="131" t="s">
        <v>35</v>
      </c>
      <c r="Q14" s="95"/>
      <c r="R14" s="95"/>
      <c r="S14" s="95"/>
      <c r="T14" s="95"/>
      <c r="U14" s="95"/>
    </row>
    <row r="15" spans="2:21" s="101" customFormat="1" ht="13" x14ac:dyDescent="0.3">
      <c r="B15" s="351" t="s">
        <v>10</v>
      </c>
      <c r="C15" s="127" t="s">
        <v>569</v>
      </c>
      <c r="D15" s="112" t="s">
        <v>11</v>
      </c>
      <c r="E15" s="101">
        <v>1998</v>
      </c>
      <c r="F15" s="113">
        <v>8523</v>
      </c>
      <c r="G15" s="114">
        <f t="shared" si="0"/>
        <v>42657.657657657655</v>
      </c>
      <c r="H15" s="115">
        <f t="shared" ref="H15:H17" si="3">G15/77000*100</f>
        <v>55.399555399555403</v>
      </c>
      <c r="I15" s="116">
        <v>45</v>
      </c>
      <c r="K15" s="132" t="s">
        <v>569</v>
      </c>
      <c r="L15" s="133" t="s">
        <v>867</v>
      </c>
      <c r="M15" s="133" t="s">
        <v>868</v>
      </c>
      <c r="N15" s="133" t="s">
        <v>869</v>
      </c>
      <c r="O15" s="133" t="s">
        <v>870</v>
      </c>
      <c r="P15" s="133"/>
      <c r="Q15" s="95"/>
      <c r="R15" s="95"/>
      <c r="S15" s="95"/>
      <c r="T15" s="95"/>
      <c r="U15" s="95"/>
    </row>
    <row r="16" spans="2:21" s="101" customFormat="1" ht="13" x14ac:dyDescent="0.3">
      <c r="B16" s="351"/>
      <c r="C16" s="127" t="s">
        <v>871</v>
      </c>
      <c r="D16" s="117" t="s">
        <v>12</v>
      </c>
      <c r="E16" s="118">
        <v>1996</v>
      </c>
      <c r="F16" s="119">
        <v>1274</v>
      </c>
      <c r="G16" s="120">
        <f t="shared" si="0"/>
        <v>6382.765531062124</v>
      </c>
      <c r="H16" s="121">
        <f t="shared" si="3"/>
        <v>8.2893058844962653</v>
      </c>
      <c r="I16" s="122">
        <v>92</v>
      </c>
      <c r="L16" s="134" t="s">
        <v>570</v>
      </c>
      <c r="M16" s="134" t="s">
        <v>570</v>
      </c>
      <c r="N16" s="134" t="s">
        <v>570</v>
      </c>
      <c r="O16" s="134" t="s">
        <v>570</v>
      </c>
      <c r="P16" s="135" t="s">
        <v>37</v>
      </c>
      <c r="Q16" s="95"/>
      <c r="R16" s="95"/>
      <c r="S16" s="95"/>
      <c r="T16" s="95"/>
      <c r="U16" s="95"/>
    </row>
    <row r="17" spans="2:21" s="101" customFormat="1" ht="13" x14ac:dyDescent="0.25">
      <c r="B17" s="18" t="s">
        <v>13</v>
      </c>
      <c r="C17" s="123" t="s">
        <v>568</v>
      </c>
      <c r="D17" s="136" t="s">
        <v>14</v>
      </c>
      <c r="E17" s="137">
        <v>1995</v>
      </c>
      <c r="F17" s="138">
        <v>361</v>
      </c>
      <c r="G17" s="139">
        <f t="shared" si="0"/>
        <v>1809.5238095238096</v>
      </c>
      <c r="H17" s="140">
        <f t="shared" si="3"/>
        <v>2.350030921459493</v>
      </c>
      <c r="I17" s="141">
        <v>98</v>
      </c>
      <c r="L17" s="142">
        <v>0.71</v>
      </c>
      <c r="M17" s="143">
        <v>0.624</v>
      </c>
      <c r="N17" s="143">
        <v>0.71</v>
      </c>
      <c r="O17" s="144">
        <v>0.38700000000000001</v>
      </c>
      <c r="P17" s="144">
        <v>0.34599999999999997</v>
      </c>
      <c r="Q17" s="145"/>
      <c r="R17" s="146"/>
      <c r="S17" s="147"/>
      <c r="T17" s="95"/>
      <c r="U17" s="95"/>
    </row>
    <row r="18" spans="2:21" s="101" customFormat="1" ht="13" x14ac:dyDescent="0.3">
      <c r="B18" s="15" t="s">
        <v>7</v>
      </c>
      <c r="C18" s="15" t="s">
        <v>8</v>
      </c>
      <c r="D18" s="112" t="s">
        <v>9</v>
      </c>
      <c r="E18" s="101">
        <v>1996</v>
      </c>
      <c r="F18" s="113">
        <v>15552</v>
      </c>
      <c r="G18" s="114">
        <f t="shared" si="0"/>
        <v>77915.831663326651</v>
      </c>
      <c r="H18" s="115">
        <f>G18/77916*100</f>
        <v>99.999783951084055</v>
      </c>
      <c r="I18" s="116">
        <v>0</v>
      </c>
      <c r="L18" s="142">
        <v>0.86399999999999999</v>
      </c>
      <c r="M18" s="143">
        <v>0.61899999999999999</v>
      </c>
      <c r="N18" s="143">
        <v>0.70699999999999996</v>
      </c>
      <c r="O18" s="144">
        <v>0.41099999999999998</v>
      </c>
      <c r="P18" s="144">
        <v>0.38300000000000001</v>
      </c>
      <c r="Q18" s="148" t="s">
        <v>593</v>
      </c>
      <c r="R18" s="149" t="s">
        <v>592</v>
      </c>
      <c r="S18" s="150" t="s">
        <v>591</v>
      </c>
      <c r="T18" s="95"/>
      <c r="U18" s="95"/>
    </row>
    <row r="19" spans="2:21" s="101" customFormat="1" ht="13" x14ac:dyDescent="0.25">
      <c r="B19" s="351" t="s">
        <v>10</v>
      </c>
      <c r="C19" s="127" t="s">
        <v>569</v>
      </c>
      <c r="D19" s="112" t="s">
        <v>11</v>
      </c>
      <c r="E19" s="101">
        <v>1998</v>
      </c>
      <c r="F19" s="113">
        <v>8674</v>
      </c>
      <c r="G19" s="114">
        <f t="shared" si="0"/>
        <v>43413.413413413415</v>
      </c>
      <c r="H19" s="115">
        <f t="shared" ref="H19:H21" si="4">G19/77916*100</f>
        <v>55.718226568886251</v>
      </c>
      <c r="I19" s="116">
        <v>44</v>
      </c>
      <c r="L19" s="142">
        <v>0.75700000000000001</v>
      </c>
      <c r="M19" s="143">
        <v>0.55200000000000005</v>
      </c>
      <c r="N19" s="143">
        <v>0.73499999999999999</v>
      </c>
      <c r="O19" s="144">
        <v>0.42</v>
      </c>
      <c r="P19" s="144">
        <v>0.374</v>
      </c>
      <c r="Q19" s="151"/>
      <c r="R19" s="152"/>
      <c r="S19" s="153"/>
      <c r="T19" s="95"/>
      <c r="U19" s="95"/>
    </row>
    <row r="20" spans="2:21" s="101" customFormat="1" ht="13" x14ac:dyDescent="0.25">
      <c r="B20" s="351"/>
      <c r="C20" s="127" t="s">
        <v>872</v>
      </c>
      <c r="D20" s="117" t="s">
        <v>12</v>
      </c>
      <c r="E20" s="118">
        <v>2000</v>
      </c>
      <c r="F20" s="119">
        <v>1277</v>
      </c>
      <c r="G20" s="120">
        <f t="shared" si="0"/>
        <v>6385</v>
      </c>
      <c r="H20" s="121">
        <f t="shared" si="4"/>
        <v>8.194722521690025</v>
      </c>
      <c r="I20" s="122">
        <v>92</v>
      </c>
      <c r="O20" s="95"/>
      <c r="P20" s="95"/>
      <c r="Q20" s="95"/>
      <c r="R20" s="95"/>
      <c r="S20" s="95"/>
      <c r="T20" s="95"/>
      <c r="U20" s="95"/>
    </row>
    <row r="21" spans="2:21" s="101" customFormat="1" ht="13" x14ac:dyDescent="0.25">
      <c r="B21" s="18" t="s">
        <v>13</v>
      </c>
      <c r="C21" s="123" t="s">
        <v>568</v>
      </c>
      <c r="D21" s="136" t="s">
        <v>14</v>
      </c>
      <c r="E21" s="137">
        <v>1996</v>
      </c>
      <c r="F21" s="138">
        <v>355</v>
      </c>
      <c r="G21" s="139">
        <f t="shared" si="0"/>
        <v>1778.5571142284568</v>
      </c>
      <c r="H21" s="140">
        <f t="shared" si="4"/>
        <v>2.2826596773813552</v>
      </c>
      <c r="I21" s="141">
        <v>98</v>
      </c>
      <c r="L21" s="95"/>
      <c r="M21" s="95"/>
      <c r="N21" s="95"/>
      <c r="O21" s="95"/>
      <c r="P21" s="95"/>
      <c r="Q21" s="95"/>
      <c r="R21" s="95"/>
      <c r="S21" s="95"/>
      <c r="T21" s="95"/>
      <c r="U21" s="95"/>
    </row>
    <row r="22" spans="2:21" s="101" customFormat="1" ht="13" x14ac:dyDescent="0.3">
      <c r="B22" s="15" t="s">
        <v>7</v>
      </c>
      <c r="C22" s="15" t="s">
        <v>8</v>
      </c>
      <c r="D22" s="112" t="s">
        <v>9</v>
      </c>
      <c r="E22" s="101">
        <v>1999</v>
      </c>
      <c r="F22" s="113">
        <v>17196</v>
      </c>
      <c r="G22" s="114">
        <f t="shared" si="0"/>
        <v>86023.011505752875</v>
      </c>
      <c r="H22" s="115">
        <f>G22/86023*100</f>
        <v>100.00001337520533</v>
      </c>
      <c r="I22" s="116">
        <v>0</v>
      </c>
      <c r="L22" s="129" t="s">
        <v>594</v>
      </c>
      <c r="M22" s="103"/>
      <c r="N22" s="128"/>
      <c r="O22" s="95"/>
      <c r="P22" s="95"/>
      <c r="Q22" s="95"/>
      <c r="R22" s="95"/>
      <c r="S22" s="95"/>
      <c r="T22" s="95"/>
      <c r="U22" s="95"/>
    </row>
    <row r="23" spans="2:21" s="101" customFormat="1" ht="13" x14ac:dyDescent="0.3">
      <c r="B23" s="351" t="s">
        <v>10</v>
      </c>
      <c r="C23" s="369"/>
      <c r="D23" s="112" t="s">
        <v>11</v>
      </c>
      <c r="E23" s="101">
        <v>1998</v>
      </c>
      <c r="F23" s="113">
        <v>4542</v>
      </c>
      <c r="G23" s="114">
        <f t="shared" si="0"/>
        <v>22732.732732732733</v>
      </c>
      <c r="H23" s="115">
        <f t="shared" ref="H23:H25" si="5">G23/86023*100</f>
        <v>26.426342644098362</v>
      </c>
      <c r="I23" s="116">
        <v>74</v>
      </c>
      <c r="L23" s="130">
        <v>1</v>
      </c>
      <c r="M23" s="130">
        <v>2</v>
      </c>
      <c r="N23" s="130">
        <v>3</v>
      </c>
      <c r="O23" s="130">
        <v>4</v>
      </c>
      <c r="P23" s="130">
        <v>5</v>
      </c>
      <c r="Q23" s="95"/>
      <c r="R23" s="95"/>
      <c r="S23" s="95"/>
      <c r="T23" s="95"/>
      <c r="U23" s="95"/>
    </row>
    <row r="24" spans="2:21" s="101" customFormat="1" ht="13" x14ac:dyDescent="0.3">
      <c r="B24" s="351"/>
      <c r="C24" s="369"/>
      <c r="D24" s="117" t="s">
        <v>12</v>
      </c>
      <c r="E24" s="118">
        <v>2000</v>
      </c>
      <c r="F24" s="119">
        <v>383</v>
      </c>
      <c r="G24" s="120">
        <f t="shared" si="0"/>
        <v>1915</v>
      </c>
      <c r="H24" s="121">
        <f t="shared" si="5"/>
        <v>2.2261488206642412</v>
      </c>
      <c r="I24" s="122">
        <v>98</v>
      </c>
      <c r="L24" s="131" t="s">
        <v>35</v>
      </c>
      <c r="M24" s="131" t="s">
        <v>35</v>
      </c>
      <c r="N24" s="131" t="s">
        <v>35</v>
      </c>
      <c r="O24" s="131" t="s">
        <v>35</v>
      </c>
      <c r="P24" s="131" t="s">
        <v>35</v>
      </c>
      <c r="Q24" s="95"/>
      <c r="R24" s="95"/>
      <c r="S24" s="95"/>
      <c r="T24" s="95"/>
      <c r="U24" s="95"/>
    </row>
    <row r="25" spans="2:21" s="101" customFormat="1" ht="13" x14ac:dyDescent="0.3">
      <c r="B25" s="18" t="s">
        <v>13</v>
      </c>
      <c r="C25" s="154" t="s">
        <v>579</v>
      </c>
      <c r="D25" s="136" t="s">
        <v>14</v>
      </c>
      <c r="E25" s="137">
        <v>1996</v>
      </c>
      <c r="F25" s="138">
        <v>274</v>
      </c>
      <c r="G25" s="139">
        <f t="shared" si="0"/>
        <v>1372.7454909819639</v>
      </c>
      <c r="H25" s="140">
        <f t="shared" si="5"/>
        <v>1.5957889064342838</v>
      </c>
      <c r="I25" s="141">
        <v>98</v>
      </c>
      <c r="L25" s="133" t="s">
        <v>867</v>
      </c>
      <c r="M25" s="133" t="s">
        <v>868</v>
      </c>
      <c r="N25" s="133" t="s">
        <v>869</v>
      </c>
      <c r="O25" s="133" t="s">
        <v>870</v>
      </c>
      <c r="P25" s="133"/>
      <c r="Q25" s="95"/>
      <c r="R25" s="95"/>
      <c r="S25" s="95"/>
      <c r="T25" s="95"/>
      <c r="U25" s="95"/>
    </row>
    <row r="26" spans="2:21" s="101" customFormat="1" ht="13" x14ac:dyDescent="0.3">
      <c r="B26" s="13"/>
      <c r="C26" s="13"/>
      <c r="D26" s="102"/>
      <c r="L26" s="134" t="s">
        <v>570</v>
      </c>
      <c r="M26" s="134" t="s">
        <v>570</v>
      </c>
      <c r="N26" s="134" t="s">
        <v>570</v>
      </c>
      <c r="O26" s="134" t="s">
        <v>570</v>
      </c>
      <c r="P26" s="135" t="s">
        <v>37</v>
      </c>
      <c r="Q26" s="95"/>
      <c r="R26" s="95"/>
      <c r="S26" s="95"/>
      <c r="T26" s="95"/>
      <c r="U26" s="95"/>
    </row>
    <row r="27" spans="2:21" s="101" customFormat="1" ht="13" x14ac:dyDescent="0.25">
      <c r="B27" s="13"/>
      <c r="C27" s="13"/>
      <c r="G27" s="24" t="s">
        <v>15</v>
      </c>
      <c r="L27" s="42">
        <f>(L17-0.095058)/0.00105*4</f>
        <v>2342.6361904761907</v>
      </c>
      <c r="M27" s="42">
        <f>(M17-0.095058)/0.00105*16</f>
        <v>8060.0685714285719</v>
      </c>
      <c r="N27" s="42">
        <f t="shared" ref="N27:N29" si="6">(N17-0.095058)/0.00105*16</f>
        <v>9370.5447619047627</v>
      </c>
      <c r="O27" s="42">
        <f>(O17-0.095058)/0.00105*64</f>
        <v>17794.560000000005</v>
      </c>
      <c r="P27" s="42">
        <f t="shared" ref="P27:P29" si="7">(P17-0.095058)/0.00105*64</f>
        <v>15295.512380952381</v>
      </c>
      <c r="Q27" s="1"/>
      <c r="R27" s="1"/>
      <c r="S27" s="1"/>
      <c r="T27" s="1"/>
      <c r="U27" s="1"/>
    </row>
    <row r="28" spans="2:21" s="101" customFormat="1" ht="13" x14ac:dyDescent="0.25">
      <c r="B28" s="13"/>
      <c r="C28" s="13"/>
      <c r="G28" s="24"/>
      <c r="L28" s="42">
        <f t="shared" ref="L28" si="8">(L18-0.095058)/0.00105*4</f>
        <v>2929.3028571428572</v>
      </c>
      <c r="M28" s="42">
        <f t="shared" ref="M28" si="9">(M18-0.095058)/0.00105*16</f>
        <v>7983.8780952380957</v>
      </c>
      <c r="N28" s="42">
        <f t="shared" si="6"/>
        <v>9324.8304761904765</v>
      </c>
      <c r="O28" s="42">
        <f t="shared" ref="O28" si="10">(O18-0.095058)/0.00105*64</f>
        <v>19257.417142857139</v>
      </c>
      <c r="P28" s="42">
        <f t="shared" si="7"/>
        <v>17550.750476190478</v>
      </c>
      <c r="Q28" s="1"/>
      <c r="R28" s="1"/>
      <c r="S28" s="1"/>
      <c r="T28" s="1"/>
      <c r="U28" s="1"/>
    </row>
    <row r="29" spans="2:21" s="101" customFormat="1" ht="13" x14ac:dyDescent="0.25">
      <c r="B29" s="13"/>
      <c r="C29" s="13" t="s">
        <v>20</v>
      </c>
      <c r="L29" s="42">
        <f t="shared" ref="L29" si="11">(L19-0.095058)/0.00105*4</f>
        <v>2521.6838095238099</v>
      </c>
      <c r="M29" s="42">
        <f t="shared" ref="M29" si="12">(M19-0.095058)/0.00105*16</f>
        <v>6962.9257142857159</v>
      </c>
      <c r="N29" s="42">
        <f t="shared" si="6"/>
        <v>9751.4971428571444</v>
      </c>
      <c r="O29" s="42">
        <f t="shared" ref="O29" si="13">(O19-0.095058)/0.00105*64</f>
        <v>19805.98857142857</v>
      </c>
      <c r="P29" s="42">
        <f t="shared" si="7"/>
        <v>17002.179047619051</v>
      </c>
      <c r="Q29" s="1"/>
      <c r="R29" s="1"/>
      <c r="S29" s="1"/>
      <c r="T29" s="1"/>
      <c r="U29" s="1"/>
    </row>
    <row r="30" spans="2:21" s="101" customFormat="1" ht="13" x14ac:dyDescent="0.45">
      <c r="H30" s="24"/>
    </row>
    <row r="31" spans="2:21" s="102" customFormat="1" ht="13" x14ac:dyDescent="0.45">
      <c r="B31" s="15"/>
      <c r="C31" s="17"/>
      <c r="D31" s="16" t="s">
        <v>2</v>
      </c>
      <c r="E31" s="17" t="s">
        <v>3</v>
      </c>
      <c r="F31" s="16" t="s">
        <v>4</v>
      </c>
      <c r="G31" s="17" t="s">
        <v>854</v>
      </c>
      <c r="H31" s="16" t="s">
        <v>5</v>
      </c>
      <c r="I31" s="17" t="s">
        <v>6</v>
      </c>
    </row>
    <row r="32" spans="2:21" s="102" customFormat="1" ht="13" x14ac:dyDescent="0.45">
      <c r="B32" s="18"/>
      <c r="C32" s="20"/>
      <c r="D32" s="13"/>
      <c r="E32" s="68"/>
      <c r="F32" s="13"/>
      <c r="G32" s="20" t="s">
        <v>797</v>
      </c>
      <c r="I32" s="68"/>
    </row>
    <row r="33" spans="2:9" s="101" customFormat="1" ht="13" x14ac:dyDescent="0.45">
      <c r="B33" s="15" t="s">
        <v>7</v>
      </c>
      <c r="C33" s="15" t="s">
        <v>8</v>
      </c>
      <c r="D33" s="155" t="s">
        <v>580</v>
      </c>
      <c r="E33" s="156">
        <v>1992</v>
      </c>
      <c r="F33" s="107">
        <v>7311</v>
      </c>
      <c r="G33" s="108">
        <f t="shared" ref="G33:G52" si="14">10000*F33/E33</f>
        <v>36701.807228915663</v>
      </c>
      <c r="H33" s="109">
        <f>G33/40830*100</f>
        <v>89.889314790388596</v>
      </c>
      <c r="I33" s="157">
        <v>10</v>
      </c>
    </row>
    <row r="34" spans="2:9" s="101" customFormat="1" ht="13" x14ac:dyDescent="0.45">
      <c r="B34" s="351" t="s">
        <v>10</v>
      </c>
      <c r="C34" s="111"/>
      <c r="D34" s="158" t="s">
        <v>581</v>
      </c>
      <c r="E34" s="159">
        <v>1998</v>
      </c>
      <c r="F34" s="119">
        <v>7788</v>
      </c>
      <c r="G34" s="120">
        <f t="shared" si="14"/>
        <v>38978.978978978979</v>
      </c>
      <c r="H34" s="121">
        <f>G34/40830*100</f>
        <v>95.466517215231391</v>
      </c>
      <c r="I34" s="160">
        <v>5</v>
      </c>
    </row>
    <row r="35" spans="2:9" s="101" customFormat="1" ht="13" x14ac:dyDescent="0.45">
      <c r="B35" s="351"/>
      <c r="C35" s="89"/>
      <c r="D35" s="161" t="s">
        <v>582</v>
      </c>
      <c r="E35" s="162">
        <v>1998</v>
      </c>
      <c r="F35" s="113">
        <v>8150</v>
      </c>
      <c r="G35" s="114">
        <f t="shared" si="14"/>
        <v>40790.790790790794</v>
      </c>
      <c r="H35" s="115">
        <f>G35/40830*100</f>
        <v>99.90396960761889</v>
      </c>
      <c r="I35" s="163">
        <v>0</v>
      </c>
    </row>
    <row r="36" spans="2:9" s="101" customFormat="1" ht="13" x14ac:dyDescent="0.45">
      <c r="B36" s="18" t="s">
        <v>13</v>
      </c>
      <c r="C36" s="123" t="s">
        <v>568</v>
      </c>
      <c r="D36" s="161" t="s">
        <v>583</v>
      </c>
      <c r="E36" s="162">
        <v>1999</v>
      </c>
      <c r="F36" s="113">
        <v>8162</v>
      </c>
      <c r="G36" s="114">
        <f t="shared" si="14"/>
        <v>40830.415207603801</v>
      </c>
      <c r="H36" s="115">
        <f>G36/40830*100</f>
        <v>100.00101691796179</v>
      </c>
      <c r="I36" s="163">
        <v>0</v>
      </c>
    </row>
    <row r="37" spans="2:9" s="101" customFormat="1" ht="13" x14ac:dyDescent="0.45">
      <c r="B37" s="15" t="s">
        <v>7</v>
      </c>
      <c r="C37" s="15" t="s">
        <v>8</v>
      </c>
      <c r="D37" s="155" t="s">
        <v>580</v>
      </c>
      <c r="E37" s="156">
        <v>1998</v>
      </c>
      <c r="F37" s="107">
        <v>1384</v>
      </c>
      <c r="G37" s="108">
        <f t="shared" si="14"/>
        <v>6926.9269269269271</v>
      </c>
      <c r="H37" s="109">
        <f>G37/40885*100</f>
        <v>16.942465273148898</v>
      </c>
      <c r="I37" s="157">
        <v>83</v>
      </c>
    </row>
    <row r="38" spans="2:9" s="101" customFormat="1" ht="13" x14ac:dyDescent="0.45">
      <c r="B38" s="351" t="s">
        <v>10</v>
      </c>
      <c r="C38" s="127" t="s">
        <v>569</v>
      </c>
      <c r="D38" s="158" t="s">
        <v>581</v>
      </c>
      <c r="E38" s="159">
        <v>1997</v>
      </c>
      <c r="F38" s="119">
        <v>1731</v>
      </c>
      <c r="G38" s="120">
        <f t="shared" si="14"/>
        <v>8668.0020030045071</v>
      </c>
      <c r="H38" s="121">
        <f>G38/40885*100</f>
        <v>21.200934335341827</v>
      </c>
      <c r="I38" s="160">
        <v>79</v>
      </c>
    </row>
    <row r="39" spans="2:9" s="101" customFormat="1" ht="13" x14ac:dyDescent="0.45">
      <c r="B39" s="351"/>
      <c r="C39" s="127" t="s">
        <v>866</v>
      </c>
      <c r="D39" s="161" t="s">
        <v>582</v>
      </c>
      <c r="E39" s="162">
        <v>1995</v>
      </c>
      <c r="F39" s="113">
        <v>4252</v>
      </c>
      <c r="G39" s="114">
        <f t="shared" si="14"/>
        <v>21313.28320802005</v>
      </c>
      <c r="H39" s="115">
        <f>G39/40885*100</f>
        <v>52.129835411569161</v>
      </c>
      <c r="I39" s="163">
        <v>48</v>
      </c>
    </row>
    <row r="40" spans="2:9" s="101" customFormat="1" ht="13" x14ac:dyDescent="0.45">
      <c r="B40" s="18" t="s">
        <v>13</v>
      </c>
      <c r="C40" s="123" t="s">
        <v>568</v>
      </c>
      <c r="D40" s="161" t="s">
        <v>583</v>
      </c>
      <c r="E40" s="162">
        <v>1999</v>
      </c>
      <c r="F40" s="113">
        <v>8173</v>
      </c>
      <c r="G40" s="114">
        <f t="shared" si="14"/>
        <v>40885.442721360683</v>
      </c>
      <c r="H40" s="115">
        <f>G40/40885*100</f>
        <v>100.00108284544622</v>
      </c>
      <c r="I40" s="163">
        <v>0</v>
      </c>
    </row>
    <row r="41" spans="2:9" s="101" customFormat="1" ht="13" x14ac:dyDescent="0.45">
      <c r="B41" s="15" t="s">
        <v>7</v>
      </c>
      <c r="C41" s="15" t="s">
        <v>8</v>
      </c>
      <c r="D41" s="155" t="s">
        <v>580</v>
      </c>
      <c r="E41" s="156">
        <v>1996</v>
      </c>
      <c r="F41" s="107">
        <v>952</v>
      </c>
      <c r="G41" s="108">
        <f t="shared" si="14"/>
        <v>4769.5390781563128</v>
      </c>
      <c r="H41" s="109">
        <f>G41/42576*100</f>
        <v>11.202412340652746</v>
      </c>
      <c r="I41" s="157">
        <v>89</v>
      </c>
    </row>
    <row r="42" spans="2:9" s="101" customFormat="1" ht="13" x14ac:dyDescent="0.45">
      <c r="B42" s="351" t="s">
        <v>10</v>
      </c>
      <c r="C42" s="127" t="s">
        <v>569</v>
      </c>
      <c r="D42" s="158" t="s">
        <v>581</v>
      </c>
      <c r="E42" s="159">
        <v>2000</v>
      </c>
      <c r="F42" s="119">
        <v>1340</v>
      </c>
      <c r="G42" s="120">
        <f t="shared" si="14"/>
        <v>6700</v>
      </c>
      <c r="H42" s="121">
        <f>G42/42576*100</f>
        <v>15.736565201052235</v>
      </c>
      <c r="I42" s="160">
        <v>84</v>
      </c>
    </row>
    <row r="43" spans="2:9" s="101" customFormat="1" ht="13" x14ac:dyDescent="0.45">
      <c r="B43" s="351"/>
      <c r="C43" s="127" t="s">
        <v>871</v>
      </c>
      <c r="D43" s="161" t="s">
        <v>582</v>
      </c>
      <c r="E43" s="162">
        <v>2002</v>
      </c>
      <c r="F43" s="113">
        <v>5223</v>
      </c>
      <c r="G43" s="114">
        <f t="shared" si="14"/>
        <v>26088.911088911089</v>
      </c>
      <c r="H43" s="115">
        <f>G43/42576*100</f>
        <v>61.27609707091105</v>
      </c>
      <c r="I43" s="163">
        <v>39</v>
      </c>
    </row>
    <row r="44" spans="2:9" s="101" customFormat="1" ht="13" x14ac:dyDescent="0.45">
      <c r="B44" s="18" t="s">
        <v>13</v>
      </c>
      <c r="C44" s="123" t="s">
        <v>568</v>
      </c>
      <c r="D44" s="164" t="s">
        <v>583</v>
      </c>
      <c r="E44" s="165">
        <v>1999</v>
      </c>
      <c r="F44" s="138">
        <v>8511</v>
      </c>
      <c r="G44" s="139">
        <f t="shared" si="14"/>
        <v>42576.288144072038</v>
      </c>
      <c r="H44" s="140">
        <f>G44/42576*100</f>
        <v>100.00067677581745</v>
      </c>
      <c r="I44" s="166">
        <v>0</v>
      </c>
    </row>
    <row r="45" spans="2:9" s="101" customFormat="1" ht="13" x14ac:dyDescent="0.45">
      <c r="B45" s="15" t="s">
        <v>7</v>
      </c>
      <c r="C45" s="15" t="s">
        <v>8</v>
      </c>
      <c r="D45" s="161" t="s">
        <v>580</v>
      </c>
      <c r="E45" s="162">
        <v>1995</v>
      </c>
      <c r="F45" s="113">
        <v>490</v>
      </c>
      <c r="G45" s="114">
        <f t="shared" si="14"/>
        <v>2456.1403508771928</v>
      </c>
      <c r="H45" s="115">
        <f>G45/41071*100</f>
        <v>5.9802302132336509</v>
      </c>
      <c r="I45" s="163">
        <v>94</v>
      </c>
    </row>
    <row r="46" spans="2:9" s="101" customFormat="1" ht="13" x14ac:dyDescent="0.45">
      <c r="B46" s="351" t="s">
        <v>10</v>
      </c>
      <c r="C46" s="127" t="s">
        <v>569</v>
      </c>
      <c r="D46" s="158" t="s">
        <v>581</v>
      </c>
      <c r="E46" s="159">
        <v>1993</v>
      </c>
      <c r="F46" s="119">
        <v>519</v>
      </c>
      <c r="G46" s="120">
        <f t="shared" si="14"/>
        <v>2604.114400401405</v>
      </c>
      <c r="H46" s="121">
        <f>G46/41071*100</f>
        <v>6.3405186150846209</v>
      </c>
      <c r="I46" s="160">
        <v>94</v>
      </c>
    </row>
    <row r="47" spans="2:9" s="101" customFormat="1" ht="13" x14ac:dyDescent="0.45">
      <c r="B47" s="351"/>
      <c r="C47" s="127" t="s">
        <v>872</v>
      </c>
      <c r="D47" s="161" t="s">
        <v>582</v>
      </c>
      <c r="E47" s="162">
        <v>2000</v>
      </c>
      <c r="F47" s="113">
        <v>4351</v>
      </c>
      <c r="G47" s="114">
        <f t="shared" si="14"/>
        <v>21755</v>
      </c>
      <c r="H47" s="115">
        <f>G47/41071*100</f>
        <v>52.969248374765655</v>
      </c>
      <c r="I47" s="163">
        <v>47</v>
      </c>
    </row>
    <row r="48" spans="2:9" s="101" customFormat="1" ht="13" x14ac:dyDescent="0.45">
      <c r="B48" s="18" t="s">
        <v>13</v>
      </c>
      <c r="C48" s="123" t="s">
        <v>568</v>
      </c>
      <c r="D48" s="164" t="s">
        <v>583</v>
      </c>
      <c r="E48" s="165">
        <v>1999</v>
      </c>
      <c r="F48" s="138">
        <v>8210</v>
      </c>
      <c r="G48" s="139">
        <f t="shared" si="14"/>
        <v>41070.535267633815</v>
      </c>
      <c r="H48" s="140">
        <f>G48/41071*100</f>
        <v>99.998868465909808</v>
      </c>
      <c r="I48" s="166">
        <v>0</v>
      </c>
    </row>
    <row r="49" spans="2:9" s="101" customFormat="1" ht="13" x14ac:dyDescent="0.45">
      <c r="B49" s="15" t="s">
        <v>7</v>
      </c>
      <c r="C49" s="15" t="s">
        <v>8</v>
      </c>
      <c r="D49" s="161" t="s">
        <v>580</v>
      </c>
      <c r="E49" s="162">
        <v>1996</v>
      </c>
      <c r="F49" s="113">
        <v>192</v>
      </c>
      <c r="G49" s="114">
        <f t="shared" si="14"/>
        <v>961.9238476953908</v>
      </c>
      <c r="H49" s="115">
        <f>G49/39678*100</f>
        <v>2.424325439022609</v>
      </c>
      <c r="I49" s="163">
        <v>98</v>
      </c>
    </row>
    <row r="50" spans="2:9" s="101" customFormat="1" ht="12.5" x14ac:dyDescent="0.45">
      <c r="B50" s="351" t="s">
        <v>10</v>
      </c>
      <c r="C50" s="369"/>
      <c r="D50" s="158" t="s">
        <v>581</v>
      </c>
      <c r="E50" s="159">
        <v>2001</v>
      </c>
      <c r="F50" s="119">
        <v>164</v>
      </c>
      <c r="G50" s="120">
        <f t="shared" si="14"/>
        <v>819.59020489755119</v>
      </c>
      <c r="H50" s="121">
        <f>G50/39678*100</f>
        <v>2.0656036213961166</v>
      </c>
      <c r="I50" s="160">
        <v>98</v>
      </c>
    </row>
    <row r="51" spans="2:9" s="101" customFormat="1" ht="12.5" x14ac:dyDescent="0.45">
      <c r="B51" s="351"/>
      <c r="C51" s="369"/>
      <c r="D51" s="161" t="s">
        <v>582</v>
      </c>
      <c r="E51" s="162">
        <v>1999</v>
      </c>
      <c r="F51" s="113">
        <v>811</v>
      </c>
      <c r="G51" s="114">
        <f t="shared" si="14"/>
        <v>4057.0285142571288</v>
      </c>
      <c r="H51" s="115">
        <f>G51/39678*100</f>
        <v>10.22488158238099</v>
      </c>
      <c r="I51" s="163">
        <v>90</v>
      </c>
    </row>
    <row r="52" spans="2:9" s="101" customFormat="1" ht="13" x14ac:dyDescent="0.45">
      <c r="B52" s="18" t="s">
        <v>13</v>
      </c>
      <c r="C52" s="154" t="s">
        <v>579</v>
      </c>
      <c r="D52" s="164" t="s">
        <v>583</v>
      </c>
      <c r="E52" s="165">
        <v>1988</v>
      </c>
      <c r="F52" s="138">
        <v>7888</v>
      </c>
      <c r="G52" s="139">
        <f t="shared" si="14"/>
        <v>39678.06841046278</v>
      </c>
      <c r="H52" s="140">
        <f>G52/39678*100</f>
        <v>100.00017241409039</v>
      </c>
      <c r="I52" s="166">
        <v>0</v>
      </c>
    </row>
    <row r="53" spans="2:9" s="101" customFormat="1" ht="13" x14ac:dyDescent="0.45">
      <c r="B53" s="13"/>
      <c r="C53" s="13"/>
    </row>
    <row r="54" spans="2:9" s="101" customFormat="1" ht="13" x14ac:dyDescent="0.45">
      <c r="B54" s="13"/>
      <c r="C54" s="13"/>
    </row>
    <row r="55" spans="2:9" s="101" customFormat="1" ht="13" x14ac:dyDescent="0.45">
      <c r="B55" s="13"/>
      <c r="C55" s="13" t="s">
        <v>19</v>
      </c>
    </row>
    <row r="56" spans="2:9" s="101" customFormat="1" ht="13" x14ac:dyDescent="0.45">
      <c r="H56" s="24"/>
    </row>
    <row r="57" spans="2:9" s="102" customFormat="1" ht="13" x14ac:dyDescent="0.45">
      <c r="B57" s="15"/>
      <c r="C57" s="17"/>
      <c r="D57" s="16" t="s">
        <v>2</v>
      </c>
      <c r="E57" s="17" t="s">
        <v>3</v>
      </c>
      <c r="F57" s="16" t="s">
        <v>4</v>
      </c>
      <c r="G57" s="17" t="s">
        <v>854</v>
      </c>
      <c r="H57" s="16" t="s">
        <v>5</v>
      </c>
      <c r="I57" s="17" t="s">
        <v>6</v>
      </c>
    </row>
    <row r="58" spans="2:9" s="102" customFormat="1" ht="13" x14ac:dyDescent="0.45">
      <c r="B58" s="18"/>
      <c r="C58" s="20"/>
      <c r="D58" s="13"/>
      <c r="E58" s="68"/>
      <c r="F58" s="13"/>
      <c r="G58" s="20" t="s">
        <v>797</v>
      </c>
      <c r="I58" s="68"/>
    </row>
    <row r="59" spans="2:9" s="101" customFormat="1" ht="13" x14ac:dyDescent="0.45">
      <c r="B59" s="15" t="s">
        <v>7</v>
      </c>
      <c r="C59" s="15" t="s">
        <v>8</v>
      </c>
      <c r="D59" s="155" t="s">
        <v>580</v>
      </c>
      <c r="E59" s="107">
        <v>1483</v>
      </c>
      <c r="F59" s="107">
        <v>3630</v>
      </c>
      <c r="G59" s="108">
        <f t="shared" ref="G59:G78" si="15">10000*F59/E59</f>
        <v>24477.410654079569</v>
      </c>
      <c r="H59" s="109">
        <f>G59/30771*100</f>
        <v>79.54701067264493</v>
      </c>
      <c r="I59" s="157">
        <v>20</v>
      </c>
    </row>
    <row r="60" spans="2:9" s="101" customFormat="1" ht="13" x14ac:dyDescent="0.45">
      <c r="B60" s="351" t="s">
        <v>10</v>
      </c>
      <c r="C60" s="111"/>
      <c r="D60" s="158" t="s">
        <v>581</v>
      </c>
      <c r="E60" s="119">
        <v>1480</v>
      </c>
      <c r="F60" s="119">
        <v>4162</v>
      </c>
      <c r="G60" s="120">
        <f t="shared" si="15"/>
        <v>28121.62162162162</v>
      </c>
      <c r="H60" s="121">
        <f>G60/30771*100</f>
        <v>91.390015344387962</v>
      </c>
      <c r="I60" s="160">
        <v>9</v>
      </c>
    </row>
    <row r="61" spans="2:9" s="101" customFormat="1" ht="13" x14ac:dyDescent="0.45">
      <c r="B61" s="351"/>
      <c r="C61" s="89"/>
      <c r="D61" s="167" t="s">
        <v>582</v>
      </c>
      <c r="E61" s="168">
        <v>1485</v>
      </c>
      <c r="F61" s="168">
        <v>4439</v>
      </c>
      <c r="G61" s="169">
        <f t="shared" si="15"/>
        <v>29892.255892255893</v>
      </c>
      <c r="H61" s="170">
        <f>G61/30771*100</f>
        <v>97.144245855694948</v>
      </c>
      <c r="I61" s="171">
        <v>3</v>
      </c>
    </row>
    <row r="62" spans="2:9" s="101" customFormat="1" ht="13" x14ac:dyDescent="0.45">
      <c r="B62" s="18" t="s">
        <v>13</v>
      </c>
      <c r="C62" s="123" t="s">
        <v>568</v>
      </c>
      <c r="D62" s="161" t="s">
        <v>583</v>
      </c>
      <c r="E62" s="113">
        <v>1517</v>
      </c>
      <c r="F62" s="113">
        <v>4668</v>
      </c>
      <c r="G62" s="114">
        <f t="shared" si="15"/>
        <v>30771.25906394199</v>
      </c>
      <c r="H62" s="115">
        <f>G62/30771*100</f>
        <v>100.00084190940169</v>
      </c>
      <c r="I62" s="163">
        <v>0</v>
      </c>
    </row>
    <row r="63" spans="2:9" s="101" customFormat="1" ht="13" x14ac:dyDescent="0.45">
      <c r="B63" s="15" t="s">
        <v>7</v>
      </c>
      <c r="C63" s="15" t="s">
        <v>8</v>
      </c>
      <c r="D63" s="155" t="s">
        <v>580</v>
      </c>
      <c r="E63" s="107">
        <v>1508</v>
      </c>
      <c r="F63" s="107">
        <v>553</v>
      </c>
      <c r="G63" s="108">
        <f t="shared" si="15"/>
        <v>3667.1087533156497</v>
      </c>
      <c r="H63" s="109">
        <f>G63/44111*100</f>
        <v>8.3133657212841463</v>
      </c>
      <c r="I63" s="157">
        <v>92</v>
      </c>
    </row>
    <row r="64" spans="2:9" s="101" customFormat="1" ht="13" x14ac:dyDescent="0.45">
      <c r="B64" s="351" t="s">
        <v>10</v>
      </c>
      <c r="C64" s="127" t="s">
        <v>569</v>
      </c>
      <c r="D64" s="158" t="s">
        <v>581</v>
      </c>
      <c r="E64" s="119">
        <v>1495</v>
      </c>
      <c r="F64" s="119">
        <v>646</v>
      </c>
      <c r="G64" s="120">
        <f t="shared" si="15"/>
        <v>4321.0702341137121</v>
      </c>
      <c r="H64" s="121">
        <f>G64/44111*100</f>
        <v>9.7959017798592463</v>
      </c>
      <c r="I64" s="160">
        <v>90</v>
      </c>
    </row>
    <row r="65" spans="2:9" s="101" customFormat="1" ht="13" x14ac:dyDescent="0.45">
      <c r="B65" s="351"/>
      <c r="C65" s="127" t="s">
        <v>866</v>
      </c>
      <c r="D65" s="167" t="s">
        <v>582</v>
      </c>
      <c r="E65" s="168">
        <v>1615</v>
      </c>
      <c r="F65" s="168">
        <v>5357</v>
      </c>
      <c r="G65" s="169">
        <f t="shared" si="15"/>
        <v>33170.278637770898</v>
      </c>
      <c r="H65" s="170">
        <f>G65/44111*100</f>
        <v>75.197294638006156</v>
      </c>
      <c r="I65" s="171">
        <v>25</v>
      </c>
    </row>
    <row r="66" spans="2:9" s="101" customFormat="1" ht="13" x14ac:dyDescent="0.45">
      <c r="B66" s="18" t="s">
        <v>13</v>
      </c>
      <c r="C66" s="123" t="s">
        <v>568</v>
      </c>
      <c r="D66" s="161" t="s">
        <v>583</v>
      </c>
      <c r="E66" s="113">
        <v>1496</v>
      </c>
      <c r="F66" s="113">
        <v>6599</v>
      </c>
      <c r="G66" s="114">
        <f t="shared" si="15"/>
        <v>44110.962566844923</v>
      </c>
      <c r="H66" s="115">
        <f>G66/44111*100</f>
        <v>99.999915138729392</v>
      </c>
      <c r="I66" s="163">
        <v>0</v>
      </c>
    </row>
    <row r="67" spans="2:9" s="101" customFormat="1" ht="13" x14ac:dyDescent="0.45">
      <c r="B67" s="15" t="s">
        <v>7</v>
      </c>
      <c r="C67" s="15" t="s">
        <v>8</v>
      </c>
      <c r="D67" s="155" t="s">
        <v>580</v>
      </c>
      <c r="E67" s="107">
        <v>2000</v>
      </c>
      <c r="F67" s="107">
        <v>285</v>
      </c>
      <c r="G67" s="108">
        <f t="shared" si="15"/>
        <v>1425</v>
      </c>
      <c r="H67" s="109">
        <f>G67/32988*100</f>
        <v>4.3197526373226633</v>
      </c>
      <c r="I67" s="157">
        <v>96</v>
      </c>
    </row>
    <row r="68" spans="2:9" s="101" customFormat="1" ht="13" x14ac:dyDescent="0.45">
      <c r="B68" s="351" t="s">
        <v>10</v>
      </c>
      <c r="C68" s="127" t="s">
        <v>569</v>
      </c>
      <c r="D68" s="158" t="s">
        <v>581</v>
      </c>
      <c r="E68" s="119">
        <v>1995</v>
      </c>
      <c r="F68" s="119">
        <v>691</v>
      </c>
      <c r="G68" s="120">
        <f t="shared" si="15"/>
        <v>3463.6591478696741</v>
      </c>
      <c r="H68" s="121">
        <f>G68/32988*100</f>
        <v>10.499754904418801</v>
      </c>
      <c r="I68" s="160">
        <v>90</v>
      </c>
    </row>
    <row r="69" spans="2:9" s="101" customFormat="1" ht="13" x14ac:dyDescent="0.45">
      <c r="B69" s="351"/>
      <c r="C69" s="127" t="s">
        <v>871</v>
      </c>
      <c r="D69" s="167" t="s">
        <v>582</v>
      </c>
      <c r="E69" s="168">
        <v>2025</v>
      </c>
      <c r="F69" s="168">
        <v>6594</v>
      </c>
      <c r="G69" s="169">
        <f t="shared" si="15"/>
        <v>32562.962962962964</v>
      </c>
      <c r="H69" s="170">
        <f>G69/32988*100</f>
        <v>98.711540447929437</v>
      </c>
      <c r="I69" s="171">
        <v>1</v>
      </c>
    </row>
    <row r="70" spans="2:9" s="101" customFormat="1" ht="13" x14ac:dyDescent="0.45">
      <c r="B70" s="18" t="s">
        <v>13</v>
      </c>
      <c r="C70" s="123" t="s">
        <v>568</v>
      </c>
      <c r="D70" s="164" t="s">
        <v>583</v>
      </c>
      <c r="E70" s="138">
        <v>1991</v>
      </c>
      <c r="F70" s="138">
        <v>6568</v>
      </c>
      <c r="G70" s="139">
        <f t="shared" si="15"/>
        <v>32988.448016072325</v>
      </c>
      <c r="H70" s="140">
        <f>G70/32988*100</f>
        <v>100.0013581183228</v>
      </c>
      <c r="I70" s="166">
        <v>0</v>
      </c>
    </row>
    <row r="71" spans="2:9" s="101" customFormat="1" ht="13" x14ac:dyDescent="0.45">
      <c r="B71" s="15" t="s">
        <v>7</v>
      </c>
      <c r="C71" s="15" t="s">
        <v>8</v>
      </c>
      <c r="D71" s="161" t="s">
        <v>580</v>
      </c>
      <c r="E71" s="113">
        <v>1998</v>
      </c>
      <c r="F71" s="113">
        <v>207</v>
      </c>
      <c r="G71" s="114">
        <f t="shared" si="15"/>
        <v>1036.036036036036</v>
      </c>
      <c r="H71" s="115">
        <f>G71/32819*100</f>
        <v>3.1568178068680828</v>
      </c>
      <c r="I71" s="163">
        <v>97</v>
      </c>
    </row>
    <row r="72" spans="2:9" s="101" customFormat="1" ht="13" x14ac:dyDescent="0.45">
      <c r="B72" s="351" t="s">
        <v>10</v>
      </c>
      <c r="C72" s="127" t="s">
        <v>569</v>
      </c>
      <c r="D72" s="158" t="s">
        <v>581</v>
      </c>
      <c r="E72" s="119">
        <v>2191</v>
      </c>
      <c r="F72" s="119">
        <v>415</v>
      </c>
      <c r="G72" s="120">
        <f t="shared" si="15"/>
        <v>1894.1122774988589</v>
      </c>
      <c r="H72" s="121">
        <f>G72/32819*100</f>
        <v>5.7713893704831314</v>
      </c>
      <c r="I72" s="160">
        <v>94</v>
      </c>
    </row>
    <row r="73" spans="2:9" s="101" customFormat="1" ht="13" x14ac:dyDescent="0.45">
      <c r="B73" s="351"/>
      <c r="C73" s="127" t="s">
        <v>872</v>
      </c>
      <c r="D73" s="167" t="s">
        <v>582</v>
      </c>
      <c r="E73" s="168">
        <v>1994</v>
      </c>
      <c r="F73" s="168">
        <v>6080</v>
      </c>
      <c r="G73" s="169">
        <f t="shared" si="15"/>
        <v>30491.47442326981</v>
      </c>
      <c r="H73" s="170">
        <f>G73/32819*100</f>
        <v>92.907993611230722</v>
      </c>
      <c r="I73" s="171">
        <v>7</v>
      </c>
    </row>
    <row r="74" spans="2:9" s="101" customFormat="1" ht="13" x14ac:dyDescent="0.45">
      <c r="B74" s="18" t="s">
        <v>13</v>
      </c>
      <c r="C74" s="123" t="s">
        <v>568</v>
      </c>
      <c r="D74" s="164" t="s">
        <v>583</v>
      </c>
      <c r="E74" s="138">
        <v>1990</v>
      </c>
      <c r="F74" s="138">
        <v>6531</v>
      </c>
      <c r="G74" s="139">
        <f t="shared" si="15"/>
        <v>32819.095477386938</v>
      </c>
      <c r="H74" s="140">
        <f>G74/32819*100</f>
        <v>100.00029092107296</v>
      </c>
      <c r="I74" s="166">
        <v>0</v>
      </c>
    </row>
    <row r="75" spans="2:9" s="101" customFormat="1" ht="13" x14ac:dyDescent="0.45">
      <c r="B75" s="15" t="s">
        <v>7</v>
      </c>
      <c r="C75" s="15" t="s">
        <v>8</v>
      </c>
      <c r="D75" s="161" t="s">
        <v>580</v>
      </c>
      <c r="E75" s="113">
        <v>1497</v>
      </c>
      <c r="F75" s="113">
        <v>60</v>
      </c>
      <c r="G75" s="114">
        <f t="shared" si="15"/>
        <v>400.80160320641284</v>
      </c>
      <c r="H75" s="115">
        <f>G75/36260*100</f>
        <v>1.1053546696260697</v>
      </c>
      <c r="I75" s="163">
        <v>99</v>
      </c>
    </row>
    <row r="76" spans="2:9" s="101" customFormat="1" ht="12.5" x14ac:dyDescent="0.45">
      <c r="B76" s="351" t="s">
        <v>10</v>
      </c>
      <c r="C76" s="369"/>
      <c r="D76" s="158" t="s">
        <v>581</v>
      </c>
      <c r="E76" s="119">
        <v>1494</v>
      </c>
      <c r="F76" s="119">
        <v>127</v>
      </c>
      <c r="G76" s="120">
        <f t="shared" si="15"/>
        <v>850.06693440428376</v>
      </c>
      <c r="H76" s="121">
        <f>G76/36260*100</f>
        <v>2.3443655113190394</v>
      </c>
      <c r="I76" s="160">
        <v>98</v>
      </c>
    </row>
    <row r="77" spans="2:9" s="101" customFormat="1" ht="12.5" x14ac:dyDescent="0.45">
      <c r="B77" s="351"/>
      <c r="C77" s="369"/>
      <c r="D77" s="161" t="s">
        <v>582</v>
      </c>
      <c r="E77" s="113">
        <v>1234</v>
      </c>
      <c r="F77" s="113">
        <v>978</v>
      </c>
      <c r="G77" s="114">
        <f t="shared" si="15"/>
        <v>7925.4457050243109</v>
      </c>
      <c r="H77" s="115">
        <f>G77/36260*100</f>
        <v>21.857268905196666</v>
      </c>
      <c r="I77" s="163">
        <v>78</v>
      </c>
    </row>
    <row r="78" spans="2:9" s="101" customFormat="1" ht="13" x14ac:dyDescent="0.45">
      <c r="B78" s="18" t="s">
        <v>13</v>
      </c>
      <c r="C78" s="154" t="s">
        <v>579</v>
      </c>
      <c r="D78" s="164" t="s">
        <v>583</v>
      </c>
      <c r="E78" s="138">
        <v>1222</v>
      </c>
      <c r="F78" s="138">
        <v>4431</v>
      </c>
      <c r="G78" s="139">
        <f t="shared" si="15"/>
        <v>36260.229132569555</v>
      </c>
      <c r="H78" s="140">
        <f>G78/36260*100</f>
        <v>100.00063191552553</v>
      </c>
      <c r="I78" s="166">
        <v>0</v>
      </c>
    </row>
    <row r="79" spans="2:9" s="101" customFormat="1" ht="13" x14ac:dyDescent="0.45">
      <c r="B79" s="13"/>
      <c r="C79" s="13"/>
    </row>
    <row r="80" spans="2:9" s="101" customFormat="1" ht="13" x14ac:dyDescent="0.45">
      <c r="B80" s="13"/>
      <c r="C80" s="13"/>
    </row>
    <row r="81" s="14" customFormat="1" x14ac:dyDescent="0.45"/>
    <row r="82" s="14" customFormat="1" x14ac:dyDescent="0.45"/>
    <row r="83" s="14" customFormat="1" x14ac:dyDescent="0.45"/>
    <row r="85" s="14" customFormat="1" x14ac:dyDescent="0.45"/>
  </sheetData>
  <mergeCells count="18">
    <mergeCell ref="B76:B77"/>
    <mergeCell ref="C76:C77"/>
    <mergeCell ref="B15:B16"/>
    <mergeCell ref="B19:B20"/>
    <mergeCell ref="B23:B24"/>
    <mergeCell ref="C23:C24"/>
    <mergeCell ref="B34:B35"/>
    <mergeCell ref="B50:B51"/>
    <mergeCell ref="C50:C51"/>
    <mergeCell ref="B60:B61"/>
    <mergeCell ref="B64:B65"/>
    <mergeCell ref="B68:B69"/>
    <mergeCell ref="B72:B73"/>
    <mergeCell ref="B7:B8"/>
    <mergeCell ref="B11:B12"/>
    <mergeCell ref="B38:B39"/>
    <mergeCell ref="B42:B43"/>
    <mergeCell ref="B46:B47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C543-E37F-4DD4-9859-491E4A930119}">
  <dimension ref="B2:O65"/>
  <sheetViews>
    <sheetView zoomScale="90" zoomScaleNormal="90" workbookViewId="0">
      <selection activeCell="N26" sqref="N26"/>
    </sheetView>
  </sheetViews>
  <sheetFormatPr defaultColWidth="9" defaultRowHeight="14" x14ac:dyDescent="0.3"/>
  <cols>
    <col min="1" max="1" width="5.25" style="25" customWidth="1"/>
    <col min="2" max="2" width="15.5" style="37" customWidth="1"/>
    <col min="3" max="3" width="6.33203125" style="35" customWidth="1"/>
    <col min="4" max="5" width="6.5" style="36" customWidth="1"/>
    <col min="6" max="6" width="6.75" style="36" bestFit="1" customWidth="1"/>
    <col min="7" max="7" width="6.08203125" style="25" bestFit="1" customWidth="1"/>
    <col min="8" max="8" width="6.75" style="25" customWidth="1"/>
    <col min="9" max="9" width="7.33203125" style="25" bestFit="1" customWidth="1"/>
    <col min="10" max="10" width="6.75" style="25" customWidth="1"/>
    <col min="11" max="11" width="7.33203125" style="25" bestFit="1" customWidth="1"/>
    <col min="12" max="12" width="6.75" style="25" customWidth="1"/>
    <col min="13" max="13" width="10.75" style="25" customWidth="1"/>
    <col min="14" max="14" width="31.08203125" style="25" bestFit="1" customWidth="1"/>
    <col min="15" max="16384" width="9" style="25"/>
  </cols>
  <sheetData>
    <row r="2" spans="2:15" s="95" customFormat="1" ht="13" x14ac:dyDescent="0.25">
      <c r="C2" s="100" t="s">
        <v>108</v>
      </c>
      <c r="D2" s="101"/>
      <c r="E2" s="101"/>
    </row>
    <row r="3" spans="2:15" s="95" customFormat="1" ht="13" x14ac:dyDescent="0.25">
      <c r="C3" s="100"/>
      <c r="D3" s="101"/>
      <c r="E3" s="101"/>
    </row>
    <row r="4" spans="2:15" s="95" customFormat="1" ht="12.75" customHeight="1" x14ac:dyDescent="0.25">
      <c r="B4" s="4"/>
      <c r="C4" s="263" t="s">
        <v>72</v>
      </c>
      <c r="D4" s="263" t="s">
        <v>172</v>
      </c>
      <c r="E4" s="358" t="s">
        <v>173</v>
      </c>
      <c r="F4" s="359"/>
      <c r="G4" s="358" t="s">
        <v>174</v>
      </c>
      <c r="H4" s="359"/>
      <c r="I4" s="358" t="s">
        <v>103</v>
      </c>
      <c r="J4" s="359"/>
      <c r="K4" s="358" t="s">
        <v>175</v>
      </c>
      <c r="L4" s="359"/>
    </row>
    <row r="5" spans="2:15" s="95" customFormat="1" ht="12.75" customHeight="1" x14ac:dyDescent="0.3">
      <c r="B5" s="4"/>
      <c r="C5" s="263"/>
      <c r="D5" s="263"/>
      <c r="E5" s="263"/>
      <c r="F5" s="27"/>
      <c r="G5" s="263"/>
      <c r="H5" s="27"/>
      <c r="I5" s="263"/>
      <c r="J5" s="27"/>
      <c r="K5" s="263"/>
      <c r="L5" s="27"/>
      <c r="N5" s="103" t="s">
        <v>71</v>
      </c>
    </row>
    <row r="6" spans="2:15" s="95" customFormat="1" ht="12.75" customHeight="1" x14ac:dyDescent="0.25">
      <c r="B6" s="354" t="s">
        <v>99</v>
      </c>
      <c r="C6" s="58" t="s">
        <v>553</v>
      </c>
      <c r="D6" s="65">
        <v>19.8</v>
      </c>
      <c r="E6" s="40">
        <v>19.64</v>
      </c>
      <c r="F6" s="41">
        <f>E6/D6*100</f>
        <v>99.191919191919183</v>
      </c>
      <c r="G6" s="40">
        <v>19.77</v>
      </c>
      <c r="H6" s="41">
        <f>G6/D6*100</f>
        <v>99.848484848484844</v>
      </c>
      <c r="I6" s="40">
        <v>19.88</v>
      </c>
      <c r="J6" s="41">
        <f>I6/D6*100</f>
        <v>100.40404040404039</v>
      </c>
      <c r="K6" s="40">
        <v>20.100000000000001</v>
      </c>
      <c r="L6" s="41">
        <f>K6/D6*100</f>
        <v>101.51515151515152</v>
      </c>
    </row>
    <row r="7" spans="2:15" s="95" customFormat="1" ht="12.75" customHeight="1" x14ac:dyDescent="0.3">
      <c r="B7" s="354"/>
      <c r="C7" s="58" t="s">
        <v>596</v>
      </c>
      <c r="D7" s="65">
        <v>18.09</v>
      </c>
      <c r="E7" s="40">
        <v>17.850000000000001</v>
      </c>
      <c r="F7" s="41">
        <f t="shared" ref="F7:F30" si="0">E7/D7*100</f>
        <v>98.673300165837489</v>
      </c>
      <c r="G7" s="40">
        <v>18.21</v>
      </c>
      <c r="H7" s="41">
        <f t="shared" ref="H7:H30" si="1">G7/D7*100</f>
        <v>100.66334991708126</v>
      </c>
      <c r="I7" s="40">
        <v>18.8</v>
      </c>
      <c r="J7" s="41">
        <f t="shared" ref="J7:J25" si="2">I7/D7*100</f>
        <v>103.92482034273081</v>
      </c>
      <c r="K7" s="40">
        <v>19.239999999999998</v>
      </c>
      <c r="L7" s="41">
        <f t="shared" ref="L7:L25" si="3">K7/D7*100</f>
        <v>106.35710337202873</v>
      </c>
      <c r="N7" s="7" t="s">
        <v>140</v>
      </c>
      <c r="O7" s="3"/>
    </row>
    <row r="8" spans="2:15" s="95" customFormat="1" ht="12.75" customHeight="1" x14ac:dyDescent="0.25">
      <c r="B8" s="354"/>
      <c r="C8" s="58" t="s">
        <v>555</v>
      </c>
      <c r="D8" s="65">
        <v>19.170000000000002</v>
      </c>
      <c r="E8" s="40">
        <v>18.260000000000002</v>
      </c>
      <c r="F8" s="41">
        <f t="shared" si="0"/>
        <v>95.252999478351583</v>
      </c>
      <c r="G8" s="40">
        <v>18.78</v>
      </c>
      <c r="H8" s="41">
        <f t="shared" si="1"/>
        <v>97.965571205007819</v>
      </c>
      <c r="I8" s="40">
        <v>19.260000000000002</v>
      </c>
      <c r="J8" s="41">
        <f t="shared" si="2"/>
        <v>100.46948356807512</v>
      </c>
      <c r="K8" s="40">
        <v>21.08</v>
      </c>
      <c r="L8" s="41">
        <f t="shared" si="3"/>
        <v>109.96348461137191</v>
      </c>
      <c r="N8" s="2"/>
      <c r="O8" s="3"/>
    </row>
    <row r="9" spans="2:15" s="95" customFormat="1" ht="12.75" customHeight="1" x14ac:dyDescent="0.25">
      <c r="B9" s="354"/>
      <c r="C9" s="58" t="s">
        <v>556</v>
      </c>
      <c r="D9" s="65">
        <v>18.510000000000002</v>
      </c>
      <c r="E9" s="40">
        <v>18.71</v>
      </c>
      <c r="F9" s="41">
        <f t="shared" si="0"/>
        <v>101.08049702863318</v>
      </c>
      <c r="G9" s="40">
        <v>18.989999999999998</v>
      </c>
      <c r="H9" s="41">
        <f t="shared" si="1"/>
        <v>102.5931928687196</v>
      </c>
      <c r="I9" s="40">
        <v>19.12</v>
      </c>
      <c r="J9" s="41">
        <f t="shared" si="2"/>
        <v>103.29551593733117</v>
      </c>
      <c r="K9" s="40">
        <v>19.72</v>
      </c>
      <c r="L9" s="41">
        <f t="shared" si="3"/>
        <v>106.53700702323067</v>
      </c>
      <c r="N9" s="2" t="s">
        <v>141</v>
      </c>
      <c r="O9" s="3"/>
    </row>
    <row r="10" spans="2:15" s="95" customFormat="1" ht="12.75" customHeight="1" x14ac:dyDescent="0.25">
      <c r="B10" s="354"/>
      <c r="C10" s="58" t="s">
        <v>557</v>
      </c>
      <c r="D10" s="65">
        <v>19.68</v>
      </c>
      <c r="E10" s="40">
        <v>19.02</v>
      </c>
      <c r="F10" s="41">
        <f t="shared" si="0"/>
        <v>96.646341463414629</v>
      </c>
      <c r="G10" s="40">
        <v>17.21</v>
      </c>
      <c r="H10" s="41">
        <f t="shared" si="1"/>
        <v>87.449186991869922</v>
      </c>
      <c r="I10" s="40">
        <v>19.47</v>
      </c>
      <c r="J10" s="41">
        <f t="shared" si="2"/>
        <v>98.932926829268283</v>
      </c>
      <c r="K10" s="40">
        <v>20.29</v>
      </c>
      <c r="L10" s="41">
        <f t="shared" si="3"/>
        <v>103.09959349593495</v>
      </c>
      <c r="N10" s="2" t="s">
        <v>142</v>
      </c>
      <c r="O10" s="3">
        <v>24.49</v>
      </c>
    </row>
    <row r="11" spans="2:15" s="95" customFormat="1" ht="12.75" customHeight="1" x14ac:dyDescent="0.25">
      <c r="B11" s="354" t="s">
        <v>873</v>
      </c>
      <c r="C11" s="58" t="s">
        <v>558</v>
      </c>
      <c r="D11" s="65">
        <v>19.59</v>
      </c>
      <c r="E11" s="40">
        <v>19</v>
      </c>
      <c r="F11" s="41">
        <f t="shared" si="0"/>
        <v>96.988259315977544</v>
      </c>
      <c r="G11" s="40">
        <v>18.78</v>
      </c>
      <c r="H11" s="41">
        <f t="shared" si="1"/>
        <v>95.865237366003058</v>
      </c>
      <c r="I11" s="40">
        <v>18.46</v>
      </c>
      <c r="J11" s="41">
        <f t="shared" si="2"/>
        <v>94.23175089331292</v>
      </c>
      <c r="K11" s="40">
        <v>19.43</v>
      </c>
      <c r="L11" s="41">
        <f t="shared" si="3"/>
        <v>99.183256763654924</v>
      </c>
      <c r="N11" s="2" t="s">
        <v>143</v>
      </c>
      <c r="O11" s="3">
        <v>4</v>
      </c>
    </row>
    <row r="12" spans="2:15" s="95" customFormat="1" ht="12.75" customHeight="1" x14ac:dyDescent="0.3">
      <c r="B12" s="354"/>
      <c r="C12" s="58" t="s">
        <v>559</v>
      </c>
      <c r="D12" s="65">
        <v>19.53</v>
      </c>
      <c r="E12" s="40">
        <v>18.95</v>
      </c>
      <c r="F12" s="41">
        <f t="shared" si="0"/>
        <v>97.030209933435728</v>
      </c>
      <c r="G12" s="40">
        <v>18.96</v>
      </c>
      <c r="H12" s="41">
        <f t="shared" si="1"/>
        <v>97.081413210445461</v>
      </c>
      <c r="I12" s="40">
        <v>18.98</v>
      </c>
      <c r="J12" s="41">
        <f t="shared" si="2"/>
        <v>97.183819764464914</v>
      </c>
      <c r="K12" s="40">
        <v>19.72</v>
      </c>
      <c r="L12" s="41">
        <f t="shared" si="3"/>
        <v>100.97286226318482</v>
      </c>
      <c r="N12" s="7" t="s">
        <v>47</v>
      </c>
      <c r="O12" s="8" t="s">
        <v>48</v>
      </c>
    </row>
    <row r="13" spans="2:15" s="95" customFormat="1" ht="12.75" customHeight="1" x14ac:dyDescent="0.3">
      <c r="B13" s="354"/>
      <c r="C13" s="58" t="s">
        <v>560</v>
      </c>
      <c r="D13" s="65">
        <v>20.22</v>
      </c>
      <c r="E13" s="40">
        <v>19.18</v>
      </c>
      <c r="F13" s="41">
        <f t="shared" si="0"/>
        <v>94.856577645895158</v>
      </c>
      <c r="G13" s="40">
        <v>19.22</v>
      </c>
      <c r="H13" s="41">
        <f t="shared" si="1"/>
        <v>95.054401582591495</v>
      </c>
      <c r="I13" s="40">
        <v>19.11</v>
      </c>
      <c r="J13" s="41">
        <f t="shared" si="2"/>
        <v>94.510385756676556</v>
      </c>
      <c r="K13" s="40">
        <v>20.51</v>
      </c>
      <c r="L13" s="41">
        <f t="shared" si="3"/>
        <v>101.43422354104847</v>
      </c>
      <c r="N13" s="7" t="s">
        <v>49</v>
      </c>
      <c r="O13" s="8" t="s">
        <v>50</v>
      </c>
    </row>
    <row r="14" spans="2:15" s="95" customFormat="1" ht="12.75" customHeight="1" x14ac:dyDescent="0.25">
      <c r="B14" s="354"/>
      <c r="C14" s="58" t="s">
        <v>561</v>
      </c>
      <c r="D14" s="65">
        <v>20.03</v>
      </c>
      <c r="E14" s="40">
        <v>19.260000000000002</v>
      </c>
      <c r="F14" s="41">
        <f t="shared" si="0"/>
        <v>96.155766350474295</v>
      </c>
      <c r="G14" s="40">
        <v>19.25</v>
      </c>
      <c r="H14" s="41">
        <f t="shared" si="1"/>
        <v>96.105841238142773</v>
      </c>
      <c r="I14" s="40">
        <v>19.23</v>
      </c>
      <c r="J14" s="41">
        <f t="shared" si="2"/>
        <v>96.005991013479772</v>
      </c>
      <c r="K14" s="40">
        <v>19.600000000000001</v>
      </c>
      <c r="L14" s="41">
        <f t="shared" si="3"/>
        <v>97.853220169745384</v>
      </c>
      <c r="N14" s="2" t="s">
        <v>144</v>
      </c>
      <c r="O14" s="3" t="s">
        <v>52</v>
      </c>
    </row>
    <row r="15" spans="2:15" s="95" customFormat="1" ht="12.75" customHeight="1" x14ac:dyDescent="0.25">
      <c r="B15" s="354"/>
      <c r="C15" s="58" t="s">
        <v>562</v>
      </c>
      <c r="D15" s="65">
        <v>20.09</v>
      </c>
      <c r="E15" s="40">
        <v>19.510000000000002</v>
      </c>
      <c r="F15" s="41">
        <f t="shared" si="0"/>
        <v>97.112991538078646</v>
      </c>
      <c r="G15" s="40">
        <v>19.329999999999998</v>
      </c>
      <c r="H15" s="41">
        <f t="shared" si="1"/>
        <v>96.217023394723739</v>
      </c>
      <c r="I15" s="40">
        <v>19.27</v>
      </c>
      <c r="J15" s="41">
        <f t="shared" si="2"/>
        <v>95.918367346938766</v>
      </c>
      <c r="K15" s="40">
        <v>20.38</v>
      </c>
      <c r="L15" s="41">
        <f t="shared" si="3"/>
        <v>101.44350423096067</v>
      </c>
      <c r="N15" s="2"/>
      <c r="O15" s="3"/>
    </row>
    <row r="16" spans="2:15" s="95" customFormat="1" ht="12.75" customHeight="1" x14ac:dyDescent="0.25">
      <c r="B16" s="354" t="s">
        <v>874</v>
      </c>
      <c r="C16" s="58" t="s">
        <v>563</v>
      </c>
      <c r="D16" s="65">
        <v>20.47</v>
      </c>
      <c r="E16" s="40">
        <v>19.52</v>
      </c>
      <c r="F16" s="41">
        <f t="shared" si="0"/>
        <v>95.35906204201271</v>
      </c>
      <c r="G16" s="40">
        <v>19.98</v>
      </c>
      <c r="H16" s="41">
        <f t="shared" si="1"/>
        <v>97.606253053248665</v>
      </c>
      <c r="I16" s="40">
        <v>20.47</v>
      </c>
      <c r="J16" s="41">
        <f t="shared" si="2"/>
        <v>100</v>
      </c>
      <c r="K16" s="40">
        <v>20.98</v>
      </c>
      <c r="L16" s="41">
        <f t="shared" si="3"/>
        <v>102.49145090376162</v>
      </c>
      <c r="N16" s="2" t="s">
        <v>145</v>
      </c>
      <c r="O16" s="3"/>
    </row>
    <row r="17" spans="2:15" s="95" customFormat="1" ht="12.75" customHeight="1" x14ac:dyDescent="0.25">
      <c r="B17" s="354"/>
      <c r="C17" s="58" t="s">
        <v>597</v>
      </c>
      <c r="D17" s="65">
        <v>18.79</v>
      </c>
      <c r="E17" s="40">
        <v>18.41</v>
      </c>
      <c r="F17" s="41">
        <f t="shared" si="0"/>
        <v>97.977647684938802</v>
      </c>
      <c r="G17" s="40">
        <v>18.5</v>
      </c>
      <c r="H17" s="41">
        <f t="shared" si="1"/>
        <v>98.456625864821717</v>
      </c>
      <c r="I17" s="40">
        <v>18.5</v>
      </c>
      <c r="J17" s="41">
        <f t="shared" si="2"/>
        <v>98.456625864821717</v>
      </c>
      <c r="K17" s="40">
        <v>20.34</v>
      </c>
      <c r="L17" s="41">
        <f t="shared" si="3"/>
        <v>108.24906865353911</v>
      </c>
      <c r="N17" s="2" t="s">
        <v>142</v>
      </c>
      <c r="O17" s="3">
        <v>11.24</v>
      </c>
    </row>
    <row r="18" spans="2:15" s="95" customFormat="1" ht="12.75" customHeight="1" x14ac:dyDescent="0.25">
      <c r="B18" s="354"/>
      <c r="C18" s="58" t="s">
        <v>598</v>
      </c>
      <c r="D18" s="65">
        <v>19.32</v>
      </c>
      <c r="E18" s="40">
        <v>19.95</v>
      </c>
      <c r="F18" s="41">
        <f t="shared" si="0"/>
        <v>103.26086956521738</v>
      </c>
      <c r="G18" s="40">
        <v>20.12</v>
      </c>
      <c r="H18" s="41">
        <f t="shared" si="1"/>
        <v>104.1407867494824</v>
      </c>
      <c r="I18" s="40">
        <v>20.58</v>
      </c>
      <c r="J18" s="41">
        <f t="shared" si="2"/>
        <v>106.52173913043477</v>
      </c>
      <c r="K18" s="40">
        <v>21.33</v>
      </c>
      <c r="L18" s="41">
        <f t="shared" si="3"/>
        <v>110.40372670807453</v>
      </c>
      <c r="N18" s="2" t="s">
        <v>143</v>
      </c>
      <c r="O18" s="3">
        <v>1</v>
      </c>
    </row>
    <row r="19" spans="2:15" s="95" customFormat="1" ht="12.75" customHeight="1" x14ac:dyDescent="0.25">
      <c r="B19" s="354"/>
      <c r="C19" s="58" t="s">
        <v>599</v>
      </c>
      <c r="D19" s="65">
        <v>19.71</v>
      </c>
      <c r="E19" s="40">
        <v>19.3</v>
      </c>
      <c r="F19" s="41">
        <f t="shared" si="0"/>
        <v>97.919837645865044</v>
      </c>
      <c r="G19" s="40">
        <v>19.54</v>
      </c>
      <c r="H19" s="41">
        <f t="shared" si="1"/>
        <v>99.137493658041592</v>
      </c>
      <c r="I19" s="40">
        <v>19.68</v>
      </c>
      <c r="J19" s="41">
        <f t="shared" si="2"/>
        <v>99.847792998477928</v>
      </c>
      <c r="K19" s="40">
        <v>20.72</v>
      </c>
      <c r="L19" s="41">
        <f t="shared" si="3"/>
        <v>105.12430238457635</v>
      </c>
      <c r="N19" s="2" t="s">
        <v>47</v>
      </c>
      <c r="O19" s="3">
        <v>8.0000000000000004E-4</v>
      </c>
    </row>
    <row r="20" spans="2:15" s="95" customFormat="1" ht="12.75" customHeight="1" x14ac:dyDescent="0.25">
      <c r="B20" s="354"/>
      <c r="C20" s="58" t="s">
        <v>600</v>
      </c>
      <c r="D20" s="65">
        <v>19.28</v>
      </c>
      <c r="E20" s="40">
        <v>18.64</v>
      </c>
      <c r="F20" s="41">
        <f t="shared" si="0"/>
        <v>96.680497925311201</v>
      </c>
      <c r="G20" s="40">
        <v>19.190000000000001</v>
      </c>
      <c r="H20" s="41">
        <f t="shared" si="1"/>
        <v>99.533195020746888</v>
      </c>
      <c r="I20" s="40">
        <v>19.350000000000001</v>
      </c>
      <c r="J20" s="41">
        <f t="shared" si="2"/>
        <v>100.36307053941908</v>
      </c>
      <c r="K20" s="40">
        <v>20.75</v>
      </c>
      <c r="L20" s="41">
        <f t="shared" si="3"/>
        <v>107.62448132780082</v>
      </c>
      <c r="N20" s="2" t="s">
        <v>49</v>
      </c>
      <c r="O20" s="3" t="s">
        <v>50</v>
      </c>
    </row>
    <row r="21" spans="2:15" s="95" customFormat="1" ht="12.75" customHeight="1" x14ac:dyDescent="0.25">
      <c r="B21" s="354" t="s">
        <v>875</v>
      </c>
      <c r="C21" s="58" t="s">
        <v>601</v>
      </c>
      <c r="D21" s="65">
        <v>19.96</v>
      </c>
      <c r="E21" s="40">
        <v>18.86</v>
      </c>
      <c r="F21" s="41">
        <f t="shared" si="0"/>
        <v>94.488977955911807</v>
      </c>
      <c r="G21" s="40">
        <v>18.850000000000001</v>
      </c>
      <c r="H21" s="41">
        <f t="shared" si="1"/>
        <v>94.438877755511029</v>
      </c>
      <c r="I21" s="40">
        <v>18.739999999999998</v>
      </c>
      <c r="J21" s="41">
        <f t="shared" si="2"/>
        <v>93.887775551102195</v>
      </c>
      <c r="K21" s="40">
        <v>19.8</v>
      </c>
      <c r="L21" s="41">
        <f t="shared" si="3"/>
        <v>99.198396793587179</v>
      </c>
      <c r="N21" s="2" t="s">
        <v>147</v>
      </c>
      <c r="O21" s="3" t="s">
        <v>52</v>
      </c>
    </row>
    <row r="22" spans="2:15" s="95" customFormat="1" ht="12.75" customHeight="1" x14ac:dyDescent="0.25">
      <c r="B22" s="354"/>
      <c r="C22" s="58" t="s">
        <v>602</v>
      </c>
      <c r="D22" s="65">
        <v>19.13</v>
      </c>
      <c r="E22" s="40">
        <v>18.45</v>
      </c>
      <c r="F22" s="41">
        <f t="shared" si="0"/>
        <v>96.445373758494512</v>
      </c>
      <c r="G22" s="40">
        <v>18.12</v>
      </c>
      <c r="H22" s="41">
        <f t="shared" si="1"/>
        <v>94.720334553058038</v>
      </c>
      <c r="I22" s="40">
        <v>17.73</v>
      </c>
      <c r="J22" s="41">
        <f t="shared" si="2"/>
        <v>92.681651855723999</v>
      </c>
      <c r="K22" s="40">
        <v>18.8</v>
      </c>
      <c r="L22" s="41">
        <f t="shared" si="3"/>
        <v>98.274960794563526</v>
      </c>
    </row>
    <row r="23" spans="2:15" s="95" customFormat="1" ht="12.75" customHeight="1" x14ac:dyDescent="0.25">
      <c r="B23" s="354"/>
      <c r="C23" s="58" t="s">
        <v>603</v>
      </c>
      <c r="D23" s="65">
        <v>17.93</v>
      </c>
      <c r="E23" s="40">
        <v>17.36</v>
      </c>
      <c r="F23" s="41">
        <f t="shared" si="0"/>
        <v>96.820970440602338</v>
      </c>
      <c r="G23" s="40">
        <v>17.22</v>
      </c>
      <c r="H23" s="41">
        <f t="shared" si="1"/>
        <v>96.040156162855553</v>
      </c>
      <c r="I23" s="40">
        <v>17.14</v>
      </c>
      <c r="J23" s="41">
        <f t="shared" si="2"/>
        <v>95.593976575571673</v>
      </c>
      <c r="K23" s="40">
        <v>17.309999999999999</v>
      </c>
      <c r="L23" s="41">
        <f t="shared" si="3"/>
        <v>96.542108198549911</v>
      </c>
    </row>
    <row r="24" spans="2:15" s="95" customFormat="1" ht="12.75" customHeight="1" x14ac:dyDescent="0.25">
      <c r="B24" s="354"/>
      <c r="C24" s="58" t="s">
        <v>604</v>
      </c>
      <c r="D24" s="65">
        <v>18.97</v>
      </c>
      <c r="E24" s="40">
        <v>18.399999999999999</v>
      </c>
      <c r="F24" s="41">
        <f t="shared" si="0"/>
        <v>96.995255666842382</v>
      </c>
      <c r="G24" s="40">
        <v>18.22</v>
      </c>
      <c r="H24" s="41">
        <f t="shared" si="1"/>
        <v>96.046389035318924</v>
      </c>
      <c r="I24" s="40">
        <v>18.190000000000001</v>
      </c>
      <c r="J24" s="41">
        <f t="shared" si="2"/>
        <v>95.888244596731695</v>
      </c>
      <c r="K24" s="40">
        <v>18.54</v>
      </c>
      <c r="L24" s="41">
        <f t="shared" si="3"/>
        <v>97.733263046916193</v>
      </c>
    </row>
    <row r="25" spans="2:15" s="95" customFormat="1" ht="12.75" customHeight="1" x14ac:dyDescent="0.25">
      <c r="B25" s="354"/>
      <c r="C25" s="58" t="s">
        <v>605</v>
      </c>
      <c r="D25" s="65">
        <v>18.88</v>
      </c>
      <c r="E25" s="40">
        <v>17.57</v>
      </c>
      <c r="F25" s="41">
        <f t="shared" si="0"/>
        <v>93.061440677966118</v>
      </c>
      <c r="G25" s="40">
        <v>19.87</v>
      </c>
      <c r="H25" s="41">
        <f t="shared" si="1"/>
        <v>105.24364406779662</v>
      </c>
      <c r="I25" s="40">
        <v>16.34</v>
      </c>
      <c r="J25" s="41">
        <f t="shared" si="2"/>
        <v>86.54661016949153</v>
      </c>
      <c r="K25" s="40">
        <v>17.16</v>
      </c>
      <c r="L25" s="41">
        <f t="shared" si="3"/>
        <v>90.889830508474574</v>
      </c>
    </row>
    <row r="26" spans="2:15" s="95" customFormat="1" ht="12.75" customHeight="1" x14ac:dyDescent="0.25">
      <c r="B26" s="354" t="s">
        <v>876</v>
      </c>
      <c r="C26" s="58" t="s">
        <v>606</v>
      </c>
      <c r="D26" s="65">
        <v>19.7</v>
      </c>
      <c r="E26" s="40">
        <v>17.940000000000001</v>
      </c>
      <c r="F26" s="41">
        <f t="shared" si="0"/>
        <v>91.065989847715741</v>
      </c>
      <c r="G26" s="40">
        <v>16</v>
      </c>
      <c r="H26" s="41">
        <f t="shared" si="1"/>
        <v>81.218274111675129</v>
      </c>
      <c r="I26" s="69" t="s">
        <v>638</v>
      </c>
      <c r="J26" s="56"/>
      <c r="K26" s="48"/>
      <c r="L26" s="56"/>
    </row>
    <row r="27" spans="2:15" s="95" customFormat="1" ht="12.75" customHeight="1" x14ac:dyDescent="0.25">
      <c r="B27" s="354"/>
      <c r="C27" s="58" t="s">
        <v>607</v>
      </c>
      <c r="D27" s="65">
        <v>20.23</v>
      </c>
      <c r="E27" s="40">
        <v>19.21</v>
      </c>
      <c r="F27" s="41">
        <f t="shared" si="0"/>
        <v>94.957983193277315</v>
      </c>
      <c r="G27" s="40">
        <v>17.739999999999998</v>
      </c>
      <c r="H27" s="41">
        <f t="shared" si="1"/>
        <v>87.691547207118134</v>
      </c>
      <c r="I27" s="69" t="s">
        <v>639</v>
      </c>
      <c r="J27" s="56"/>
      <c r="K27" s="48"/>
      <c r="L27" s="56"/>
    </row>
    <row r="28" spans="2:15" s="95" customFormat="1" ht="12.75" customHeight="1" x14ac:dyDescent="0.25">
      <c r="B28" s="354"/>
      <c r="C28" s="58" t="s">
        <v>608</v>
      </c>
      <c r="D28" s="65">
        <v>18.55</v>
      </c>
      <c r="E28" s="40">
        <v>17.059999999999999</v>
      </c>
      <c r="F28" s="41">
        <f t="shared" si="0"/>
        <v>91.967654986522902</v>
      </c>
      <c r="G28" s="40">
        <v>15.69</v>
      </c>
      <c r="H28" s="41">
        <f t="shared" si="1"/>
        <v>84.582210242587593</v>
      </c>
      <c r="I28" s="69" t="s">
        <v>638</v>
      </c>
      <c r="J28" s="56"/>
      <c r="K28" s="48"/>
      <c r="L28" s="56"/>
    </row>
    <row r="29" spans="2:15" s="95" customFormat="1" ht="12.75" customHeight="1" x14ac:dyDescent="0.25">
      <c r="B29" s="354"/>
      <c r="C29" s="58" t="s">
        <v>609</v>
      </c>
      <c r="D29" s="65">
        <v>18.61</v>
      </c>
      <c r="E29" s="40">
        <v>17.5</v>
      </c>
      <c r="F29" s="41">
        <f t="shared" si="0"/>
        <v>94.035464803868891</v>
      </c>
      <c r="G29" s="40">
        <v>15.81</v>
      </c>
      <c r="H29" s="41">
        <f t="shared" si="1"/>
        <v>84.954325631380982</v>
      </c>
      <c r="I29" s="69" t="s">
        <v>638</v>
      </c>
      <c r="J29" s="56"/>
      <c r="K29" s="48"/>
      <c r="L29" s="56"/>
    </row>
    <row r="30" spans="2:15" s="95" customFormat="1" ht="12.75" customHeight="1" x14ac:dyDescent="0.25">
      <c r="B30" s="354"/>
      <c r="C30" s="58" t="s">
        <v>610</v>
      </c>
      <c r="D30" s="65">
        <v>18.73</v>
      </c>
      <c r="E30" s="40">
        <v>17.66</v>
      </c>
      <c r="F30" s="41">
        <f t="shared" si="0"/>
        <v>94.287239722370529</v>
      </c>
      <c r="G30" s="40">
        <v>16.149999999999999</v>
      </c>
      <c r="H30" s="41">
        <f t="shared" si="1"/>
        <v>86.225306994127067</v>
      </c>
      <c r="I30" s="69" t="s">
        <v>638</v>
      </c>
      <c r="J30" s="56"/>
      <c r="K30" s="48"/>
      <c r="L30" s="56"/>
    </row>
    <row r="31" spans="2:15" s="95" customFormat="1" ht="12.75" customHeight="1" x14ac:dyDescent="0.3">
      <c r="B31" s="5"/>
      <c r="C31" s="264"/>
      <c r="D31" s="265" t="s">
        <v>13</v>
      </c>
      <c r="E31" s="264"/>
      <c r="F31" s="264"/>
    </row>
    <row r="32" spans="2:15" s="95" customFormat="1" ht="12.75" customHeight="1" x14ac:dyDescent="0.3">
      <c r="B32" s="5"/>
      <c r="C32" s="264"/>
      <c r="D32" s="266" t="s">
        <v>107</v>
      </c>
      <c r="E32" s="264"/>
      <c r="F32" s="264"/>
    </row>
    <row r="33" spans="2:12" s="95" customFormat="1" ht="12.75" customHeight="1" x14ac:dyDescent="0.25">
      <c r="B33" s="5"/>
      <c r="C33" s="96"/>
      <c r="D33" s="98"/>
      <c r="E33" s="98"/>
      <c r="F33" s="98"/>
    </row>
    <row r="34" spans="2:12" s="95" customFormat="1" ht="12.75" customHeight="1" x14ac:dyDescent="0.25">
      <c r="B34" s="5"/>
      <c r="C34" s="96"/>
      <c r="D34" s="98"/>
      <c r="E34" s="98"/>
      <c r="F34" s="98"/>
    </row>
    <row r="35" spans="2:12" s="95" customFormat="1" ht="12.75" customHeight="1" x14ac:dyDescent="0.3">
      <c r="B35" s="99" t="s">
        <v>214</v>
      </c>
      <c r="C35" s="96"/>
      <c r="D35" s="98"/>
      <c r="E35" s="98"/>
      <c r="F35" s="98"/>
    </row>
    <row r="36" spans="2:12" s="95" customFormat="1" ht="12.75" customHeight="1" x14ac:dyDescent="0.25">
      <c r="B36" s="4"/>
      <c r="C36" s="263" t="s">
        <v>72</v>
      </c>
      <c r="D36" s="263" t="s">
        <v>101</v>
      </c>
      <c r="E36" s="358" t="s">
        <v>173</v>
      </c>
      <c r="F36" s="359"/>
      <c r="G36" s="358" t="s">
        <v>102</v>
      </c>
      <c r="H36" s="359"/>
      <c r="I36" s="358" t="s">
        <v>174</v>
      </c>
      <c r="J36" s="359"/>
      <c r="K36" s="358" t="s">
        <v>636</v>
      </c>
      <c r="L36" s="359"/>
    </row>
    <row r="37" spans="2:12" s="95" customFormat="1" ht="12.75" customHeight="1" x14ac:dyDescent="0.25">
      <c r="B37" s="4"/>
      <c r="C37" s="263"/>
      <c r="D37" s="263"/>
      <c r="E37" s="263"/>
      <c r="F37" s="27"/>
      <c r="G37" s="263"/>
      <c r="H37" s="27"/>
      <c r="I37" s="263"/>
      <c r="J37" s="27"/>
      <c r="K37" s="263"/>
      <c r="L37" s="27"/>
    </row>
    <row r="38" spans="2:12" s="95" customFormat="1" ht="12.75" customHeight="1" x14ac:dyDescent="0.25">
      <c r="B38" s="354" t="s">
        <v>99</v>
      </c>
      <c r="C38" s="58" t="s">
        <v>611</v>
      </c>
      <c r="D38" s="39">
        <v>18.29</v>
      </c>
      <c r="E38" s="40">
        <v>17.86</v>
      </c>
      <c r="F38" s="41">
        <f>E38/D38*100</f>
        <v>97.648988518316031</v>
      </c>
      <c r="G38" s="40">
        <v>18.32</v>
      </c>
      <c r="H38" s="41">
        <f>G38/D38*100</f>
        <v>100.16402405686169</v>
      </c>
      <c r="I38" s="40">
        <v>18.309999999999999</v>
      </c>
      <c r="J38" s="41">
        <f>I38/D38*100</f>
        <v>100.10934937124112</v>
      </c>
      <c r="K38" s="40">
        <v>19.46</v>
      </c>
      <c r="L38" s="47">
        <f>K38/D38*100</f>
        <v>106.39693821760525</v>
      </c>
    </row>
    <row r="39" spans="2:12" s="95" customFormat="1" ht="12.75" customHeight="1" x14ac:dyDescent="0.25">
      <c r="B39" s="354"/>
      <c r="C39" s="58" t="s">
        <v>612</v>
      </c>
      <c r="D39" s="39">
        <v>18.2</v>
      </c>
      <c r="E39" s="40">
        <v>18.440000000000001</v>
      </c>
      <c r="F39" s="41">
        <f t="shared" ref="F39:F62" si="4">E39/D39*100</f>
        <v>101.31868131868134</v>
      </c>
      <c r="G39" s="40">
        <v>18.89</v>
      </c>
      <c r="H39" s="41">
        <f t="shared" ref="H39:H62" si="5">G39/D39*100</f>
        <v>103.7912087912088</v>
      </c>
      <c r="I39" s="40">
        <v>18.53</v>
      </c>
      <c r="J39" s="41">
        <f t="shared" ref="J39:J62" si="6">I39/D39*100</f>
        <v>101.81318681318683</v>
      </c>
      <c r="K39" s="40">
        <v>19.3</v>
      </c>
      <c r="L39" s="47">
        <f t="shared" ref="L39:L57" si="7">K39/D39*100</f>
        <v>106.04395604395604</v>
      </c>
    </row>
    <row r="40" spans="2:12" s="95" customFormat="1" ht="12.75" customHeight="1" x14ac:dyDescent="0.25">
      <c r="B40" s="354"/>
      <c r="C40" s="58" t="s">
        <v>613</v>
      </c>
      <c r="D40" s="39">
        <v>17.22</v>
      </c>
      <c r="E40" s="48">
        <v>16.98</v>
      </c>
      <c r="F40" s="41">
        <f t="shared" si="4"/>
        <v>98.606271777003499</v>
      </c>
      <c r="G40" s="40">
        <v>17.93</v>
      </c>
      <c r="H40" s="41">
        <f t="shared" si="5"/>
        <v>104.12311265969802</v>
      </c>
      <c r="I40" s="40">
        <v>17.39</v>
      </c>
      <c r="J40" s="41">
        <f t="shared" si="6"/>
        <v>100.98722415795586</v>
      </c>
      <c r="K40" s="40">
        <v>18.350000000000001</v>
      </c>
      <c r="L40" s="47">
        <f t="shared" si="7"/>
        <v>106.56213704994195</v>
      </c>
    </row>
    <row r="41" spans="2:12" s="95" customFormat="1" ht="12.75" customHeight="1" x14ac:dyDescent="0.25">
      <c r="B41" s="354"/>
      <c r="C41" s="58" t="s">
        <v>614</v>
      </c>
      <c r="D41" s="39">
        <v>17.45</v>
      </c>
      <c r="E41" s="40">
        <v>17.95</v>
      </c>
      <c r="F41" s="41">
        <f t="shared" si="4"/>
        <v>102.86532951289398</v>
      </c>
      <c r="G41" s="40">
        <v>17.920000000000002</v>
      </c>
      <c r="H41" s="41">
        <f t="shared" si="5"/>
        <v>102.69340974212035</v>
      </c>
      <c r="I41" s="40">
        <v>17.96</v>
      </c>
      <c r="J41" s="41">
        <f t="shared" si="6"/>
        <v>102.92263610315186</v>
      </c>
      <c r="K41" s="40">
        <v>18.149999999999999</v>
      </c>
      <c r="L41" s="47">
        <f t="shared" si="7"/>
        <v>104.01146131805157</v>
      </c>
    </row>
    <row r="42" spans="2:12" s="95" customFormat="1" ht="12.75" customHeight="1" x14ac:dyDescent="0.25">
      <c r="B42" s="354"/>
      <c r="C42" s="58" t="s">
        <v>615</v>
      </c>
      <c r="D42" s="39">
        <v>17.8</v>
      </c>
      <c r="E42" s="40">
        <v>17.88</v>
      </c>
      <c r="F42" s="41">
        <f t="shared" si="4"/>
        <v>100.44943820224719</v>
      </c>
      <c r="G42" s="40">
        <v>17.11</v>
      </c>
      <c r="H42" s="41">
        <f t="shared" si="5"/>
        <v>96.123595505617971</v>
      </c>
      <c r="I42" s="40">
        <v>18.23</v>
      </c>
      <c r="J42" s="41">
        <f t="shared" si="6"/>
        <v>102.41573033707864</v>
      </c>
      <c r="K42" s="40">
        <v>18.22</v>
      </c>
      <c r="L42" s="47">
        <f t="shared" si="7"/>
        <v>102.35955056179775</v>
      </c>
    </row>
    <row r="43" spans="2:12" s="95" customFormat="1" ht="12.75" customHeight="1" x14ac:dyDescent="0.25">
      <c r="B43" s="354" t="s">
        <v>873</v>
      </c>
      <c r="C43" s="58" t="s">
        <v>616</v>
      </c>
      <c r="D43" s="70">
        <v>17.420000000000002</v>
      </c>
      <c r="E43" s="71">
        <v>17.59</v>
      </c>
      <c r="F43" s="72">
        <f t="shared" si="4"/>
        <v>100.97588978185992</v>
      </c>
      <c r="G43" s="71">
        <v>17.71</v>
      </c>
      <c r="H43" s="72">
        <f t="shared" si="5"/>
        <v>101.66475315729046</v>
      </c>
      <c r="I43" s="71">
        <v>17.350000000000001</v>
      </c>
      <c r="J43" s="72">
        <f t="shared" si="6"/>
        <v>99.598163030998847</v>
      </c>
      <c r="K43" s="59">
        <v>16.45</v>
      </c>
      <c r="L43" s="47">
        <f t="shared" si="7"/>
        <v>94.431687715269803</v>
      </c>
    </row>
    <row r="44" spans="2:12" s="95" customFormat="1" ht="12.75" customHeight="1" x14ac:dyDescent="0.25">
      <c r="B44" s="354"/>
      <c r="C44" s="58" t="s">
        <v>617</v>
      </c>
      <c r="D44" s="45">
        <v>18.100000000000001</v>
      </c>
      <c r="E44" s="40">
        <v>18.41</v>
      </c>
      <c r="F44" s="46">
        <f t="shared" si="4"/>
        <v>101.71270718232044</v>
      </c>
      <c r="G44" s="40">
        <v>18.8</v>
      </c>
      <c r="H44" s="46">
        <f t="shared" si="5"/>
        <v>103.86740331491713</v>
      </c>
      <c r="I44" s="40">
        <v>18.72</v>
      </c>
      <c r="J44" s="46">
        <f t="shared" si="6"/>
        <v>103.42541436464087</v>
      </c>
      <c r="K44" s="40">
        <v>18.72</v>
      </c>
      <c r="L44" s="47">
        <f t="shared" si="7"/>
        <v>103.42541436464087</v>
      </c>
    </row>
    <row r="45" spans="2:12" s="95" customFormat="1" ht="12.75" customHeight="1" x14ac:dyDescent="0.25">
      <c r="B45" s="354"/>
      <c r="C45" s="58" t="s">
        <v>618</v>
      </c>
      <c r="D45" s="45">
        <v>17.7</v>
      </c>
      <c r="E45" s="40">
        <v>18.43</v>
      </c>
      <c r="F45" s="46">
        <f t="shared" si="4"/>
        <v>104.12429378531074</v>
      </c>
      <c r="G45" s="40">
        <v>18.190000000000001</v>
      </c>
      <c r="H45" s="46">
        <f t="shared" si="5"/>
        <v>102.76836158192091</v>
      </c>
      <c r="I45" s="40">
        <v>18.12</v>
      </c>
      <c r="J45" s="46">
        <f t="shared" si="6"/>
        <v>102.37288135593221</v>
      </c>
      <c r="K45" s="40">
        <v>18.75</v>
      </c>
      <c r="L45" s="47">
        <f t="shared" si="7"/>
        <v>105.93220338983052</v>
      </c>
    </row>
    <row r="46" spans="2:12" s="95" customFormat="1" ht="12.75" customHeight="1" x14ac:dyDescent="0.25">
      <c r="B46" s="354"/>
      <c r="C46" s="58" t="s">
        <v>619</v>
      </c>
      <c r="D46" s="45">
        <v>17.96</v>
      </c>
      <c r="E46" s="40">
        <v>17.45</v>
      </c>
      <c r="F46" s="46">
        <f t="shared" si="4"/>
        <v>97.16035634743875</v>
      </c>
      <c r="G46" s="40">
        <v>17.5</v>
      </c>
      <c r="H46" s="46">
        <f t="shared" si="5"/>
        <v>97.438752783964361</v>
      </c>
      <c r="I46" s="40">
        <v>17.989999999999998</v>
      </c>
      <c r="J46" s="46">
        <f t="shared" si="6"/>
        <v>100.16703786191536</v>
      </c>
      <c r="K46" s="40">
        <v>18.350000000000001</v>
      </c>
      <c r="L46" s="47">
        <f t="shared" si="7"/>
        <v>102.17149220489978</v>
      </c>
    </row>
    <row r="47" spans="2:12" s="95" customFormat="1" ht="12.75" customHeight="1" x14ac:dyDescent="0.25">
      <c r="B47" s="354"/>
      <c r="C47" s="58" t="s">
        <v>620</v>
      </c>
      <c r="D47" s="45">
        <v>17.510000000000002</v>
      </c>
      <c r="E47" s="40">
        <v>17.57</v>
      </c>
      <c r="F47" s="46">
        <f t="shared" si="4"/>
        <v>100.34266133637921</v>
      </c>
      <c r="G47" s="40">
        <v>18.059999999999999</v>
      </c>
      <c r="H47" s="46">
        <f t="shared" si="5"/>
        <v>103.14106225014277</v>
      </c>
      <c r="I47" s="40">
        <v>17.850000000000001</v>
      </c>
      <c r="J47" s="46">
        <f t="shared" si="6"/>
        <v>101.94174757281553</v>
      </c>
      <c r="K47" s="40">
        <v>18.14</v>
      </c>
      <c r="L47" s="47">
        <f t="shared" si="7"/>
        <v>103.59794403198173</v>
      </c>
    </row>
    <row r="48" spans="2:12" s="95" customFormat="1" ht="12.75" customHeight="1" x14ac:dyDescent="0.25">
      <c r="B48" s="354" t="s">
        <v>874</v>
      </c>
      <c r="C48" s="58" t="s">
        <v>621</v>
      </c>
      <c r="D48" s="45">
        <v>19.07</v>
      </c>
      <c r="E48" s="40">
        <v>19.100000000000001</v>
      </c>
      <c r="F48" s="46">
        <f>E48/D48*100</f>
        <v>100.15731515469324</v>
      </c>
      <c r="G48" s="40">
        <v>19.02</v>
      </c>
      <c r="H48" s="46">
        <f t="shared" si="5"/>
        <v>99.737808075511268</v>
      </c>
      <c r="I48" s="40">
        <v>19.66</v>
      </c>
      <c r="J48" s="46">
        <f t="shared" si="6"/>
        <v>103.09386470896695</v>
      </c>
      <c r="K48" s="40">
        <v>19.47</v>
      </c>
      <c r="L48" s="47">
        <f t="shared" si="7"/>
        <v>102.0975353959098</v>
      </c>
    </row>
    <row r="49" spans="2:12" s="95" customFormat="1" ht="12.75" customHeight="1" x14ac:dyDescent="0.25">
      <c r="B49" s="354"/>
      <c r="C49" s="58" t="s">
        <v>622</v>
      </c>
      <c r="D49" s="45">
        <v>17.920000000000002</v>
      </c>
      <c r="E49" s="40">
        <v>18.350000000000001</v>
      </c>
      <c r="F49" s="46">
        <f t="shared" ref="F49:F57" si="8">E49/D49*100</f>
        <v>102.39955357142856</v>
      </c>
      <c r="G49" s="40">
        <v>18.510000000000002</v>
      </c>
      <c r="H49" s="46">
        <f t="shared" si="5"/>
        <v>103.29241071428572</v>
      </c>
      <c r="I49" s="40">
        <v>17.920000000000002</v>
      </c>
      <c r="J49" s="46">
        <f t="shared" si="6"/>
        <v>100</v>
      </c>
      <c r="K49" s="40">
        <v>19.170000000000002</v>
      </c>
      <c r="L49" s="47">
        <f t="shared" si="7"/>
        <v>106.97544642857142</v>
      </c>
    </row>
    <row r="50" spans="2:12" s="95" customFormat="1" ht="12.75" customHeight="1" x14ac:dyDescent="0.25">
      <c r="B50" s="354"/>
      <c r="C50" s="58" t="s">
        <v>623</v>
      </c>
      <c r="D50" s="45">
        <v>18.78</v>
      </c>
      <c r="E50" s="40">
        <v>18.36</v>
      </c>
      <c r="F50" s="46">
        <f t="shared" si="8"/>
        <v>97.763578274760377</v>
      </c>
      <c r="G50" s="40">
        <v>18.98</v>
      </c>
      <c r="H50" s="46">
        <f t="shared" si="5"/>
        <v>101.06496272630459</v>
      </c>
      <c r="I50" s="40">
        <v>19.09</v>
      </c>
      <c r="J50" s="46">
        <f t="shared" si="6"/>
        <v>101.6506922257721</v>
      </c>
      <c r="K50" s="40">
        <v>17.649999999999999</v>
      </c>
      <c r="L50" s="47">
        <f t="shared" si="7"/>
        <v>93.982960596379115</v>
      </c>
    </row>
    <row r="51" spans="2:12" s="95" customFormat="1" ht="12.75" customHeight="1" x14ac:dyDescent="0.25">
      <c r="B51" s="354"/>
      <c r="C51" s="58" t="s">
        <v>624</v>
      </c>
      <c r="D51" s="45">
        <v>17.98</v>
      </c>
      <c r="E51" s="40">
        <v>17.920000000000002</v>
      </c>
      <c r="F51" s="46">
        <f t="shared" si="8"/>
        <v>99.666295884315915</v>
      </c>
      <c r="G51" s="40">
        <v>18.38</v>
      </c>
      <c r="H51" s="46">
        <f t="shared" si="5"/>
        <v>102.22469410456061</v>
      </c>
      <c r="I51" s="40">
        <v>18.190000000000001</v>
      </c>
      <c r="J51" s="46">
        <f t="shared" si="6"/>
        <v>101.16796440489433</v>
      </c>
      <c r="K51" s="40">
        <v>18.98</v>
      </c>
      <c r="L51" s="47">
        <f t="shared" si="7"/>
        <v>105.56173526140155</v>
      </c>
    </row>
    <row r="52" spans="2:12" s="95" customFormat="1" ht="12.75" customHeight="1" x14ac:dyDescent="0.25">
      <c r="B52" s="354"/>
      <c r="C52" s="58" t="s">
        <v>625</v>
      </c>
      <c r="D52" s="45">
        <v>17.489999999999998</v>
      </c>
      <c r="E52" s="40">
        <v>18.3</v>
      </c>
      <c r="F52" s="46">
        <f t="shared" si="8"/>
        <v>104.63121783876501</v>
      </c>
      <c r="G52" s="40">
        <v>18.48</v>
      </c>
      <c r="H52" s="46">
        <f t="shared" si="5"/>
        <v>105.66037735849059</v>
      </c>
      <c r="I52" s="40">
        <v>18.29</v>
      </c>
      <c r="J52" s="46">
        <f t="shared" si="6"/>
        <v>104.57404230989138</v>
      </c>
      <c r="K52" s="40">
        <v>18.670000000000002</v>
      </c>
      <c r="L52" s="47">
        <f t="shared" si="7"/>
        <v>106.74671240708979</v>
      </c>
    </row>
    <row r="53" spans="2:12" s="95" customFormat="1" ht="12.75" customHeight="1" x14ac:dyDescent="0.25">
      <c r="B53" s="354" t="s">
        <v>875</v>
      </c>
      <c r="C53" s="58" t="s">
        <v>626</v>
      </c>
      <c r="D53" s="45">
        <v>17.37</v>
      </c>
      <c r="E53" s="48">
        <v>16.7</v>
      </c>
      <c r="F53" s="46">
        <f t="shared" si="8"/>
        <v>96.142774899251577</v>
      </c>
      <c r="G53" s="40">
        <v>17.28</v>
      </c>
      <c r="H53" s="46">
        <f t="shared" si="5"/>
        <v>99.481865284974091</v>
      </c>
      <c r="I53" s="40">
        <v>17.43</v>
      </c>
      <c r="J53" s="46">
        <f t="shared" si="6"/>
        <v>100.3454231433506</v>
      </c>
      <c r="K53" s="40">
        <v>17.100000000000001</v>
      </c>
      <c r="L53" s="47">
        <f t="shared" si="7"/>
        <v>98.445595854922288</v>
      </c>
    </row>
    <row r="54" spans="2:12" s="95" customFormat="1" ht="12.75" customHeight="1" x14ac:dyDescent="0.25">
      <c r="B54" s="354"/>
      <c r="C54" s="58" t="s">
        <v>627</v>
      </c>
      <c r="D54" s="45">
        <v>17.61</v>
      </c>
      <c r="E54" s="48">
        <v>16.940000000000001</v>
      </c>
      <c r="F54" s="46">
        <f t="shared" si="8"/>
        <v>96.195343554798413</v>
      </c>
      <c r="G54" s="48">
        <v>16.899999999999999</v>
      </c>
      <c r="H54" s="46">
        <f t="shared" si="5"/>
        <v>95.968199886428167</v>
      </c>
      <c r="I54" s="40">
        <v>17.350000000000001</v>
      </c>
      <c r="J54" s="46">
        <f t="shared" si="6"/>
        <v>98.523566155593429</v>
      </c>
      <c r="K54" s="40">
        <v>17.489999999999998</v>
      </c>
      <c r="L54" s="47">
        <f t="shared" si="7"/>
        <v>99.318568994889262</v>
      </c>
    </row>
    <row r="55" spans="2:12" s="95" customFormat="1" ht="12.75" customHeight="1" x14ac:dyDescent="0.25">
      <c r="B55" s="354"/>
      <c r="C55" s="58" t="s">
        <v>628</v>
      </c>
      <c r="D55" s="45">
        <v>17.09</v>
      </c>
      <c r="E55" s="48">
        <v>15.94</v>
      </c>
      <c r="F55" s="46">
        <f t="shared" si="8"/>
        <v>93.270918665886484</v>
      </c>
      <c r="G55" s="48">
        <v>16.88</v>
      </c>
      <c r="H55" s="46">
        <f t="shared" si="5"/>
        <v>98.771211234640134</v>
      </c>
      <c r="I55" s="48">
        <v>16.920000000000002</v>
      </c>
      <c r="J55" s="46">
        <f t="shared" si="6"/>
        <v>99.005266237565834</v>
      </c>
      <c r="K55" s="48">
        <v>16.38</v>
      </c>
      <c r="L55" s="47">
        <f t="shared" si="7"/>
        <v>95.845523698069044</v>
      </c>
    </row>
    <row r="56" spans="2:12" s="95" customFormat="1" ht="12.75" customHeight="1" x14ac:dyDescent="0.25">
      <c r="B56" s="354"/>
      <c r="C56" s="58" t="s">
        <v>629</v>
      </c>
      <c r="D56" s="45">
        <v>17.59</v>
      </c>
      <c r="E56" s="48">
        <v>16.54</v>
      </c>
      <c r="F56" s="46">
        <f t="shared" si="8"/>
        <v>94.03069926094372</v>
      </c>
      <c r="G56" s="40">
        <v>17.45</v>
      </c>
      <c r="H56" s="46">
        <f t="shared" si="5"/>
        <v>99.204093234792495</v>
      </c>
      <c r="I56" s="40">
        <v>17.739999999999998</v>
      </c>
      <c r="J56" s="46">
        <f t="shared" si="6"/>
        <v>100.8527572484366</v>
      </c>
      <c r="K56" s="48">
        <v>15.45</v>
      </c>
      <c r="L56" s="47">
        <f t="shared" si="7"/>
        <v>87.833996588971004</v>
      </c>
    </row>
    <row r="57" spans="2:12" s="95" customFormat="1" ht="12.75" customHeight="1" x14ac:dyDescent="0.25">
      <c r="B57" s="354"/>
      <c r="C57" s="58" t="s">
        <v>630</v>
      </c>
      <c r="D57" s="45">
        <v>18.690000000000001</v>
      </c>
      <c r="E57" s="40">
        <v>17</v>
      </c>
      <c r="F57" s="46">
        <f t="shared" si="8"/>
        <v>90.957731407169604</v>
      </c>
      <c r="G57" s="40">
        <v>17.41</v>
      </c>
      <c r="H57" s="46">
        <f t="shared" si="5"/>
        <v>93.151417870518998</v>
      </c>
      <c r="I57" s="40">
        <v>17.66</v>
      </c>
      <c r="J57" s="46">
        <f t="shared" si="6"/>
        <v>94.489031567683242</v>
      </c>
      <c r="K57" s="48">
        <v>16.23</v>
      </c>
      <c r="L57" s="47">
        <f t="shared" si="7"/>
        <v>86.837881219903693</v>
      </c>
    </row>
    <row r="58" spans="2:12" s="95" customFormat="1" ht="12.75" customHeight="1" x14ac:dyDescent="0.25">
      <c r="B58" s="354" t="s">
        <v>876</v>
      </c>
      <c r="C58" s="58" t="s">
        <v>631</v>
      </c>
      <c r="D58" s="45">
        <v>17.579999999999998</v>
      </c>
      <c r="E58" s="40">
        <v>17.059999999999999</v>
      </c>
      <c r="F58" s="46">
        <f t="shared" si="4"/>
        <v>97.042093287827086</v>
      </c>
      <c r="G58" s="48">
        <v>15.53</v>
      </c>
      <c r="H58" s="46">
        <f t="shared" si="5"/>
        <v>88.339021615472134</v>
      </c>
      <c r="I58" s="48">
        <v>14.91</v>
      </c>
      <c r="J58" s="46">
        <f t="shared" si="6"/>
        <v>84.812286689419807</v>
      </c>
      <c r="K58" s="69" t="s">
        <v>637</v>
      </c>
      <c r="L58" s="50"/>
    </row>
    <row r="59" spans="2:12" s="95" customFormat="1" ht="12.75" customHeight="1" x14ac:dyDescent="0.25">
      <c r="B59" s="354"/>
      <c r="C59" s="58" t="s">
        <v>632</v>
      </c>
      <c r="D59" s="45">
        <v>17.760000000000002</v>
      </c>
      <c r="E59" s="40">
        <v>17.45</v>
      </c>
      <c r="F59" s="46">
        <f t="shared" si="4"/>
        <v>98.254504504504496</v>
      </c>
      <c r="G59" s="48">
        <v>15.7</v>
      </c>
      <c r="H59" s="46">
        <f t="shared" si="5"/>
        <v>88.400900900900893</v>
      </c>
      <c r="I59" s="48">
        <v>15.4</v>
      </c>
      <c r="J59" s="46">
        <f t="shared" si="6"/>
        <v>86.7117117117117</v>
      </c>
      <c r="K59" s="69" t="s">
        <v>637</v>
      </c>
      <c r="L59" s="50"/>
    </row>
    <row r="60" spans="2:12" s="95" customFormat="1" ht="12.75" customHeight="1" x14ac:dyDescent="0.25">
      <c r="B60" s="354"/>
      <c r="C60" s="58" t="s">
        <v>633</v>
      </c>
      <c r="D60" s="45">
        <v>18.37</v>
      </c>
      <c r="E60" s="40">
        <v>17.97</v>
      </c>
      <c r="F60" s="46">
        <f t="shared" si="4"/>
        <v>97.822536744692428</v>
      </c>
      <c r="G60" s="48">
        <v>16.510000000000002</v>
      </c>
      <c r="H60" s="46">
        <f t="shared" si="5"/>
        <v>89.874795862819823</v>
      </c>
      <c r="I60" s="48">
        <v>15.97</v>
      </c>
      <c r="J60" s="46">
        <f t="shared" si="6"/>
        <v>86.935220468154597</v>
      </c>
      <c r="K60" s="69" t="s">
        <v>637</v>
      </c>
      <c r="L60" s="50"/>
    </row>
    <row r="61" spans="2:12" s="95" customFormat="1" ht="12.75" customHeight="1" x14ac:dyDescent="0.25">
      <c r="B61" s="354"/>
      <c r="C61" s="58" t="s">
        <v>634</v>
      </c>
      <c r="D61" s="45">
        <v>18.600000000000001</v>
      </c>
      <c r="E61" s="40">
        <v>17.600000000000001</v>
      </c>
      <c r="F61" s="46">
        <f t="shared" si="4"/>
        <v>94.623655913978496</v>
      </c>
      <c r="G61" s="48">
        <v>16.38</v>
      </c>
      <c r="H61" s="46">
        <f t="shared" si="5"/>
        <v>88.064516129032242</v>
      </c>
      <c r="I61" s="48">
        <v>15.75</v>
      </c>
      <c r="J61" s="46">
        <f t="shared" si="6"/>
        <v>84.677419354838705</v>
      </c>
      <c r="K61" s="69" t="s">
        <v>637</v>
      </c>
      <c r="L61" s="50"/>
    </row>
    <row r="62" spans="2:12" s="95" customFormat="1" ht="12.75" customHeight="1" x14ac:dyDescent="0.25">
      <c r="B62" s="354"/>
      <c r="C62" s="58" t="s">
        <v>635</v>
      </c>
      <c r="D62" s="45">
        <v>17.28</v>
      </c>
      <c r="E62" s="40">
        <v>17.03</v>
      </c>
      <c r="F62" s="46">
        <f t="shared" si="4"/>
        <v>98.553240740740748</v>
      </c>
      <c r="G62" s="48">
        <v>15.61</v>
      </c>
      <c r="H62" s="46">
        <f t="shared" si="5"/>
        <v>90.335648148148138</v>
      </c>
      <c r="I62" s="48">
        <v>15.25</v>
      </c>
      <c r="J62" s="46">
        <f t="shared" si="6"/>
        <v>88.25231481481481</v>
      </c>
      <c r="K62" s="69" t="s">
        <v>637</v>
      </c>
      <c r="L62" s="50"/>
    </row>
    <row r="63" spans="2:12" s="95" customFormat="1" ht="12.75" customHeight="1" x14ac:dyDescent="0.3">
      <c r="B63" s="5"/>
      <c r="C63" s="264"/>
      <c r="D63" s="265" t="s">
        <v>13</v>
      </c>
      <c r="E63" s="264"/>
      <c r="F63" s="264"/>
    </row>
    <row r="64" spans="2:12" s="95" customFormat="1" ht="12.75" customHeight="1" x14ac:dyDescent="0.3">
      <c r="B64" s="5"/>
      <c r="C64" s="264"/>
      <c r="D64" s="266" t="s">
        <v>107</v>
      </c>
      <c r="E64" s="264"/>
      <c r="F64" s="264"/>
    </row>
    <row r="65" spans="2:6" s="95" customFormat="1" ht="12.75" customHeight="1" x14ac:dyDescent="0.25">
      <c r="B65" s="5"/>
      <c r="C65" s="96"/>
      <c r="D65" s="98"/>
      <c r="E65" s="98"/>
      <c r="F65" s="98"/>
    </row>
  </sheetData>
  <mergeCells count="18">
    <mergeCell ref="K36:L36"/>
    <mergeCell ref="B38:B42"/>
    <mergeCell ref="B43:B47"/>
    <mergeCell ref="B48:B52"/>
    <mergeCell ref="B53:B57"/>
    <mergeCell ref="G36:H36"/>
    <mergeCell ref="I36:J36"/>
    <mergeCell ref="B58:B62"/>
    <mergeCell ref="E36:F36"/>
    <mergeCell ref="B16:B20"/>
    <mergeCell ref="B21:B25"/>
    <mergeCell ref="B26:B30"/>
    <mergeCell ref="K4:L4"/>
    <mergeCell ref="B6:B10"/>
    <mergeCell ref="B11:B15"/>
    <mergeCell ref="E4:F4"/>
    <mergeCell ref="G4:H4"/>
    <mergeCell ref="I4:J4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7A5A-302A-4B76-A606-4353C619F186}">
  <dimension ref="A2:F30"/>
  <sheetViews>
    <sheetView zoomScale="90" zoomScaleNormal="90" workbookViewId="0">
      <selection activeCell="C40" sqref="C40"/>
    </sheetView>
  </sheetViews>
  <sheetFormatPr defaultRowHeight="14" x14ac:dyDescent="0.3"/>
  <cols>
    <col min="1" max="1" width="9" style="25"/>
    <col min="2" max="2" width="16" style="25" customWidth="1"/>
    <col min="3" max="3" width="24.5" style="25" customWidth="1"/>
    <col min="4" max="4" width="8.75" style="25" customWidth="1"/>
    <col min="5" max="5" width="30.83203125" style="25" bestFit="1" customWidth="1"/>
    <col min="6" max="6" width="24.58203125" style="25" bestFit="1" customWidth="1"/>
    <col min="7" max="7" width="5.25" style="25" customWidth="1"/>
    <col min="8" max="8" width="8.25" style="25" customWidth="1"/>
    <col min="9" max="248" width="9" style="25"/>
    <col min="249" max="261" width="15.5" style="25" customWidth="1"/>
    <col min="262" max="263" width="14" style="25" customWidth="1"/>
    <col min="264" max="264" width="8.25" style="25" customWidth="1"/>
    <col min="265" max="504" width="9" style="25"/>
    <col min="505" max="517" width="15.5" style="25" customWidth="1"/>
    <col min="518" max="519" width="14" style="25" customWidth="1"/>
    <col min="520" max="520" width="8.25" style="25" customWidth="1"/>
    <col min="521" max="760" width="9" style="25"/>
    <col min="761" max="773" width="15.5" style="25" customWidth="1"/>
    <col min="774" max="775" width="14" style="25" customWidth="1"/>
    <col min="776" max="776" width="8.25" style="25" customWidth="1"/>
    <col min="777" max="1016" width="9" style="25"/>
    <col min="1017" max="1029" width="15.5" style="25" customWidth="1"/>
    <col min="1030" max="1031" width="14" style="25" customWidth="1"/>
    <col min="1032" max="1032" width="8.25" style="25" customWidth="1"/>
    <col min="1033" max="1272" width="9" style="25"/>
    <col min="1273" max="1285" width="15.5" style="25" customWidth="1"/>
    <col min="1286" max="1287" width="14" style="25" customWidth="1"/>
    <col min="1288" max="1288" width="8.25" style="25" customWidth="1"/>
    <col min="1289" max="1528" width="9" style="25"/>
    <col min="1529" max="1541" width="15.5" style="25" customWidth="1"/>
    <col min="1542" max="1543" width="14" style="25" customWidth="1"/>
    <col min="1544" max="1544" width="8.25" style="25" customWidth="1"/>
    <col min="1545" max="1784" width="9" style="25"/>
    <col min="1785" max="1797" width="15.5" style="25" customWidth="1"/>
    <col min="1798" max="1799" width="14" style="25" customWidth="1"/>
    <col min="1800" max="1800" width="8.25" style="25" customWidth="1"/>
    <col min="1801" max="2040" width="9" style="25"/>
    <col min="2041" max="2053" width="15.5" style="25" customWidth="1"/>
    <col min="2054" max="2055" width="14" style="25" customWidth="1"/>
    <col min="2056" max="2056" width="8.25" style="25" customWidth="1"/>
    <col min="2057" max="2296" width="9" style="25"/>
    <col min="2297" max="2309" width="15.5" style="25" customWidth="1"/>
    <col min="2310" max="2311" width="14" style="25" customWidth="1"/>
    <col min="2312" max="2312" width="8.25" style="25" customWidth="1"/>
    <col min="2313" max="2552" width="9" style="25"/>
    <col min="2553" max="2565" width="15.5" style="25" customWidth="1"/>
    <col min="2566" max="2567" width="14" style="25" customWidth="1"/>
    <col min="2568" max="2568" width="8.25" style="25" customWidth="1"/>
    <col min="2569" max="2808" width="9" style="25"/>
    <col min="2809" max="2821" width="15.5" style="25" customWidth="1"/>
    <col min="2822" max="2823" width="14" style="25" customWidth="1"/>
    <col min="2824" max="2824" width="8.25" style="25" customWidth="1"/>
    <col min="2825" max="3064" width="9" style="25"/>
    <col min="3065" max="3077" width="15.5" style="25" customWidth="1"/>
    <col min="3078" max="3079" width="14" style="25" customWidth="1"/>
    <col min="3080" max="3080" width="8.25" style="25" customWidth="1"/>
    <col min="3081" max="3320" width="9" style="25"/>
    <col min="3321" max="3333" width="15.5" style="25" customWidth="1"/>
    <col min="3334" max="3335" width="14" style="25" customWidth="1"/>
    <col min="3336" max="3336" width="8.25" style="25" customWidth="1"/>
    <col min="3337" max="3576" width="9" style="25"/>
    <col min="3577" max="3589" width="15.5" style="25" customWidth="1"/>
    <col min="3590" max="3591" width="14" style="25" customWidth="1"/>
    <col min="3592" max="3592" width="8.25" style="25" customWidth="1"/>
    <col min="3593" max="3832" width="9" style="25"/>
    <col min="3833" max="3845" width="15.5" style="25" customWidth="1"/>
    <col min="3846" max="3847" width="14" style="25" customWidth="1"/>
    <col min="3848" max="3848" width="8.25" style="25" customWidth="1"/>
    <col min="3849" max="4088" width="9" style="25"/>
    <col min="4089" max="4101" width="15.5" style="25" customWidth="1"/>
    <col min="4102" max="4103" width="14" style="25" customWidth="1"/>
    <col min="4104" max="4104" width="8.25" style="25" customWidth="1"/>
    <col min="4105" max="4344" width="9" style="25"/>
    <col min="4345" max="4357" width="15.5" style="25" customWidth="1"/>
    <col min="4358" max="4359" width="14" style="25" customWidth="1"/>
    <col min="4360" max="4360" width="8.25" style="25" customWidth="1"/>
    <col min="4361" max="4600" width="9" style="25"/>
    <col min="4601" max="4613" width="15.5" style="25" customWidth="1"/>
    <col min="4614" max="4615" width="14" style="25" customWidth="1"/>
    <col min="4616" max="4616" width="8.25" style="25" customWidth="1"/>
    <col min="4617" max="4856" width="9" style="25"/>
    <col min="4857" max="4869" width="15.5" style="25" customWidth="1"/>
    <col min="4870" max="4871" width="14" style="25" customWidth="1"/>
    <col min="4872" max="4872" width="8.25" style="25" customWidth="1"/>
    <col min="4873" max="5112" width="9" style="25"/>
    <col min="5113" max="5125" width="15.5" style="25" customWidth="1"/>
    <col min="5126" max="5127" width="14" style="25" customWidth="1"/>
    <col min="5128" max="5128" width="8.25" style="25" customWidth="1"/>
    <col min="5129" max="5368" width="9" style="25"/>
    <col min="5369" max="5381" width="15.5" style="25" customWidth="1"/>
    <col min="5382" max="5383" width="14" style="25" customWidth="1"/>
    <col min="5384" max="5384" width="8.25" style="25" customWidth="1"/>
    <col min="5385" max="5624" width="9" style="25"/>
    <col min="5625" max="5637" width="15.5" style="25" customWidth="1"/>
    <col min="5638" max="5639" width="14" style="25" customWidth="1"/>
    <col min="5640" max="5640" width="8.25" style="25" customWidth="1"/>
    <col min="5641" max="5880" width="9" style="25"/>
    <col min="5881" max="5893" width="15.5" style="25" customWidth="1"/>
    <col min="5894" max="5895" width="14" style="25" customWidth="1"/>
    <col min="5896" max="5896" width="8.25" style="25" customWidth="1"/>
    <col min="5897" max="6136" width="9" style="25"/>
    <col min="6137" max="6149" width="15.5" style="25" customWidth="1"/>
    <col min="6150" max="6151" width="14" style="25" customWidth="1"/>
    <col min="6152" max="6152" width="8.25" style="25" customWidth="1"/>
    <col min="6153" max="6392" width="9" style="25"/>
    <col min="6393" max="6405" width="15.5" style="25" customWidth="1"/>
    <col min="6406" max="6407" width="14" style="25" customWidth="1"/>
    <col min="6408" max="6408" width="8.25" style="25" customWidth="1"/>
    <col min="6409" max="6648" width="9" style="25"/>
    <col min="6649" max="6661" width="15.5" style="25" customWidth="1"/>
    <col min="6662" max="6663" width="14" style="25" customWidth="1"/>
    <col min="6664" max="6664" width="8.25" style="25" customWidth="1"/>
    <col min="6665" max="6904" width="9" style="25"/>
    <col min="6905" max="6917" width="15.5" style="25" customWidth="1"/>
    <col min="6918" max="6919" width="14" style="25" customWidth="1"/>
    <col min="6920" max="6920" width="8.25" style="25" customWidth="1"/>
    <col min="6921" max="7160" width="9" style="25"/>
    <col min="7161" max="7173" width="15.5" style="25" customWidth="1"/>
    <col min="7174" max="7175" width="14" style="25" customWidth="1"/>
    <col min="7176" max="7176" width="8.25" style="25" customWidth="1"/>
    <col min="7177" max="7416" width="9" style="25"/>
    <col min="7417" max="7429" width="15.5" style="25" customWidth="1"/>
    <col min="7430" max="7431" width="14" style="25" customWidth="1"/>
    <col min="7432" max="7432" width="8.25" style="25" customWidth="1"/>
    <col min="7433" max="7672" width="9" style="25"/>
    <col min="7673" max="7685" width="15.5" style="25" customWidth="1"/>
    <col min="7686" max="7687" width="14" style="25" customWidth="1"/>
    <col min="7688" max="7688" width="8.25" style="25" customWidth="1"/>
    <col min="7689" max="7928" width="9" style="25"/>
    <col min="7929" max="7941" width="15.5" style="25" customWidth="1"/>
    <col min="7942" max="7943" width="14" style="25" customWidth="1"/>
    <col min="7944" max="7944" width="8.25" style="25" customWidth="1"/>
    <col min="7945" max="8184" width="9" style="25"/>
    <col min="8185" max="8197" width="15.5" style="25" customWidth="1"/>
    <col min="8198" max="8199" width="14" style="25" customWidth="1"/>
    <col min="8200" max="8200" width="8.25" style="25" customWidth="1"/>
    <col min="8201" max="8440" width="9" style="25"/>
    <col min="8441" max="8453" width="15.5" style="25" customWidth="1"/>
    <col min="8454" max="8455" width="14" style="25" customWidth="1"/>
    <col min="8456" max="8456" width="8.25" style="25" customWidth="1"/>
    <col min="8457" max="8696" width="9" style="25"/>
    <col min="8697" max="8709" width="15.5" style="25" customWidth="1"/>
    <col min="8710" max="8711" width="14" style="25" customWidth="1"/>
    <col min="8712" max="8712" width="8.25" style="25" customWidth="1"/>
    <col min="8713" max="8952" width="9" style="25"/>
    <col min="8953" max="8965" width="15.5" style="25" customWidth="1"/>
    <col min="8966" max="8967" width="14" style="25" customWidth="1"/>
    <col min="8968" max="8968" width="8.25" style="25" customWidth="1"/>
    <col min="8969" max="9208" width="9" style="25"/>
    <col min="9209" max="9221" width="15.5" style="25" customWidth="1"/>
    <col min="9222" max="9223" width="14" style="25" customWidth="1"/>
    <col min="9224" max="9224" width="8.25" style="25" customWidth="1"/>
    <col min="9225" max="9464" width="9" style="25"/>
    <col min="9465" max="9477" width="15.5" style="25" customWidth="1"/>
    <col min="9478" max="9479" width="14" style="25" customWidth="1"/>
    <col min="9480" max="9480" width="8.25" style="25" customWidth="1"/>
    <col min="9481" max="9720" width="9" style="25"/>
    <col min="9721" max="9733" width="15.5" style="25" customWidth="1"/>
    <col min="9734" max="9735" width="14" style="25" customWidth="1"/>
    <col min="9736" max="9736" width="8.25" style="25" customWidth="1"/>
    <col min="9737" max="9976" width="9" style="25"/>
    <col min="9977" max="9989" width="15.5" style="25" customWidth="1"/>
    <col min="9990" max="9991" width="14" style="25" customWidth="1"/>
    <col min="9992" max="9992" width="8.25" style="25" customWidth="1"/>
    <col min="9993" max="10232" width="9" style="25"/>
    <col min="10233" max="10245" width="15.5" style="25" customWidth="1"/>
    <col min="10246" max="10247" width="14" style="25" customWidth="1"/>
    <col min="10248" max="10248" width="8.25" style="25" customWidth="1"/>
    <col min="10249" max="10488" width="9" style="25"/>
    <col min="10489" max="10501" width="15.5" style="25" customWidth="1"/>
    <col min="10502" max="10503" width="14" style="25" customWidth="1"/>
    <col min="10504" max="10504" width="8.25" style="25" customWidth="1"/>
    <col min="10505" max="10744" width="9" style="25"/>
    <col min="10745" max="10757" width="15.5" style="25" customWidth="1"/>
    <col min="10758" max="10759" width="14" style="25" customWidth="1"/>
    <col min="10760" max="10760" width="8.25" style="25" customWidth="1"/>
    <col min="10761" max="11000" width="9" style="25"/>
    <col min="11001" max="11013" width="15.5" style="25" customWidth="1"/>
    <col min="11014" max="11015" width="14" style="25" customWidth="1"/>
    <col min="11016" max="11016" width="8.25" style="25" customWidth="1"/>
    <col min="11017" max="11256" width="9" style="25"/>
    <col min="11257" max="11269" width="15.5" style="25" customWidth="1"/>
    <col min="11270" max="11271" width="14" style="25" customWidth="1"/>
    <col min="11272" max="11272" width="8.25" style="25" customWidth="1"/>
    <col min="11273" max="11512" width="9" style="25"/>
    <col min="11513" max="11525" width="15.5" style="25" customWidth="1"/>
    <col min="11526" max="11527" width="14" style="25" customWidth="1"/>
    <col min="11528" max="11528" width="8.25" style="25" customWidth="1"/>
    <col min="11529" max="11768" width="9" style="25"/>
    <col min="11769" max="11781" width="15.5" style="25" customWidth="1"/>
    <col min="11782" max="11783" width="14" style="25" customWidth="1"/>
    <col min="11784" max="11784" width="8.25" style="25" customWidth="1"/>
    <col min="11785" max="12024" width="9" style="25"/>
    <col min="12025" max="12037" width="15.5" style="25" customWidth="1"/>
    <col min="12038" max="12039" width="14" style="25" customWidth="1"/>
    <col min="12040" max="12040" width="8.25" style="25" customWidth="1"/>
    <col min="12041" max="12280" width="9" style="25"/>
    <col min="12281" max="12293" width="15.5" style="25" customWidth="1"/>
    <col min="12294" max="12295" width="14" style="25" customWidth="1"/>
    <col min="12296" max="12296" width="8.25" style="25" customWidth="1"/>
    <col min="12297" max="12536" width="9" style="25"/>
    <col min="12537" max="12549" width="15.5" style="25" customWidth="1"/>
    <col min="12550" max="12551" width="14" style="25" customWidth="1"/>
    <col min="12552" max="12552" width="8.25" style="25" customWidth="1"/>
    <col min="12553" max="12792" width="9" style="25"/>
    <col min="12793" max="12805" width="15.5" style="25" customWidth="1"/>
    <col min="12806" max="12807" width="14" style="25" customWidth="1"/>
    <col min="12808" max="12808" width="8.25" style="25" customWidth="1"/>
    <col min="12809" max="13048" width="9" style="25"/>
    <col min="13049" max="13061" width="15.5" style="25" customWidth="1"/>
    <col min="13062" max="13063" width="14" style="25" customWidth="1"/>
    <col min="13064" max="13064" width="8.25" style="25" customWidth="1"/>
    <col min="13065" max="13304" width="9" style="25"/>
    <col min="13305" max="13317" width="15.5" style="25" customWidth="1"/>
    <col min="13318" max="13319" width="14" style="25" customWidth="1"/>
    <col min="13320" max="13320" width="8.25" style="25" customWidth="1"/>
    <col min="13321" max="13560" width="9" style="25"/>
    <col min="13561" max="13573" width="15.5" style="25" customWidth="1"/>
    <col min="13574" max="13575" width="14" style="25" customWidth="1"/>
    <col min="13576" max="13576" width="8.25" style="25" customWidth="1"/>
    <col min="13577" max="13816" width="9" style="25"/>
    <col min="13817" max="13829" width="15.5" style="25" customWidth="1"/>
    <col min="13830" max="13831" width="14" style="25" customWidth="1"/>
    <col min="13832" max="13832" width="8.25" style="25" customWidth="1"/>
    <col min="13833" max="14072" width="9" style="25"/>
    <col min="14073" max="14085" width="15.5" style="25" customWidth="1"/>
    <col min="14086" max="14087" width="14" style="25" customWidth="1"/>
    <col min="14088" max="14088" width="8.25" style="25" customWidth="1"/>
    <col min="14089" max="14328" width="9" style="25"/>
    <col min="14329" max="14341" width="15.5" style="25" customWidth="1"/>
    <col min="14342" max="14343" width="14" style="25" customWidth="1"/>
    <col min="14344" max="14344" width="8.25" style="25" customWidth="1"/>
    <col min="14345" max="14584" width="9" style="25"/>
    <col min="14585" max="14597" width="15.5" style="25" customWidth="1"/>
    <col min="14598" max="14599" width="14" style="25" customWidth="1"/>
    <col min="14600" max="14600" width="8.25" style="25" customWidth="1"/>
    <col min="14601" max="14840" width="9" style="25"/>
    <col min="14841" max="14853" width="15.5" style="25" customWidth="1"/>
    <col min="14854" max="14855" width="14" style="25" customWidth="1"/>
    <col min="14856" max="14856" width="8.25" style="25" customWidth="1"/>
    <col min="14857" max="15096" width="9" style="25"/>
    <col min="15097" max="15109" width="15.5" style="25" customWidth="1"/>
    <col min="15110" max="15111" width="14" style="25" customWidth="1"/>
    <col min="15112" max="15112" width="8.25" style="25" customWidth="1"/>
    <col min="15113" max="15352" width="9" style="25"/>
    <col min="15353" max="15365" width="15.5" style="25" customWidth="1"/>
    <col min="15366" max="15367" width="14" style="25" customWidth="1"/>
    <col min="15368" max="15368" width="8.25" style="25" customWidth="1"/>
    <col min="15369" max="15608" width="9" style="25"/>
    <col min="15609" max="15621" width="15.5" style="25" customWidth="1"/>
    <col min="15622" max="15623" width="14" style="25" customWidth="1"/>
    <col min="15624" max="15624" width="8.25" style="25" customWidth="1"/>
    <col min="15625" max="15864" width="9" style="25"/>
    <col min="15865" max="15877" width="15.5" style="25" customWidth="1"/>
    <col min="15878" max="15879" width="14" style="25" customWidth="1"/>
    <col min="15880" max="15880" width="8.25" style="25" customWidth="1"/>
    <col min="15881" max="16120" width="9" style="25"/>
    <col min="16121" max="16133" width="15.5" style="25" customWidth="1"/>
    <col min="16134" max="16135" width="14" style="25" customWidth="1"/>
    <col min="16136" max="16136" width="8.25" style="25" customWidth="1"/>
    <col min="16137" max="16384" width="9" style="25"/>
  </cols>
  <sheetData>
    <row r="2" spans="1:6" s="95" customFormat="1" ht="13" x14ac:dyDescent="0.25">
      <c r="B2" s="100" t="s">
        <v>150</v>
      </c>
      <c r="C2" s="101"/>
    </row>
    <row r="3" spans="1:6" s="101" customFormat="1" ht="13" x14ac:dyDescent="0.45">
      <c r="A3" s="13"/>
    </row>
    <row r="4" spans="1:6" s="95" customFormat="1" ht="13" x14ac:dyDescent="0.3">
      <c r="B4" s="1"/>
      <c r="C4" s="1"/>
      <c r="E4" s="103" t="s">
        <v>71</v>
      </c>
    </row>
    <row r="5" spans="1:6" s="95" customFormat="1" ht="12.5" x14ac:dyDescent="0.25">
      <c r="B5" s="4" t="s">
        <v>640</v>
      </c>
      <c r="C5" s="10" t="s">
        <v>641</v>
      </c>
      <c r="D5" s="5"/>
    </row>
    <row r="6" spans="1:6" s="95" customFormat="1" ht="12.5" x14ac:dyDescent="0.25">
      <c r="B6" s="180">
        <v>1193.4813829787236</v>
      </c>
      <c r="C6" s="180">
        <v>0</v>
      </c>
      <c r="D6" s="1"/>
      <c r="E6" s="2" t="s">
        <v>41</v>
      </c>
      <c r="F6" s="3" t="s">
        <v>154</v>
      </c>
    </row>
    <row r="7" spans="1:6" s="95" customFormat="1" ht="13" x14ac:dyDescent="0.3">
      <c r="B7" s="180">
        <v>1528.5877659574471</v>
      </c>
      <c r="C7" s="180">
        <v>4.6515957446808525</v>
      </c>
      <c r="D7" s="1"/>
      <c r="E7" s="7" t="s">
        <v>43</v>
      </c>
      <c r="F7" s="8" t="s">
        <v>648</v>
      </c>
    </row>
    <row r="8" spans="1:6" s="95" customFormat="1" ht="13" x14ac:dyDescent="0.3">
      <c r="B8" s="180">
        <v>1991.3537234042553</v>
      </c>
      <c r="C8" s="180">
        <v>0</v>
      </c>
      <c r="D8" s="1"/>
      <c r="E8" s="7" t="s">
        <v>44</v>
      </c>
      <c r="F8" s="8" t="s">
        <v>44</v>
      </c>
    </row>
    <row r="9" spans="1:6" s="95" customFormat="1" ht="13" x14ac:dyDescent="0.3">
      <c r="B9" s="180">
        <v>738.69414893617022</v>
      </c>
      <c r="C9" s="180">
        <v>0</v>
      </c>
      <c r="D9" s="1"/>
      <c r="E9" s="7" t="s">
        <v>45</v>
      </c>
      <c r="F9" s="8" t="s">
        <v>578</v>
      </c>
    </row>
    <row r="10" spans="1:6" s="95" customFormat="1" ht="12.5" x14ac:dyDescent="0.25">
      <c r="B10" s="180">
        <v>1560.5026595744685</v>
      </c>
      <c r="C10" s="180">
        <v>0</v>
      </c>
      <c r="D10" s="1"/>
      <c r="E10" s="2"/>
      <c r="F10" s="3"/>
    </row>
    <row r="11" spans="1:6" s="95" customFormat="1" ht="12.5" x14ac:dyDescent="0.25">
      <c r="D11" s="1"/>
      <c r="E11" s="2" t="s">
        <v>46</v>
      </c>
      <c r="F11" s="3"/>
    </row>
    <row r="12" spans="1:6" s="95" customFormat="1" ht="13" x14ac:dyDescent="0.3">
      <c r="D12" s="1"/>
      <c r="E12" s="7" t="s">
        <v>47</v>
      </c>
      <c r="F12" s="8">
        <v>2.0000000000000001E-4</v>
      </c>
    </row>
    <row r="13" spans="1:6" s="95" customFormat="1" ht="13" x14ac:dyDescent="0.3">
      <c r="E13" s="7" t="s">
        <v>49</v>
      </c>
      <c r="F13" s="8" t="s">
        <v>50</v>
      </c>
    </row>
    <row r="14" spans="1:6" s="95" customFormat="1" ht="12.5" x14ac:dyDescent="0.25">
      <c r="E14" s="2" t="s">
        <v>51</v>
      </c>
      <c r="F14" s="3" t="s">
        <v>52</v>
      </c>
    </row>
    <row r="15" spans="1:6" s="95" customFormat="1" ht="12.5" x14ac:dyDescent="0.25">
      <c r="E15" s="2" t="s">
        <v>53</v>
      </c>
      <c r="F15" s="3" t="s">
        <v>54</v>
      </c>
    </row>
    <row r="16" spans="1:6" s="95" customFormat="1" ht="12.5" x14ac:dyDescent="0.25">
      <c r="E16" s="2" t="s">
        <v>55</v>
      </c>
      <c r="F16" s="3" t="s">
        <v>642</v>
      </c>
    </row>
    <row r="17" spans="5:6" s="95" customFormat="1" ht="12.5" x14ac:dyDescent="0.25">
      <c r="E17" s="2"/>
      <c r="F17" s="3"/>
    </row>
    <row r="18" spans="5:6" s="95" customFormat="1" ht="12.5" x14ac:dyDescent="0.25">
      <c r="E18" s="2" t="s">
        <v>57</v>
      </c>
      <c r="F18" s="3"/>
    </row>
    <row r="19" spans="5:6" s="95" customFormat="1" ht="12.5" x14ac:dyDescent="0.25">
      <c r="E19" s="2" t="s">
        <v>157</v>
      </c>
      <c r="F19" s="3" t="s">
        <v>643</v>
      </c>
    </row>
    <row r="20" spans="5:6" s="95" customFormat="1" ht="12.5" x14ac:dyDescent="0.25">
      <c r="E20" s="2" t="s">
        <v>497</v>
      </c>
      <c r="F20" s="3" t="s">
        <v>644</v>
      </c>
    </row>
    <row r="21" spans="5:6" s="95" customFormat="1" ht="12.5" x14ac:dyDescent="0.25">
      <c r="E21" s="2" t="s">
        <v>62</v>
      </c>
      <c r="F21" s="3" t="s">
        <v>645</v>
      </c>
    </row>
    <row r="22" spans="5:6" s="95" customFormat="1" ht="12.5" x14ac:dyDescent="0.25">
      <c r="E22" s="2" t="s">
        <v>64</v>
      </c>
      <c r="F22" s="3" t="s">
        <v>646</v>
      </c>
    </row>
    <row r="23" spans="5:6" s="95" customFormat="1" ht="12.5" x14ac:dyDescent="0.25">
      <c r="E23" s="2" t="s">
        <v>66</v>
      </c>
      <c r="F23" s="3">
        <v>0.84919999999999995</v>
      </c>
    </row>
    <row r="24" spans="5:6" s="95" customFormat="1" ht="12.5" x14ac:dyDescent="0.25">
      <c r="E24" s="2"/>
      <c r="F24" s="3"/>
    </row>
    <row r="25" spans="5:6" s="95" customFormat="1" ht="12.5" x14ac:dyDescent="0.25">
      <c r="E25" s="2" t="s">
        <v>67</v>
      </c>
      <c r="F25" s="3"/>
    </row>
    <row r="26" spans="5:6" s="95" customFormat="1" ht="12.5" x14ac:dyDescent="0.25">
      <c r="E26" s="2" t="s">
        <v>68</v>
      </c>
      <c r="F26" s="3" t="s">
        <v>647</v>
      </c>
    </row>
    <row r="27" spans="5:6" s="95" customFormat="1" ht="12.5" x14ac:dyDescent="0.25">
      <c r="E27" s="2" t="s">
        <v>47</v>
      </c>
      <c r="F27" s="3" t="s">
        <v>48</v>
      </c>
    </row>
    <row r="28" spans="5:6" s="95" customFormat="1" ht="12.5" x14ac:dyDescent="0.25">
      <c r="E28" s="2" t="s">
        <v>49</v>
      </c>
      <c r="F28" s="3" t="s">
        <v>50</v>
      </c>
    </row>
    <row r="29" spans="5:6" s="95" customFormat="1" ht="12.5" x14ac:dyDescent="0.25">
      <c r="E29" s="2" t="s">
        <v>70</v>
      </c>
      <c r="F29" s="3" t="s">
        <v>52</v>
      </c>
    </row>
    <row r="30" spans="5:6" s="95" customFormat="1" ht="12.5" x14ac:dyDescent="0.25"/>
  </sheetData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1443-BD15-46BA-BB05-D5FE931420EF}">
  <dimension ref="B2:L152"/>
  <sheetViews>
    <sheetView zoomScale="90" zoomScaleNormal="90" workbookViewId="0">
      <selection activeCell="J28" sqref="J28"/>
    </sheetView>
  </sheetViews>
  <sheetFormatPr defaultColWidth="8.58203125" defaultRowHeight="14" x14ac:dyDescent="0.3"/>
  <cols>
    <col min="1" max="1" width="8.58203125" style="73"/>
    <col min="2" max="2" width="16.83203125" style="73" customWidth="1"/>
    <col min="3" max="3" width="7.58203125" style="73" bestFit="1" customWidth="1"/>
    <col min="4" max="4" width="24.25" style="73" bestFit="1" customWidth="1"/>
    <col min="5" max="5" width="6.25" style="73" bestFit="1" customWidth="1"/>
    <col min="6" max="6" width="20" style="73" customWidth="1"/>
    <col min="7" max="7" width="16.58203125" style="73" bestFit="1" customWidth="1"/>
    <col min="8" max="8" width="8.58203125" style="73"/>
    <col min="9" max="9" width="32.5" style="73" bestFit="1" customWidth="1"/>
    <col min="10" max="10" width="21.58203125" style="73" bestFit="1" customWidth="1"/>
    <col min="11" max="11" width="19.08203125" style="73" bestFit="1" customWidth="1"/>
    <col min="12" max="12" width="9" style="73" bestFit="1" customWidth="1"/>
    <col min="13" max="16384" width="8.58203125" style="73"/>
  </cols>
  <sheetData>
    <row r="2" spans="2:12" s="322" customFormat="1" ht="12.75" customHeight="1" x14ac:dyDescent="0.25">
      <c r="B2" s="321" t="s">
        <v>684</v>
      </c>
    </row>
    <row r="3" spans="2:12" s="322" customFormat="1" ht="12.75" customHeight="1" x14ac:dyDescent="0.25"/>
    <row r="4" spans="2:12" s="322" customFormat="1" ht="12.75" customHeight="1" x14ac:dyDescent="0.25">
      <c r="B4" s="322" t="s">
        <v>667</v>
      </c>
    </row>
    <row r="5" spans="2:12" s="322" customFormat="1" ht="12.75" customHeight="1" x14ac:dyDescent="0.25">
      <c r="B5" s="299"/>
      <c r="C5" s="299" t="s">
        <v>649</v>
      </c>
      <c r="D5" s="299" t="s">
        <v>650</v>
      </c>
      <c r="E5" s="299" t="s">
        <v>651</v>
      </c>
      <c r="F5" s="323" t="s">
        <v>1525</v>
      </c>
      <c r="G5" s="324" t="s">
        <v>652</v>
      </c>
      <c r="I5" s="325" t="s">
        <v>71</v>
      </c>
    </row>
    <row r="6" spans="2:12" s="322" customFormat="1" ht="12.75" customHeight="1" x14ac:dyDescent="0.25">
      <c r="B6" s="370" t="s">
        <v>99</v>
      </c>
      <c r="C6" s="299" t="s">
        <v>611</v>
      </c>
      <c r="D6" s="326" t="s">
        <v>653</v>
      </c>
      <c r="E6" s="326" t="s">
        <v>654</v>
      </c>
      <c r="F6" s="327">
        <v>1652000</v>
      </c>
      <c r="G6" s="328">
        <v>43950.450879629629</v>
      </c>
    </row>
    <row r="7" spans="2:12" s="322" customFormat="1" ht="12.75" customHeight="1" x14ac:dyDescent="0.25">
      <c r="B7" s="370"/>
      <c r="C7" s="299" t="s">
        <v>612</v>
      </c>
      <c r="D7" s="326" t="s">
        <v>653</v>
      </c>
      <c r="E7" s="326" t="s">
        <v>655</v>
      </c>
      <c r="F7" s="327">
        <v>580700</v>
      </c>
      <c r="G7" s="328">
        <v>43950.450879629629</v>
      </c>
      <c r="I7" s="2" t="s">
        <v>41</v>
      </c>
      <c r="J7" s="3"/>
      <c r="K7" s="3"/>
      <c r="L7" s="3"/>
    </row>
    <row r="8" spans="2:12" s="322" customFormat="1" ht="12.75" customHeight="1" x14ac:dyDescent="0.25">
      <c r="B8" s="370"/>
      <c r="C8" s="299" t="s">
        <v>613</v>
      </c>
      <c r="D8" s="326" t="s">
        <v>653</v>
      </c>
      <c r="E8" s="326" t="s">
        <v>656</v>
      </c>
      <c r="F8" s="327">
        <v>2133000</v>
      </c>
      <c r="G8" s="328">
        <v>43950.450879629629</v>
      </c>
      <c r="I8" s="2"/>
      <c r="J8" s="3"/>
      <c r="K8" s="3"/>
      <c r="L8" s="3"/>
    </row>
    <row r="9" spans="2:12" s="322" customFormat="1" ht="12.75" customHeight="1" x14ac:dyDescent="0.25">
      <c r="B9" s="370"/>
      <c r="C9" s="299" t="s">
        <v>614</v>
      </c>
      <c r="D9" s="326" t="s">
        <v>653</v>
      </c>
      <c r="E9" s="326" t="s">
        <v>657</v>
      </c>
      <c r="F9" s="327">
        <v>1627000</v>
      </c>
      <c r="G9" s="328">
        <v>43950.450879629629</v>
      </c>
      <c r="I9" s="2" t="s">
        <v>674</v>
      </c>
      <c r="J9" s="3"/>
      <c r="K9" s="3"/>
      <c r="L9" s="3"/>
    </row>
    <row r="10" spans="2:12" s="322" customFormat="1" ht="12.75" customHeight="1" x14ac:dyDescent="0.25">
      <c r="B10" s="370"/>
      <c r="C10" s="299" t="s">
        <v>615</v>
      </c>
      <c r="D10" s="326" t="s">
        <v>653</v>
      </c>
      <c r="E10" s="326" t="s">
        <v>658</v>
      </c>
      <c r="F10" s="327">
        <v>3316000</v>
      </c>
      <c r="G10" s="328">
        <v>43950.450879629629</v>
      </c>
      <c r="I10" s="2" t="s">
        <v>47</v>
      </c>
      <c r="J10" s="3">
        <v>4.2000000000000003E-2</v>
      </c>
      <c r="K10" s="3"/>
      <c r="L10" s="3"/>
    </row>
    <row r="11" spans="2:12" s="322" customFormat="1" ht="12.75" customHeight="1" x14ac:dyDescent="0.25">
      <c r="B11" s="370" t="s">
        <v>1526</v>
      </c>
      <c r="C11" s="299" t="s">
        <v>616</v>
      </c>
      <c r="D11" s="326" t="s">
        <v>659</v>
      </c>
      <c r="E11" s="326" t="s">
        <v>654</v>
      </c>
      <c r="F11" s="327">
        <v>670800</v>
      </c>
      <c r="G11" s="328">
        <v>43950.433888888889</v>
      </c>
      <c r="I11" s="2" t="s">
        <v>675</v>
      </c>
      <c r="J11" s="3" t="s">
        <v>676</v>
      </c>
      <c r="K11" s="3"/>
      <c r="L11" s="3"/>
    </row>
    <row r="12" spans="2:12" s="322" customFormat="1" ht="12.75" customHeight="1" x14ac:dyDescent="0.3">
      <c r="B12" s="370"/>
      <c r="C12" s="299" t="s">
        <v>660</v>
      </c>
      <c r="D12" s="326" t="s">
        <v>659</v>
      </c>
      <c r="E12" s="326" t="s">
        <v>655</v>
      </c>
      <c r="F12" s="327">
        <v>2130000</v>
      </c>
      <c r="G12" s="328">
        <v>43950.433888888889</v>
      </c>
      <c r="I12" s="7" t="s">
        <v>49</v>
      </c>
      <c r="J12" s="8" t="s">
        <v>332</v>
      </c>
      <c r="K12" s="3"/>
      <c r="L12" s="3"/>
    </row>
    <row r="13" spans="2:12" s="322" customFormat="1" ht="12.75" customHeight="1" x14ac:dyDescent="0.25">
      <c r="B13" s="370"/>
      <c r="C13" s="299" t="s">
        <v>618</v>
      </c>
      <c r="D13" s="326" t="s">
        <v>659</v>
      </c>
      <c r="E13" s="326" t="s">
        <v>656</v>
      </c>
      <c r="F13" s="327">
        <v>3129000</v>
      </c>
      <c r="G13" s="328">
        <v>43950.433888888889</v>
      </c>
      <c r="I13" s="2" t="s">
        <v>677</v>
      </c>
      <c r="J13" s="3" t="s">
        <v>52</v>
      </c>
      <c r="K13" s="3"/>
      <c r="L13" s="3"/>
    </row>
    <row r="14" spans="2:12" s="322" customFormat="1" ht="12.75" customHeight="1" x14ac:dyDescent="0.25">
      <c r="B14" s="370"/>
      <c r="C14" s="299" t="s">
        <v>619</v>
      </c>
      <c r="D14" s="326" t="s">
        <v>659</v>
      </c>
      <c r="E14" s="326" t="s">
        <v>657</v>
      </c>
      <c r="F14" s="327">
        <v>1386000</v>
      </c>
      <c r="G14" s="328">
        <v>43950.433888888889</v>
      </c>
      <c r="I14" s="2" t="s">
        <v>403</v>
      </c>
      <c r="J14" s="3">
        <v>5</v>
      </c>
      <c r="K14" s="3"/>
      <c r="L14" s="3"/>
    </row>
    <row r="15" spans="2:12" s="322" customFormat="1" ht="12.75" customHeight="1" x14ac:dyDescent="0.25">
      <c r="B15" s="370"/>
      <c r="C15" s="299" t="s">
        <v>620</v>
      </c>
      <c r="D15" s="326" t="s">
        <v>659</v>
      </c>
      <c r="E15" s="326" t="s">
        <v>658</v>
      </c>
      <c r="F15" s="329">
        <v>2095000</v>
      </c>
      <c r="G15" s="328">
        <v>43950.433888888889</v>
      </c>
      <c r="I15" s="2" t="s">
        <v>678</v>
      </c>
      <c r="J15" s="3">
        <v>9.9060000000000006</v>
      </c>
      <c r="K15" s="3"/>
      <c r="L15" s="3"/>
    </row>
    <row r="16" spans="2:12" s="322" customFormat="1" ht="12.75" customHeight="1" x14ac:dyDescent="0.25">
      <c r="B16" s="370" t="s">
        <v>1527</v>
      </c>
      <c r="C16" s="299" t="s">
        <v>621</v>
      </c>
      <c r="D16" s="326" t="s">
        <v>661</v>
      </c>
      <c r="E16" s="326" t="s">
        <v>654</v>
      </c>
      <c r="F16" s="327">
        <v>2147000</v>
      </c>
      <c r="G16" s="328">
        <v>43950.440682870372</v>
      </c>
      <c r="I16" s="2"/>
      <c r="J16" s="3"/>
      <c r="K16" s="3"/>
      <c r="L16" s="3"/>
    </row>
    <row r="17" spans="2:12" s="322" customFormat="1" ht="12.75" customHeight="1" x14ac:dyDescent="0.25">
      <c r="B17" s="370"/>
      <c r="C17" s="299" t="s">
        <v>622</v>
      </c>
      <c r="D17" s="326" t="s">
        <v>661</v>
      </c>
      <c r="E17" s="326" t="s">
        <v>655</v>
      </c>
      <c r="F17" s="327">
        <v>757100</v>
      </c>
      <c r="G17" s="328">
        <v>43950.440682870372</v>
      </c>
      <c r="I17" s="2" t="s">
        <v>679</v>
      </c>
      <c r="J17" s="3" t="s">
        <v>680</v>
      </c>
      <c r="K17" s="3" t="s">
        <v>417</v>
      </c>
      <c r="L17" s="3" t="s">
        <v>418</v>
      </c>
    </row>
    <row r="18" spans="2:12" s="322" customFormat="1" ht="12.75" customHeight="1" x14ac:dyDescent="0.3">
      <c r="B18" s="370"/>
      <c r="C18" s="299" t="s">
        <v>623</v>
      </c>
      <c r="D18" s="326" t="s">
        <v>661</v>
      </c>
      <c r="E18" s="326" t="s">
        <v>656</v>
      </c>
      <c r="F18" s="327">
        <v>2537000</v>
      </c>
      <c r="G18" s="328">
        <v>43950.440682870372</v>
      </c>
      <c r="I18" s="7" t="s">
        <v>681</v>
      </c>
      <c r="J18" s="8">
        <v>13</v>
      </c>
      <c r="K18" s="8" t="s">
        <v>52</v>
      </c>
      <c r="L18" s="8" t="s">
        <v>332</v>
      </c>
    </row>
    <row r="19" spans="2:12" s="322" customFormat="1" ht="12.75" customHeight="1" x14ac:dyDescent="0.25">
      <c r="B19" s="370"/>
      <c r="C19" s="299" t="s">
        <v>624</v>
      </c>
      <c r="D19" s="326" t="s">
        <v>661</v>
      </c>
      <c r="E19" s="326" t="s">
        <v>657</v>
      </c>
      <c r="F19" s="327">
        <v>1882000</v>
      </c>
      <c r="G19" s="328">
        <v>43950.440682870372</v>
      </c>
      <c r="I19" s="2" t="s">
        <v>682</v>
      </c>
      <c r="J19" s="3">
        <v>-0.83330000000000004</v>
      </c>
      <c r="K19" s="3" t="s">
        <v>204</v>
      </c>
      <c r="L19" s="3" t="s">
        <v>203</v>
      </c>
    </row>
    <row r="20" spans="2:12" s="322" customFormat="1" ht="12.75" customHeight="1" x14ac:dyDescent="0.25">
      <c r="B20" s="370"/>
      <c r="C20" s="299" t="s">
        <v>625</v>
      </c>
      <c r="D20" s="326" t="s">
        <v>661</v>
      </c>
      <c r="E20" s="326" t="s">
        <v>658</v>
      </c>
      <c r="F20" s="327">
        <v>1202000</v>
      </c>
      <c r="G20" s="328">
        <v>43950.440682870372</v>
      </c>
      <c r="I20" s="2" t="s">
        <v>683</v>
      </c>
      <c r="J20" s="3">
        <v>3.5</v>
      </c>
      <c r="K20" s="3" t="s">
        <v>204</v>
      </c>
      <c r="L20" s="3" t="s">
        <v>203</v>
      </c>
    </row>
    <row r="21" spans="2:12" s="322" customFormat="1" ht="12.75" customHeight="1" x14ac:dyDescent="0.25">
      <c r="B21" s="370" t="s">
        <v>1528</v>
      </c>
      <c r="C21" s="299" t="s">
        <v>626</v>
      </c>
      <c r="D21" s="326" t="s">
        <v>662</v>
      </c>
      <c r="E21" s="326" t="s">
        <v>654</v>
      </c>
      <c r="F21" s="327">
        <v>630000</v>
      </c>
      <c r="G21" s="328">
        <v>43950.444351851853</v>
      </c>
    </row>
    <row r="22" spans="2:12" s="322" customFormat="1" ht="12.75" customHeight="1" x14ac:dyDescent="0.25">
      <c r="B22" s="370"/>
      <c r="C22" s="299" t="s">
        <v>627</v>
      </c>
      <c r="D22" s="326" t="s">
        <v>662</v>
      </c>
      <c r="E22" s="326" t="s">
        <v>655</v>
      </c>
      <c r="F22" s="327">
        <v>495200</v>
      </c>
      <c r="G22" s="328">
        <v>43950.444351851853</v>
      </c>
      <c r="I22" s="322" t="s">
        <v>686</v>
      </c>
    </row>
    <row r="23" spans="2:12" s="322" customFormat="1" ht="12.75" customHeight="1" x14ac:dyDescent="0.3">
      <c r="B23" s="370"/>
      <c r="C23" s="299" t="s">
        <v>628</v>
      </c>
      <c r="D23" s="326" t="s">
        <v>662</v>
      </c>
      <c r="E23" s="326" t="s">
        <v>656</v>
      </c>
      <c r="F23" s="327">
        <v>427800</v>
      </c>
      <c r="G23" s="328">
        <v>43950.444351851853</v>
      </c>
      <c r="I23" s="2" t="s">
        <v>41</v>
      </c>
      <c r="J23" s="8" t="s">
        <v>685</v>
      </c>
      <c r="K23" s="3"/>
      <c r="L23" s="3"/>
    </row>
    <row r="24" spans="2:12" s="322" customFormat="1" ht="12.75" customHeight="1" x14ac:dyDescent="0.25">
      <c r="B24" s="370"/>
      <c r="C24" s="299" t="s">
        <v>629</v>
      </c>
      <c r="D24" s="326" t="s">
        <v>662</v>
      </c>
      <c r="E24" s="326" t="s">
        <v>657</v>
      </c>
      <c r="F24" s="327">
        <v>401100</v>
      </c>
      <c r="G24" s="328">
        <v>43950.444351851853</v>
      </c>
      <c r="I24" s="2"/>
      <c r="J24" s="3"/>
      <c r="K24" s="3"/>
      <c r="L24" s="3"/>
    </row>
    <row r="25" spans="2:12" s="322" customFormat="1" ht="12.75" customHeight="1" x14ac:dyDescent="0.25">
      <c r="B25" s="370"/>
      <c r="C25" s="299" t="s">
        <v>630</v>
      </c>
      <c r="D25" s="326" t="s">
        <v>662</v>
      </c>
      <c r="E25" s="326" t="s">
        <v>658</v>
      </c>
      <c r="F25" s="327">
        <v>353100</v>
      </c>
      <c r="G25" s="328">
        <v>43950.444351851853</v>
      </c>
      <c r="I25" s="2" t="s">
        <v>674</v>
      </c>
      <c r="J25" s="3"/>
      <c r="K25" s="3"/>
      <c r="L25" s="3"/>
    </row>
    <row r="26" spans="2:12" s="322" customFormat="1" ht="12.75" customHeight="1" x14ac:dyDescent="0.25">
      <c r="I26" s="2" t="s">
        <v>47</v>
      </c>
      <c r="J26" s="3">
        <v>1.72E-2</v>
      </c>
      <c r="K26" s="3"/>
      <c r="L26" s="3"/>
    </row>
    <row r="27" spans="2:12" s="322" customFormat="1" ht="12.75" customHeight="1" x14ac:dyDescent="0.25">
      <c r="B27" s="322" t="s">
        <v>672</v>
      </c>
      <c r="I27" s="2" t="s">
        <v>675</v>
      </c>
      <c r="J27" s="3" t="s">
        <v>676</v>
      </c>
      <c r="K27" s="3"/>
      <c r="L27" s="3"/>
    </row>
    <row r="28" spans="2:12" s="322" customFormat="1" ht="12.75" customHeight="1" x14ac:dyDescent="0.3">
      <c r="B28" s="299"/>
      <c r="C28" s="299" t="s">
        <v>649</v>
      </c>
      <c r="D28" s="299" t="s">
        <v>650</v>
      </c>
      <c r="E28" s="299" t="s">
        <v>651</v>
      </c>
      <c r="F28" s="323" t="s">
        <v>1525</v>
      </c>
      <c r="G28" s="324" t="s">
        <v>652</v>
      </c>
      <c r="I28" s="7" t="s">
        <v>49</v>
      </c>
      <c r="J28" s="8" t="s">
        <v>332</v>
      </c>
      <c r="K28" s="3"/>
      <c r="L28" s="3"/>
    </row>
    <row r="29" spans="2:12" s="322" customFormat="1" ht="12.75" customHeight="1" x14ac:dyDescent="0.25">
      <c r="B29" s="370" t="s">
        <v>99</v>
      </c>
      <c r="C29" s="299" t="s">
        <v>611</v>
      </c>
      <c r="D29" s="326" t="s">
        <v>663</v>
      </c>
      <c r="E29" s="326" t="s">
        <v>654</v>
      </c>
      <c r="F29" s="327">
        <v>17560000</v>
      </c>
      <c r="G29" s="328">
        <v>43957.44803240741</v>
      </c>
      <c r="I29" s="2" t="s">
        <v>677</v>
      </c>
      <c r="J29" s="3" t="s">
        <v>52</v>
      </c>
      <c r="K29" s="3"/>
      <c r="L29" s="3"/>
    </row>
    <row r="30" spans="2:12" s="322" customFormat="1" ht="12.75" customHeight="1" x14ac:dyDescent="0.25">
      <c r="B30" s="370"/>
      <c r="C30" s="299" t="s">
        <v>612</v>
      </c>
      <c r="D30" s="326" t="s">
        <v>663</v>
      </c>
      <c r="E30" s="326" t="s">
        <v>655</v>
      </c>
      <c r="F30" s="327">
        <v>5787000</v>
      </c>
      <c r="G30" s="328">
        <v>43957.44803240741</v>
      </c>
      <c r="I30" s="2" t="s">
        <v>403</v>
      </c>
      <c r="J30" s="3">
        <v>4</v>
      </c>
      <c r="K30" s="3"/>
      <c r="L30" s="3"/>
    </row>
    <row r="31" spans="2:12" s="322" customFormat="1" ht="12.75" customHeight="1" x14ac:dyDescent="0.25">
      <c r="B31" s="370"/>
      <c r="C31" s="299" t="s">
        <v>613</v>
      </c>
      <c r="D31" s="326" t="s">
        <v>663</v>
      </c>
      <c r="E31" s="326" t="s">
        <v>656</v>
      </c>
      <c r="F31" s="327">
        <v>15820000</v>
      </c>
      <c r="G31" s="328">
        <v>43957.44803240741</v>
      </c>
      <c r="I31" s="2" t="s">
        <v>678</v>
      </c>
      <c r="J31" s="3">
        <v>10.17</v>
      </c>
      <c r="K31" s="3"/>
      <c r="L31" s="3"/>
    </row>
    <row r="32" spans="2:12" s="322" customFormat="1" ht="12.75" customHeight="1" x14ac:dyDescent="0.25">
      <c r="B32" s="370"/>
      <c r="C32" s="299" t="s">
        <v>614</v>
      </c>
      <c r="D32" s="326" t="s">
        <v>663</v>
      </c>
      <c r="E32" s="326" t="s">
        <v>657</v>
      </c>
      <c r="F32" s="327">
        <v>21620000</v>
      </c>
      <c r="G32" s="328">
        <v>43957.44803240741</v>
      </c>
      <c r="I32" s="2"/>
      <c r="J32" s="3"/>
      <c r="K32" s="3"/>
      <c r="L32" s="3"/>
    </row>
    <row r="33" spans="2:12" s="322" customFormat="1" ht="12.75" customHeight="1" x14ac:dyDescent="0.25">
      <c r="B33" s="370"/>
      <c r="C33" s="299" t="s">
        <v>615</v>
      </c>
      <c r="D33" s="326" t="s">
        <v>663</v>
      </c>
      <c r="E33" s="326" t="s">
        <v>658</v>
      </c>
      <c r="F33" s="327">
        <v>62640000</v>
      </c>
      <c r="G33" s="328">
        <v>43957.44803240741</v>
      </c>
      <c r="I33" s="2" t="s">
        <v>679</v>
      </c>
      <c r="J33" s="3" t="s">
        <v>680</v>
      </c>
      <c r="K33" s="3" t="s">
        <v>417</v>
      </c>
      <c r="L33" s="3" t="s">
        <v>418</v>
      </c>
    </row>
    <row r="34" spans="2:12" s="322" customFormat="1" ht="12.75" customHeight="1" x14ac:dyDescent="0.3">
      <c r="B34" s="370" t="s">
        <v>1526</v>
      </c>
      <c r="C34" s="299" t="s">
        <v>616</v>
      </c>
      <c r="D34" s="326" t="s">
        <v>664</v>
      </c>
      <c r="E34" s="326" t="s">
        <v>654</v>
      </c>
      <c r="F34" s="327">
        <v>14160000</v>
      </c>
      <c r="G34" s="328">
        <v>43957.430937500001</v>
      </c>
      <c r="I34" s="7" t="s">
        <v>681</v>
      </c>
      <c r="J34" s="8">
        <v>9.5</v>
      </c>
      <c r="K34" s="8" t="s">
        <v>52</v>
      </c>
      <c r="L34" s="8" t="s">
        <v>332</v>
      </c>
    </row>
    <row r="35" spans="2:12" s="322" customFormat="1" ht="12.75" customHeight="1" x14ac:dyDescent="0.25">
      <c r="B35" s="370"/>
      <c r="C35" s="299" t="s">
        <v>660</v>
      </c>
      <c r="D35" s="326" t="s">
        <v>664</v>
      </c>
      <c r="E35" s="326" t="s">
        <v>655</v>
      </c>
      <c r="F35" s="327">
        <v>20070000</v>
      </c>
      <c r="G35" s="328">
        <v>43957.430937500001</v>
      </c>
      <c r="I35" s="2" t="s">
        <v>682</v>
      </c>
      <c r="J35" s="3">
        <v>9.9</v>
      </c>
      <c r="K35" s="3" t="s">
        <v>52</v>
      </c>
      <c r="L35" s="3" t="s">
        <v>332</v>
      </c>
    </row>
    <row r="36" spans="2:12" s="322" customFormat="1" ht="12.75" customHeight="1" x14ac:dyDescent="0.25">
      <c r="B36" s="370"/>
      <c r="C36" s="299" t="s">
        <v>618</v>
      </c>
      <c r="D36" s="326" t="s">
        <v>664</v>
      </c>
      <c r="E36" s="326" t="s">
        <v>656</v>
      </c>
      <c r="F36" s="327">
        <v>68860000</v>
      </c>
      <c r="G36" s="328">
        <v>43957.430937500001</v>
      </c>
      <c r="I36" s="2" t="s">
        <v>683</v>
      </c>
      <c r="J36" s="3">
        <v>9.8000000000000007</v>
      </c>
      <c r="K36" s="3" t="s">
        <v>52</v>
      </c>
      <c r="L36" s="3" t="s">
        <v>332</v>
      </c>
    </row>
    <row r="37" spans="2:12" s="322" customFormat="1" ht="12.75" customHeight="1" x14ac:dyDescent="0.25">
      <c r="B37" s="370"/>
      <c r="C37" s="299" t="s">
        <v>619</v>
      </c>
      <c r="D37" s="326" t="s">
        <v>664</v>
      </c>
      <c r="E37" s="326" t="s">
        <v>657</v>
      </c>
      <c r="F37" s="327">
        <v>18150000</v>
      </c>
      <c r="G37" s="328">
        <v>43957.430937500001</v>
      </c>
    </row>
    <row r="38" spans="2:12" s="322" customFormat="1" ht="12.75" customHeight="1" x14ac:dyDescent="0.25">
      <c r="B38" s="370"/>
      <c r="C38" s="299" t="s">
        <v>620</v>
      </c>
      <c r="D38" s="326" t="s">
        <v>664</v>
      </c>
      <c r="E38" s="326" t="s">
        <v>658</v>
      </c>
      <c r="F38" s="327">
        <v>32180000</v>
      </c>
      <c r="G38" s="328">
        <v>43957.430937500001</v>
      </c>
      <c r="I38" s="322" t="s">
        <v>688</v>
      </c>
    </row>
    <row r="39" spans="2:12" s="322" customFormat="1" ht="12.75" customHeight="1" x14ac:dyDescent="0.3">
      <c r="B39" s="370" t="s">
        <v>1527</v>
      </c>
      <c r="C39" s="299" t="s">
        <v>621</v>
      </c>
      <c r="D39" s="326" t="s">
        <v>665</v>
      </c>
      <c r="E39" s="326" t="s">
        <v>654</v>
      </c>
      <c r="F39" s="327">
        <v>60880000</v>
      </c>
      <c r="G39" s="328">
        <v>43957.437777777777</v>
      </c>
      <c r="I39" s="2" t="s">
        <v>41</v>
      </c>
      <c r="J39" s="8" t="s">
        <v>687</v>
      </c>
      <c r="K39" s="3"/>
      <c r="L39" s="3"/>
    </row>
    <row r="40" spans="2:12" s="322" customFormat="1" ht="12.75" customHeight="1" x14ac:dyDescent="0.25">
      <c r="B40" s="370"/>
      <c r="C40" s="299" t="s">
        <v>622</v>
      </c>
      <c r="D40" s="326" t="s">
        <v>665</v>
      </c>
      <c r="E40" s="326" t="s">
        <v>655</v>
      </c>
      <c r="F40" s="327">
        <v>3301000</v>
      </c>
      <c r="G40" s="328">
        <v>43957.437777777777</v>
      </c>
      <c r="I40" s="2"/>
      <c r="J40" s="3"/>
      <c r="K40" s="3"/>
      <c r="L40" s="3"/>
    </row>
    <row r="41" spans="2:12" s="322" customFormat="1" ht="12.75" customHeight="1" x14ac:dyDescent="0.25">
      <c r="B41" s="370"/>
      <c r="C41" s="299" t="s">
        <v>623</v>
      </c>
      <c r="D41" s="326" t="s">
        <v>665</v>
      </c>
      <c r="E41" s="326" t="s">
        <v>656</v>
      </c>
      <c r="F41" s="327">
        <v>53520000</v>
      </c>
      <c r="G41" s="328">
        <v>43957.437777777777</v>
      </c>
      <c r="I41" s="2" t="s">
        <v>674</v>
      </c>
      <c r="J41" s="3"/>
      <c r="K41" s="3"/>
      <c r="L41" s="3"/>
    </row>
    <row r="42" spans="2:12" s="322" customFormat="1" ht="12.75" customHeight="1" x14ac:dyDescent="0.25">
      <c r="B42" s="370"/>
      <c r="C42" s="299" t="s">
        <v>624</v>
      </c>
      <c r="D42" s="326" t="s">
        <v>665</v>
      </c>
      <c r="E42" s="326" t="s">
        <v>657</v>
      </c>
      <c r="F42" s="327">
        <v>18000000</v>
      </c>
      <c r="G42" s="328">
        <v>43957.437777777777</v>
      </c>
      <c r="I42" s="2" t="s">
        <v>47</v>
      </c>
      <c r="J42" s="3">
        <v>1.0999999999999999E-2</v>
      </c>
      <c r="K42" s="3"/>
      <c r="L42" s="3"/>
    </row>
    <row r="43" spans="2:12" s="322" customFormat="1" ht="12.75" customHeight="1" x14ac:dyDescent="0.25">
      <c r="B43" s="370"/>
      <c r="C43" s="299" t="s">
        <v>625</v>
      </c>
      <c r="D43" s="326" t="s">
        <v>665</v>
      </c>
      <c r="E43" s="326" t="s">
        <v>658</v>
      </c>
      <c r="F43" s="327">
        <v>8673000</v>
      </c>
      <c r="G43" s="328">
        <v>43957.437777777777</v>
      </c>
      <c r="I43" s="2" t="s">
        <v>675</v>
      </c>
      <c r="J43" s="3" t="s">
        <v>676</v>
      </c>
      <c r="K43" s="3"/>
      <c r="L43" s="3"/>
    </row>
    <row r="44" spans="2:12" s="322" customFormat="1" ht="12.75" customHeight="1" x14ac:dyDescent="0.3">
      <c r="B44" s="370" t="s">
        <v>1528</v>
      </c>
      <c r="C44" s="299" t="s">
        <v>626</v>
      </c>
      <c r="D44" s="326" t="s">
        <v>666</v>
      </c>
      <c r="E44" s="326" t="s">
        <v>654</v>
      </c>
      <c r="F44" s="327">
        <v>325700</v>
      </c>
      <c r="G44" s="328">
        <v>43957.441319444442</v>
      </c>
      <c r="I44" s="7" t="s">
        <v>49</v>
      </c>
      <c r="J44" s="8" t="s">
        <v>332</v>
      </c>
      <c r="K44" s="3"/>
      <c r="L44" s="3"/>
    </row>
    <row r="45" spans="2:12" s="322" customFormat="1" ht="12.75" customHeight="1" x14ac:dyDescent="0.25">
      <c r="B45" s="370"/>
      <c r="C45" s="299" t="s">
        <v>627</v>
      </c>
      <c r="D45" s="326" t="s">
        <v>666</v>
      </c>
      <c r="E45" s="326" t="s">
        <v>655</v>
      </c>
      <c r="F45" s="327">
        <v>449300</v>
      </c>
      <c r="G45" s="328">
        <v>43957.441319444442</v>
      </c>
      <c r="I45" s="2" t="s">
        <v>677</v>
      </c>
      <c r="J45" s="3" t="s">
        <v>52</v>
      </c>
      <c r="K45" s="3"/>
      <c r="L45" s="3"/>
    </row>
    <row r="46" spans="2:12" s="322" customFormat="1" ht="12.75" customHeight="1" x14ac:dyDescent="0.25">
      <c r="B46" s="370"/>
      <c r="C46" s="299" t="s">
        <v>628</v>
      </c>
      <c r="D46" s="326" t="s">
        <v>666</v>
      </c>
      <c r="E46" s="326" t="s">
        <v>656</v>
      </c>
      <c r="F46" s="327">
        <v>270300</v>
      </c>
      <c r="G46" s="328">
        <v>43957.441319444442</v>
      </c>
      <c r="I46" s="2" t="s">
        <v>403</v>
      </c>
      <c r="J46" s="3">
        <v>4</v>
      </c>
      <c r="K46" s="3"/>
      <c r="L46" s="3"/>
    </row>
    <row r="47" spans="2:12" s="322" customFormat="1" ht="12.75" customHeight="1" x14ac:dyDescent="0.25">
      <c r="B47" s="370"/>
      <c r="C47" s="299" t="s">
        <v>629</v>
      </c>
      <c r="D47" s="326" t="s">
        <v>666</v>
      </c>
      <c r="E47" s="326" t="s">
        <v>657</v>
      </c>
      <c r="F47" s="327">
        <v>255600</v>
      </c>
      <c r="G47" s="328">
        <v>43957.441319444442</v>
      </c>
      <c r="I47" s="2" t="s">
        <v>678</v>
      </c>
      <c r="J47" s="3">
        <v>11.14</v>
      </c>
      <c r="K47" s="3"/>
      <c r="L47" s="3"/>
    </row>
    <row r="48" spans="2:12" s="322" customFormat="1" ht="12.75" customHeight="1" x14ac:dyDescent="0.25">
      <c r="B48" s="370"/>
      <c r="C48" s="299" t="s">
        <v>630</v>
      </c>
      <c r="D48" s="326" t="s">
        <v>666</v>
      </c>
      <c r="E48" s="326" t="s">
        <v>658</v>
      </c>
      <c r="F48" s="327">
        <v>347200</v>
      </c>
      <c r="G48" s="328">
        <v>43957.441319444442</v>
      </c>
      <c r="I48" s="2"/>
      <c r="J48" s="3"/>
      <c r="K48" s="3"/>
      <c r="L48" s="3"/>
    </row>
    <row r="49" spans="2:12" s="322" customFormat="1" ht="12.75" customHeight="1" x14ac:dyDescent="0.25">
      <c r="I49" s="2" t="s">
        <v>679</v>
      </c>
      <c r="J49" s="3" t="s">
        <v>680</v>
      </c>
      <c r="K49" s="3" t="s">
        <v>417</v>
      </c>
      <c r="L49" s="3" t="s">
        <v>418</v>
      </c>
    </row>
    <row r="50" spans="2:12" s="322" customFormat="1" ht="12.75" customHeight="1" x14ac:dyDescent="0.3">
      <c r="B50" s="322" t="s">
        <v>673</v>
      </c>
      <c r="I50" s="7" t="s">
        <v>681</v>
      </c>
      <c r="J50" s="8">
        <v>9.4</v>
      </c>
      <c r="K50" s="8" t="s">
        <v>52</v>
      </c>
      <c r="L50" s="8" t="s">
        <v>332</v>
      </c>
    </row>
    <row r="51" spans="2:12" s="322" customFormat="1" ht="12.75" customHeight="1" x14ac:dyDescent="0.25">
      <c r="B51" s="299"/>
      <c r="C51" s="299" t="s">
        <v>649</v>
      </c>
      <c r="D51" s="299" t="s">
        <v>650</v>
      </c>
      <c r="E51" s="299" t="s">
        <v>651</v>
      </c>
      <c r="F51" s="323" t="s">
        <v>1525</v>
      </c>
      <c r="G51" s="324" t="s">
        <v>652</v>
      </c>
      <c r="I51" s="2" t="s">
        <v>682</v>
      </c>
      <c r="J51" s="3">
        <v>11.4</v>
      </c>
      <c r="K51" s="3" t="s">
        <v>52</v>
      </c>
      <c r="L51" s="3" t="s">
        <v>146</v>
      </c>
    </row>
    <row r="52" spans="2:12" s="322" customFormat="1" ht="12.75" customHeight="1" x14ac:dyDescent="0.25">
      <c r="B52" s="370" t="s">
        <v>99</v>
      </c>
      <c r="C52" s="299" t="s">
        <v>611</v>
      </c>
      <c r="D52" s="326" t="s">
        <v>668</v>
      </c>
      <c r="E52" s="326" t="s">
        <v>654</v>
      </c>
      <c r="F52" s="327">
        <v>142700000</v>
      </c>
      <c r="G52" s="328">
        <v>43964.46670138889</v>
      </c>
      <c r="I52" s="2" t="s">
        <v>683</v>
      </c>
      <c r="J52" s="3">
        <v>9.1999999999999993</v>
      </c>
      <c r="K52" s="3" t="s">
        <v>52</v>
      </c>
      <c r="L52" s="3" t="s">
        <v>332</v>
      </c>
    </row>
    <row r="53" spans="2:12" s="322" customFormat="1" ht="12.75" customHeight="1" x14ac:dyDescent="0.25">
      <c r="B53" s="370"/>
      <c r="C53" s="299" t="s">
        <v>612</v>
      </c>
      <c r="D53" s="326" t="s">
        <v>668</v>
      </c>
      <c r="E53" s="326" t="s">
        <v>655</v>
      </c>
      <c r="F53" s="327">
        <v>57950000</v>
      </c>
      <c r="G53" s="328">
        <v>43964.46670138889</v>
      </c>
    </row>
    <row r="54" spans="2:12" s="322" customFormat="1" ht="12.75" customHeight="1" x14ac:dyDescent="0.25">
      <c r="B54" s="370"/>
      <c r="C54" s="299" t="s">
        <v>613</v>
      </c>
      <c r="D54" s="326" t="s">
        <v>668</v>
      </c>
      <c r="E54" s="326" t="s">
        <v>656</v>
      </c>
      <c r="F54" s="327">
        <v>141700000</v>
      </c>
      <c r="G54" s="328">
        <v>43964.46670138889</v>
      </c>
      <c r="I54" s="322" t="s">
        <v>690</v>
      </c>
    </row>
    <row r="55" spans="2:12" s="322" customFormat="1" ht="12.75" customHeight="1" x14ac:dyDescent="0.3">
      <c r="B55" s="370"/>
      <c r="C55" s="299" t="s">
        <v>614</v>
      </c>
      <c r="D55" s="326" t="s">
        <v>668</v>
      </c>
      <c r="E55" s="326" t="s">
        <v>657</v>
      </c>
      <c r="F55" s="327">
        <v>337500000</v>
      </c>
      <c r="G55" s="328">
        <v>43964.46670138889</v>
      </c>
      <c r="I55" s="2" t="s">
        <v>41</v>
      </c>
      <c r="J55" s="8" t="s">
        <v>689</v>
      </c>
      <c r="K55" s="3"/>
      <c r="L55" s="3"/>
    </row>
    <row r="56" spans="2:12" s="322" customFormat="1" ht="12.75" customHeight="1" x14ac:dyDescent="0.25">
      <c r="B56" s="370"/>
      <c r="C56" s="299" t="s">
        <v>615</v>
      </c>
      <c r="D56" s="326" t="s">
        <v>668</v>
      </c>
      <c r="E56" s="326" t="s">
        <v>658</v>
      </c>
      <c r="F56" s="327">
        <v>880100000</v>
      </c>
      <c r="G56" s="328">
        <v>43964.46670138889</v>
      </c>
      <c r="I56" s="2"/>
      <c r="J56" s="3"/>
      <c r="K56" s="3"/>
      <c r="L56" s="3"/>
    </row>
    <row r="57" spans="2:12" s="322" customFormat="1" ht="12.75" customHeight="1" x14ac:dyDescent="0.25">
      <c r="B57" s="370" t="s">
        <v>1526</v>
      </c>
      <c r="C57" s="299" t="s">
        <v>616</v>
      </c>
      <c r="D57" s="326" t="s">
        <v>669</v>
      </c>
      <c r="E57" s="326" t="s">
        <v>654</v>
      </c>
      <c r="F57" s="327">
        <v>109700000</v>
      </c>
      <c r="G57" s="328">
        <v>43964.449907407405</v>
      </c>
      <c r="I57" s="2" t="s">
        <v>674</v>
      </c>
      <c r="J57" s="3"/>
      <c r="K57" s="3"/>
      <c r="L57" s="3"/>
    </row>
    <row r="58" spans="2:12" s="322" customFormat="1" ht="12.75" customHeight="1" x14ac:dyDescent="0.25">
      <c r="B58" s="370"/>
      <c r="C58" s="299" t="s">
        <v>660</v>
      </c>
      <c r="D58" s="326" t="s">
        <v>669</v>
      </c>
      <c r="E58" s="326" t="s">
        <v>655</v>
      </c>
      <c r="F58" s="327">
        <v>403000000</v>
      </c>
      <c r="G58" s="328">
        <v>43964.449907407405</v>
      </c>
      <c r="I58" s="2" t="s">
        <v>47</v>
      </c>
      <c r="J58" s="3">
        <v>1.15E-2</v>
      </c>
      <c r="K58" s="3"/>
      <c r="L58" s="3"/>
    </row>
    <row r="59" spans="2:12" s="322" customFormat="1" ht="12.75" customHeight="1" x14ac:dyDescent="0.25">
      <c r="B59" s="370"/>
      <c r="C59" s="299" t="s">
        <v>618</v>
      </c>
      <c r="D59" s="326" t="s">
        <v>669</v>
      </c>
      <c r="E59" s="326" t="s">
        <v>656</v>
      </c>
      <c r="F59" s="327">
        <v>151900000</v>
      </c>
      <c r="G59" s="328">
        <v>43964.449907407405</v>
      </c>
      <c r="I59" s="2" t="s">
        <v>675</v>
      </c>
      <c r="J59" s="3" t="s">
        <v>676</v>
      </c>
      <c r="K59" s="3"/>
      <c r="L59" s="3"/>
    </row>
    <row r="60" spans="2:12" s="322" customFormat="1" ht="12.75" customHeight="1" x14ac:dyDescent="0.3">
      <c r="B60" s="370"/>
      <c r="C60" s="299" t="s">
        <v>619</v>
      </c>
      <c r="D60" s="326" t="s">
        <v>669</v>
      </c>
      <c r="E60" s="326" t="s">
        <v>657</v>
      </c>
      <c r="F60" s="327">
        <v>90690000</v>
      </c>
      <c r="G60" s="328">
        <v>43964.449907407405</v>
      </c>
      <c r="I60" s="7" t="s">
        <v>49</v>
      </c>
      <c r="J60" s="8" t="s">
        <v>332</v>
      </c>
      <c r="K60" s="3"/>
      <c r="L60" s="3"/>
    </row>
    <row r="61" spans="2:12" s="322" customFormat="1" ht="12.75" customHeight="1" x14ac:dyDescent="0.25">
      <c r="B61" s="370"/>
      <c r="C61" s="299" t="s">
        <v>620</v>
      </c>
      <c r="D61" s="326" t="s">
        <v>669</v>
      </c>
      <c r="E61" s="326" t="s">
        <v>658</v>
      </c>
      <c r="F61" s="327">
        <v>203800000</v>
      </c>
      <c r="G61" s="328">
        <v>43964.449907407405</v>
      </c>
      <c r="I61" s="2" t="s">
        <v>677</v>
      </c>
      <c r="J61" s="3" t="s">
        <v>52</v>
      </c>
      <c r="K61" s="3"/>
      <c r="L61" s="3"/>
    </row>
    <row r="62" spans="2:12" s="322" customFormat="1" ht="12.75" customHeight="1" x14ac:dyDescent="0.25">
      <c r="B62" s="370" t="s">
        <v>1527</v>
      </c>
      <c r="C62" s="299" t="s">
        <v>621</v>
      </c>
      <c r="D62" s="326" t="s">
        <v>670</v>
      </c>
      <c r="E62" s="326" t="s">
        <v>654</v>
      </c>
      <c r="F62" s="327">
        <v>665300000</v>
      </c>
      <c r="G62" s="328">
        <v>43964.456562500003</v>
      </c>
      <c r="I62" s="2" t="s">
        <v>403</v>
      </c>
      <c r="J62" s="3">
        <v>4</v>
      </c>
      <c r="K62" s="3"/>
      <c r="L62" s="3"/>
    </row>
    <row r="63" spans="2:12" s="322" customFormat="1" ht="12.75" customHeight="1" x14ac:dyDescent="0.25">
      <c r="B63" s="370"/>
      <c r="C63" s="299" t="s">
        <v>622</v>
      </c>
      <c r="D63" s="326" t="s">
        <v>670</v>
      </c>
      <c r="E63" s="326" t="s">
        <v>655</v>
      </c>
      <c r="F63" s="327">
        <v>40240000</v>
      </c>
      <c r="G63" s="328">
        <v>43964.456562500003</v>
      </c>
      <c r="I63" s="2" t="s">
        <v>678</v>
      </c>
      <c r="J63" s="3">
        <v>11.03</v>
      </c>
      <c r="K63" s="3"/>
      <c r="L63" s="3"/>
    </row>
    <row r="64" spans="2:12" s="322" customFormat="1" ht="12.75" customHeight="1" x14ac:dyDescent="0.25">
      <c r="B64" s="370"/>
      <c r="C64" s="299" t="s">
        <v>623</v>
      </c>
      <c r="D64" s="326" t="s">
        <v>670</v>
      </c>
      <c r="E64" s="326" t="s">
        <v>656</v>
      </c>
      <c r="F64" s="327">
        <v>590200000</v>
      </c>
      <c r="G64" s="328">
        <v>43964.456562500003</v>
      </c>
      <c r="I64" s="2"/>
      <c r="J64" s="3"/>
      <c r="K64" s="3"/>
      <c r="L64" s="3"/>
    </row>
    <row r="65" spans="2:12" s="322" customFormat="1" ht="12.75" customHeight="1" x14ac:dyDescent="0.25">
      <c r="B65" s="370"/>
      <c r="C65" s="299" t="s">
        <v>624</v>
      </c>
      <c r="D65" s="326" t="s">
        <v>670</v>
      </c>
      <c r="E65" s="326" t="s">
        <v>657</v>
      </c>
      <c r="F65" s="327">
        <v>85440000</v>
      </c>
      <c r="G65" s="328">
        <v>43964.456562500003</v>
      </c>
      <c r="I65" s="2" t="s">
        <v>679</v>
      </c>
      <c r="J65" s="3" t="s">
        <v>680</v>
      </c>
      <c r="K65" s="3" t="s">
        <v>417</v>
      </c>
      <c r="L65" s="3" t="s">
        <v>418</v>
      </c>
    </row>
    <row r="66" spans="2:12" s="322" customFormat="1" ht="12.75" customHeight="1" x14ac:dyDescent="0.3">
      <c r="B66" s="370"/>
      <c r="C66" s="299" t="s">
        <v>625</v>
      </c>
      <c r="D66" s="326" t="s">
        <v>670</v>
      </c>
      <c r="E66" s="326" t="s">
        <v>658</v>
      </c>
      <c r="F66" s="327">
        <v>42350000</v>
      </c>
      <c r="G66" s="328">
        <v>43964.456562500003</v>
      </c>
      <c r="I66" s="7" t="s">
        <v>681</v>
      </c>
      <c r="J66" s="8">
        <v>10.8</v>
      </c>
      <c r="K66" s="8" t="s">
        <v>52</v>
      </c>
      <c r="L66" s="8" t="s">
        <v>332</v>
      </c>
    </row>
    <row r="67" spans="2:12" s="322" customFormat="1" ht="12.75" customHeight="1" x14ac:dyDescent="0.25">
      <c r="B67" s="370" t="s">
        <v>1528</v>
      </c>
      <c r="C67" s="299" t="s">
        <v>626</v>
      </c>
      <c r="D67" s="326" t="s">
        <v>671</v>
      </c>
      <c r="E67" s="326" t="s">
        <v>654</v>
      </c>
      <c r="F67" s="327">
        <v>530600</v>
      </c>
      <c r="G67" s="328">
        <v>43964.460150462961</v>
      </c>
      <c r="I67" s="2" t="s">
        <v>682</v>
      </c>
      <c r="J67" s="3">
        <v>10.4</v>
      </c>
      <c r="K67" s="3" t="s">
        <v>52</v>
      </c>
      <c r="L67" s="3" t="s">
        <v>332</v>
      </c>
    </row>
    <row r="68" spans="2:12" s="322" customFormat="1" ht="12.75" customHeight="1" x14ac:dyDescent="0.25">
      <c r="B68" s="370"/>
      <c r="C68" s="299" t="s">
        <v>627</v>
      </c>
      <c r="D68" s="326" t="s">
        <v>671</v>
      </c>
      <c r="E68" s="326" t="s">
        <v>655</v>
      </c>
      <c r="F68" s="327">
        <v>1800000</v>
      </c>
      <c r="G68" s="328">
        <v>43964.460150462961</v>
      </c>
      <c r="I68" s="2" t="s">
        <v>683</v>
      </c>
      <c r="J68" s="3">
        <v>8.8000000000000007</v>
      </c>
      <c r="K68" s="3" t="s">
        <v>204</v>
      </c>
      <c r="L68" s="3" t="s">
        <v>203</v>
      </c>
    </row>
    <row r="69" spans="2:12" s="322" customFormat="1" ht="12.75" customHeight="1" x14ac:dyDescent="0.25">
      <c r="B69" s="370"/>
      <c r="C69" s="299" t="s">
        <v>628</v>
      </c>
      <c r="D69" s="326" t="s">
        <v>671</v>
      </c>
      <c r="E69" s="326" t="s">
        <v>656</v>
      </c>
      <c r="F69" s="327">
        <v>366600</v>
      </c>
      <c r="G69" s="328">
        <v>43964.460150462961</v>
      </c>
    </row>
    <row r="70" spans="2:12" s="322" customFormat="1" ht="12.75" customHeight="1" x14ac:dyDescent="0.25">
      <c r="B70" s="370"/>
      <c r="C70" s="299" t="s">
        <v>629</v>
      </c>
      <c r="D70" s="326" t="s">
        <v>671</v>
      </c>
      <c r="E70" s="326" t="s">
        <v>657</v>
      </c>
      <c r="F70" s="327">
        <v>415400</v>
      </c>
      <c r="G70" s="328">
        <v>43964.460150462961</v>
      </c>
    </row>
    <row r="71" spans="2:12" s="322" customFormat="1" ht="12.75" customHeight="1" x14ac:dyDescent="0.25">
      <c r="B71" s="370"/>
      <c r="C71" s="299" t="s">
        <v>630</v>
      </c>
      <c r="D71" s="326" t="s">
        <v>671</v>
      </c>
      <c r="E71" s="326" t="s">
        <v>658</v>
      </c>
      <c r="F71" s="327">
        <v>1155000</v>
      </c>
      <c r="G71" s="328">
        <v>43964.460150462961</v>
      </c>
    </row>
    <row r="72" spans="2:12" s="322" customFormat="1" ht="12.75" customHeight="1" x14ac:dyDescent="0.25"/>
    <row r="73" spans="2:12" s="322" customFormat="1" ht="12.75" customHeight="1" x14ac:dyDescent="0.25"/>
    <row r="74" spans="2:12" s="322" customFormat="1" ht="12.75" customHeight="1" x14ac:dyDescent="0.25"/>
    <row r="75" spans="2:12" s="322" customFormat="1" ht="12.75" customHeight="1" x14ac:dyDescent="0.45">
      <c r="B75" s="330" t="s">
        <v>214</v>
      </c>
    </row>
    <row r="76" spans="2:12" s="322" customFormat="1" ht="12.75" customHeight="1" x14ac:dyDescent="0.25"/>
    <row r="77" spans="2:12" s="322" customFormat="1" ht="12.75" customHeight="1" x14ac:dyDescent="0.25">
      <c r="B77" s="322" t="s">
        <v>667</v>
      </c>
    </row>
    <row r="78" spans="2:12" s="322" customFormat="1" ht="12.75" customHeight="1" x14ac:dyDescent="0.25">
      <c r="B78" s="299"/>
      <c r="C78" s="299" t="s">
        <v>649</v>
      </c>
      <c r="D78" s="299" t="s">
        <v>650</v>
      </c>
      <c r="E78" s="299" t="s">
        <v>651</v>
      </c>
      <c r="F78" s="323" t="s">
        <v>1525</v>
      </c>
      <c r="G78" s="324" t="s">
        <v>652</v>
      </c>
    </row>
    <row r="79" spans="2:12" s="322" customFormat="1" ht="12.75" customHeight="1" x14ac:dyDescent="0.25">
      <c r="B79" s="370" t="s">
        <v>99</v>
      </c>
      <c r="C79" s="299" t="s">
        <v>553</v>
      </c>
      <c r="D79" s="299" t="s">
        <v>691</v>
      </c>
      <c r="E79" s="299" t="s">
        <v>654</v>
      </c>
      <c r="F79" s="331">
        <v>2611000</v>
      </c>
      <c r="G79" s="332">
        <v>43880.555706018517</v>
      </c>
    </row>
    <row r="80" spans="2:12" s="322" customFormat="1" ht="12.75" customHeight="1" x14ac:dyDescent="0.25">
      <c r="B80" s="370"/>
      <c r="C80" s="299" t="s">
        <v>596</v>
      </c>
      <c r="D80" s="299" t="s">
        <v>691</v>
      </c>
      <c r="E80" s="299" t="s">
        <v>655</v>
      </c>
      <c r="F80" s="331">
        <v>6831000</v>
      </c>
      <c r="G80" s="332">
        <v>43880.555706018517</v>
      </c>
    </row>
    <row r="81" spans="2:7" s="322" customFormat="1" ht="12.75" customHeight="1" x14ac:dyDescent="0.25">
      <c r="B81" s="370"/>
      <c r="C81" s="299" t="s">
        <v>555</v>
      </c>
      <c r="D81" s="299" t="s">
        <v>691</v>
      </c>
      <c r="E81" s="299" t="s">
        <v>656</v>
      </c>
      <c r="F81" s="331">
        <v>3967000</v>
      </c>
      <c r="G81" s="332">
        <v>43880.555706018517</v>
      </c>
    </row>
    <row r="82" spans="2:7" s="322" customFormat="1" ht="12.75" customHeight="1" x14ac:dyDescent="0.25">
      <c r="B82" s="370"/>
      <c r="C82" s="299" t="s">
        <v>556</v>
      </c>
      <c r="D82" s="299" t="s">
        <v>691</v>
      </c>
      <c r="E82" s="299" t="s">
        <v>657</v>
      </c>
      <c r="F82" s="331">
        <v>5158000</v>
      </c>
      <c r="G82" s="332">
        <v>43880.555706018517</v>
      </c>
    </row>
    <row r="83" spans="2:7" s="322" customFormat="1" ht="12.75" customHeight="1" x14ac:dyDescent="0.25">
      <c r="B83" s="370"/>
      <c r="C83" s="299" t="s">
        <v>557</v>
      </c>
      <c r="D83" s="299" t="s">
        <v>691</v>
      </c>
      <c r="E83" s="299" t="s">
        <v>658</v>
      </c>
      <c r="F83" s="331">
        <v>2807000</v>
      </c>
      <c r="G83" s="332">
        <v>43880.555706018517</v>
      </c>
    </row>
    <row r="84" spans="2:7" s="322" customFormat="1" ht="12.75" customHeight="1" x14ac:dyDescent="0.25">
      <c r="B84" s="370" t="s">
        <v>1526</v>
      </c>
      <c r="C84" s="299" t="s">
        <v>558</v>
      </c>
      <c r="D84" s="299" t="s">
        <v>692</v>
      </c>
      <c r="E84" s="299" t="s">
        <v>654</v>
      </c>
      <c r="F84" s="331">
        <v>2782000</v>
      </c>
      <c r="G84" s="332">
        <v>43880.559374999997</v>
      </c>
    </row>
    <row r="85" spans="2:7" s="322" customFormat="1" ht="12.75" customHeight="1" x14ac:dyDescent="0.25">
      <c r="B85" s="370"/>
      <c r="C85" s="299" t="s">
        <v>559</v>
      </c>
      <c r="D85" s="299" t="s">
        <v>692</v>
      </c>
      <c r="E85" s="299" t="s">
        <v>655</v>
      </c>
      <c r="F85" s="331">
        <v>10420000</v>
      </c>
      <c r="G85" s="332">
        <v>43880.559374999997</v>
      </c>
    </row>
    <row r="86" spans="2:7" s="322" customFormat="1" ht="12.75" customHeight="1" x14ac:dyDescent="0.25">
      <c r="B86" s="370"/>
      <c r="C86" s="299" t="s">
        <v>560</v>
      </c>
      <c r="D86" s="299" t="s">
        <v>692</v>
      </c>
      <c r="E86" s="299" t="s">
        <v>656</v>
      </c>
      <c r="F86" s="331">
        <v>2350000</v>
      </c>
      <c r="G86" s="332">
        <v>43880.559374999997</v>
      </c>
    </row>
    <row r="87" spans="2:7" s="322" customFormat="1" ht="12.75" customHeight="1" x14ac:dyDescent="0.25">
      <c r="B87" s="370"/>
      <c r="C87" s="299" t="s">
        <v>561</v>
      </c>
      <c r="D87" s="299" t="s">
        <v>692</v>
      </c>
      <c r="E87" s="299" t="s">
        <v>657</v>
      </c>
      <c r="F87" s="331">
        <v>5203000</v>
      </c>
      <c r="G87" s="332">
        <v>43880.559374999997</v>
      </c>
    </row>
    <row r="88" spans="2:7" s="322" customFormat="1" ht="12.75" customHeight="1" x14ac:dyDescent="0.25">
      <c r="B88" s="370"/>
      <c r="C88" s="299" t="s">
        <v>562</v>
      </c>
      <c r="D88" s="299" t="s">
        <v>692</v>
      </c>
      <c r="E88" s="299" t="s">
        <v>658</v>
      </c>
      <c r="F88" s="331">
        <v>4662000</v>
      </c>
      <c r="G88" s="332">
        <v>43880.559374999997</v>
      </c>
    </row>
    <row r="89" spans="2:7" s="322" customFormat="1" ht="12.75" customHeight="1" x14ac:dyDescent="0.25">
      <c r="B89" s="370" t="s">
        <v>1527</v>
      </c>
      <c r="C89" s="299" t="s">
        <v>563</v>
      </c>
      <c r="D89" s="299" t="s">
        <v>693</v>
      </c>
      <c r="E89" s="299" t="s">
        <v>654</v>
      </c>
      <c r="F89" s="331">
        <v>9550000</v>
      </c>
      <c r="G89" s="332">
        <v>43880.566689814812</v>
      </c>
    </row>
    <row r="90" spans="2:7" s="322" customFormat="1" ht="12.75" customHeight="1" x14ac:dyDescent="0.25">
      <c r="B90" s="370"/>
      <c r="C90" s="299" t="s">
        <v>597</v>
      </c>
      <c r="D90" s="299" t="s">
        <v>693</v>
      </c>
      <c r="E90" s="299" t="s">
        <v>655</v>
      </c>
      <c r="F90" s="331">
        <v>4075000</v>
      </c>
      <c r="G90" s="332">
        <v>43880.566689814812</v>
      </c>
    </row>
    <row r="91" spans="2:7" s="322" customFormat="1" ht="12.75" customHeight="1" x14ac:dyDescent="0.25">
      <c r="B91" s="370"/>
      <c r="C91" s="299" t="s">
        <v>598</v>
      </c>
      <c r="D91" s="299" t="s">
        <v>693</v>
      </c>
      <c r="E91" s="299" t="s">
        <v>656</v>
      </c>
      <c r="F91" s="331">
        <v>9072000</v>
      </c>
      <c r="G91" s="332">
        <v>43880.566689814812</v>
      </c>
    </row>
    <row r="92" spans="2:7" s="322" customFormat="1" ht="12.75" customHeight="1" x14ac:dyDescent="0.25">
      <c r="B92" s="370"/>
      <c r="C92" s="299" t="s">
        <v>599</v>
      </c>
      <c r="D92" s="299" t="s">
        <v>693</v>
      </c>
      <c r="E92" s="299" t="s">
        <v>657</v>
      </c>
      <c r="F92" s="331">
        <v>3386000</v>
      </c>
      <c r="G92" s="332">
        <v>43880.566689814812</v>
      </c>
    </row>
    <row r="93" spans="2:7" s="322" customFormat="1" ht="12.75" customHeight="1" x14ac:dyDescent="0.25">
      <c r="B93" s="370"/>
      <c r="C93" s="299" t="s">
        <v>600</v>
      </c>
      <c r="D93" s="299" t="s">
        <v>693</v>
      </c>
      <c r="E93" s="299" t="s">
        <v>658</v>
      </c>
      <c r="F93" s="331">
        <v>3489000</v>
      </c>
      <c r="G93" s="332">
        <v>43880.566689814812</v>
      </c>
    </row>
    <row r="94" spans="2:7" s="322" customFormat="1" ht="12.75" customHeight="1" x14ac:dyDescent="0.25">
      <c r="B94" s="370" t="s">
        <v>1528</v>
      </c>
      <c r="C94" s="299" t="s">
        <v>601</v>
      </c>
      <c r="D94" s="299" t="s">
        <v>694</v>
      </c>
      <c r="E94" s="299" t="s">
        <v>654</v>
      </c>
      <c r="F94" s="331">
        <v>659900</v>
      </c>
      <c r="G94" s="332">
        <v>43880.570462962962</v>
      </c>
    </row>
    <row r="95" spans="2:7" s="322" customFormat="1" ht="12.75" customHeight="1" x14ac:dyDescent="0.25">
      <c r="B95" s="370"/>
      <c r="C95" s="299" t="s">
        <v>602</v>
      </c>
      <c r="D95" s="299" t="s">
        <v>694</v>
      </c>
      <c r="E95" s="299" t="s">
        <v>655</v>
      </c>
      <c r="F95" s="331">
        <v>650700</v>
      </c>
      <c r="G95" s="332">
        <v>43880.570462962962</v>
      </c>
    </row>
    <row r="96" spans="2:7" s="322" customFormat="1" ht="12.75" customHeight="1" x14ac:dyDescent="0.25">
      <c r="B96" s="370"/>
      <c r="C96" s="299" t="s">
        <v>603</v>
      </c>
      <c r="D96" s="299" t="s">
        <v>694</v>
      </c>
      <c r="E96" s="299" t="s">
        <v>656</v>
      </c>
      <c r="F96" s="331">
        <v>491600</v>
      </c>
      <c r="G96" s="332">
        <v>43880.570462962962</v>
      </c>
    </row>
    <row r="97" spans="2:7" s="322" customFormat="1" ht="12.75" customHeight="1" x14ac:dyDescent="0.25">
      <c r="B97" s="370"/>
      <c r="C97" s="299" t="s">
        <v>604</v>
      </c>
      <c r="D97" s="299" t="s">
        <v>694</v>
      </c>
      <c r="E97" s="299" t="s">
        <v>657</v>
      </c>
      <c r="F97" s="331">
        <v>1344000</v>
      </c>
      <c r="G97" s="332">
        <v>43880.570462962962</v>
      </c>
    </row>
    <row r="98" spans="2:7" s="322" customFormat="1" ht="12.75" customHeight="1" x14ac:dyDescent="0.25">
      <c r="B98" s="370"/>
      <c r="C98" s="299" t="s">
        <v>605</v>
      </c>
      <c r="D98" s="299" t="s">
        <v>694</v>
      </c>
      <c r="E98" s="299" t="s">
        <v>658</v>
      </c>
      <c r="F98" s="331">
        <v>540600</v>
      </c>
      <c r="G98" s="332">
        <v>43880.570462962962</v>
      </c>
    </row>
    <row r="99" spans="2:7" s="322" customFormat="1" ht="12.75" customHeight="1" x14ac:dyDescent="0.25"/>
    <row r="100" spans="2:7" s="322" customFormat="1" ht="12.75" customHeight="1" x14ac:dyDescent="0.25">
      <c r="B100" s="322" t="s">
        <v>672</v>
      </c>
    </row>
    <row r="101" spans="2:7" s="322" customFormat="1" ht="12.75" customHeight="1" x14ac:dyDescent="0.25">
      <c r="B101" s="299"/>
      <c r="C101" s="299" t="s">
        <v>649</v>
      </c>
      <c r="D101" s="299" t="s">
        <v>650</v>
      </c>
      <c r="E101" s="299" t="s">
        <v>651</v>
      </c>
      <c r="F101" s="323" t="s">
        <v>1525</v>
      </c>
      <c r="G101" s="324" t="s">
        <v>652</v>
      </c>
    </row>
    <row r="102" spans="2:7" s="322" customFormat="1" ht="12.75" customHeight="1" x14ac:dyDescent="0.25">
      <c r="B102" s="370" t="s">
        <v>99</v>
      </c>
      <c r="C102" s="299" t="s">
        <v>553</v>
      </c>
      <c r="D102" s="299" t="s">
        <v>695</v>
      </c>
      <c r="E102" s="299" t="s">
        <v>654</v>
      </c>
      <c r="F102" s="331">
        <v>12230000</v>
      </c>
      <c r="G102" s="332">
        <v>43887.633344907408</v>
      </c>
    </row>
    <row r="103" spans="2:7" s="322" customFormat="1" ht="12.75" customHeight="1" x14ac:dyDescent="0.25">
      <c r="B103" s="370"/>
      <c r="C103" s="299" t="s">
        <v>596</v>
      </c>
      <c r="D103" s="299" t="s">
        <v>695</v>
      </c>
      <c r="E103" s="299" t="s">
        <v>655</v>
      </c>
      <c r="F103" s="331">
        <v>48630000</v>
      </c>
      <c r="G103" s="332">
        <v>43887.633344907408</v>
      </c>
    </row>
    <row r="104" spans="2:7" s="322" customFormat="1" ht="12.75" customHeight="1" x14ac:dyDescent="0.25">
      <c r="B104" s="370"/>
      <c r="C104" s="299" t="s">
        <v>555</v>
      </c>
      <c r="D104" s="299" t="s">
        <v>695</v>
      </c>
      <c r="E104" s="299" t="s">
        <v>656</v>
      </c>
      <c r="F104" s="331">
        <v>41420000</v>
      </c>
      <c r="G104" s="332">
        <v>43887.633344907408</v>
      </c>
    </row>
    <row r="105" spans="2:7" s="322" customFormat="1" ht="12.75" customHeight="1" x14ac:dyDescent="0.25">
      <c r="B105" s="370"/>
      <c r="C105" s="299" t="s">
        <v>556</v>
      </c>
      <c r="D105" s="299" t="s">
        <v>695</v>
      </c>
      <c r="E105" s="299" t="s">
        <v>657</v>
      </c>
      <c r="F105" s="331">
        <v>94300000</v>
      </c>
      <c r="G105" s="332">
        <v>43887.633344907408</v>
      </c>
    </row>
    <row r="106" spans="2:7" s="322" customFormat="1" ht="12.75" customHeight="1" x14ac:dyDescent="0.25">
      <c r="B106" s="370"/>
      <c r="C106" s="299" t="s">
        <v>557</v>
      </c>
      <c r="D106" s="299" t="s">
        <v>695</v>
      </c>
      <c r="E106" s="299" t="s">
        <v>658</v>
      </c>
      <c r="F106" s="331">
        <v>90250000</v>
      </c>
      <c r="G106" s="332">
        <v>43887.633344907408</v>
      </c>
    </row>
    <row r="107" spans="2:7" s="322" customFormat="1" ht="12.75" customHeight="1" x14ac:dyDescent="0.25">
      <c r="B107" s="370" t="s">
        <v>1526</v>
      </c>
      <c r="C107" s="299" t="s">
        <v>558</v>
      </c>
      <c r="D107" s="299" t="s">
        <v>696</v>
      </c>
      <c r="E107" s="299" t="s">
        <v>654</v>
      </c>
      <c r="F107" s="331">
        <v>29130000</v>
      </c>
      <c r="G107" s="332">
        <v>43887.636967592596</v>
      </c>
    </row>
    <row r="108" spans="2:7" s="322" customFormat="1" ht="12.75" customHeight="1" x14ac:dyDescent="0.25">
      <c r="B108" s="370"/>
      <c r="C108" s="299" t="s">
        <v>559</v>
      </c>
      <c r="D108" s="299" t="s">
        <v>696</v>
      </c>
      <c r="E108" s="299" t="s">
        <v>655</v>
      </c>
      <c r="F108" s="331">
        <v>107600000</v>
      </c>
      <c r="G108" s="332">
        <v>43887.636967592596</v>
      </c>
    </row>
    <row r="109" spans="2:7" s="322" customFormat="1" ht="12.75" customHeight="1" x14ac:dyDescent="0.25">
      <c r="B109" s="370"/>
      <c r="C109" s="299" t="s">
        <v>560</v>
      </c>
      <c r="D109" s="299" t="s">
        <v>696</v>
      </c>
      <c r="E109" s="299" t="s">
        <v>656</v>
      </c>
      <c r="F109" s="331">
        <v>12000000</v>
      </c>
      <c r="G109" s="332">
        <v>43887.636967592596</v>
      </c>
    </row>
    <row r="110" spans="2:7" s="322" customFormat="1" ht="12.75" customHeight="1" x14ac:dyDescent="0.25">
      <c r="B110" s="370"/>
      <c r="C110" s="299" t="s">
        <v>561</v>
      </c>
      <c r="D110" s="299" t="s">
        <v>696</v>
      </c>
      <c r="E110" s="299" t="s">
        <v>657</v>
      </c>
      <c r="F110" s="331">
        <v>68920000</v>
      </c>
      <c r="G110" s="332">
        <v>43887.636967592596</v>
      </c>
    </row>
    <row r="111" spans="2:7" s="322" customFormat="1" ht="12.75" customHeight="1" x14ac:dyDescent="0.25">
      <c r="B111" s="370"/>
      <c r="C111" s="299" t="s">
        <v>562</v>
      </c>
      <c r="D111" s="299" t="s">
        <v>696</v>
      </c>
      <c r="E111" s="299" t="s">
        <v>658</v>
      </c>
      <c r="F111" s="331">
        <v>71250000</v>
      </c>
      <c r="G111" s="332">
        <v>43887.636967592596</v>
      </c>
    </row>
    <row r="112" spans="2:7" s="322" customFormat="1" ht="12.75" customHeight="1" x14ac:dyDescent="0.25">
      <c r="B112" s="370" t="s">
        <v>1527</v>
      </c>
      <c r="C112" s="299" t="s">
        <v>563</v>
      </c>
      <c r="D112" s="299" t="s">
        <v>697</v>
      </c>
      <c r="E112" s="299" t="s">
        <v>654</v>
      </c>
      <c r="F112" s="331">
        <v>110100000</v>
      </c>
      <c r="G112" s="332">
        <v>43887.644224537034</v>
      </c>
    </row>
    <row r="113" spans="2:7" s="322" customFormat="1" ht="12.75" customHeight="1" x14ac:dyDescent="0.25">
      <c r="B113" s="370"/>
      <c r="C113" s="299" t="s">
        <v>597</v>
      </c>
      <c r="D113" s="299" t="s">
        <v>697</v>
      </c>
      <c r="E113" s="299" t="s">
        <v>655</v>
      </c>
      <c r="F113" s="331">
        <v>32100000</v>
      </c>
      <c r="G113" s="332">
        <v>43887.644224537034</v>
      </c>
    </row>
    <row r="114" spans="2:7" s="322" customFormat="1" ht="12.75" customHeight="1" x14ac:dyDescent="0.25">
      <c r="B114" s="370"/>
      <c r="C114" s="299" t="s">
        <v>598</v>
      </c>
      <c r="D114" s="299" t="s">
        <v>697</v>
      </c>
      <c r="E114" s="299" t="s">
        <v>656</v>
      </c>
      <c r="F114" s="331">
        <v>100500000</v>
      </c>
      <c r="G114" s="332">
        <v>43887.644224537034</v>
      </c>
    </row>
    <row r="115" spans="2:7" s="322" customFormat="1" ht="12.75" customHeight="1" x14ac:dyDescent="0.25">
      <c r="B115" s="370"/>
      <c r="C115" s="299" t="s">
        <v>599</v>
      </c>
      <c r="D115" s="299" t="s">
        <v>697</v>
      </c>
      <c r="E115" s="299" t="s">
        <v>657</v>
      </c>
      <c r="F115" s="331">
        <v>35730000</v>
      </c>
      <c r="G115" s="332">
        <v>43887.644224537034</v>
      </c>
    </row>
    <row r="116" spans="2:7" s="322" customFormat="1" ht="12.75" customHeight="1" x14ac:dyDescent="0.25">
      <c r="B116" s="370"/>
      <c r="C116" s="299" t="s">
        <v>600</v>
      </c>
      <c r="D116" s="299" t="s">
        <v>697</v>
      </c>
      <c r="E116" s="299" t="s">
        <v>658</v>
      </c>
      <c r="F116" s="331">
        <v>16770000</v>
      </c>
      <c r="G116" s="332">
        <v>43887.644224537034</v>
      </c>
    </row>
    <row r="117" spans="2:7" s="322" customFormat="1" ht="12.75" customHeight="1" x14ac:dyDescent="0.25">
      <c r="B117" s="370" t="s">
        <v>1528</v>
      </c>
      <c r="C117" s="299" t="s">
        <v>601</v>
      </c>
      <c r="D117" s="299" t="s">
        <v>698</v>
      </c>
      <c r="E117" s="299" t="s">
        <v>654</v>
      </c>
      <c r="F117" s="331">
        <v>5885000</v>
      </c>
      <c r="G117" s="332">
        <v>43887.647789351853</v>
      </c>
    </row>
    <row r="118" spans="2:7" s="322" customFormat="1" ht="12.75" customHeight="1" x14ac:dyDescent="0.25">
      <c r="B118" s="370"/>
      <c r="C118" s="299" t="s">
        <v>602</v>
      </c>
      <c r="D118" s="299" t="s">
        <v>698</v>
      </c>
      <c r="E118" s="299" t="s">
        <v>655</v>
      </c>
      <c r="F118" s="331">
        <v>13150000</v>
      </c>
      <c r="G118" s="332">
        <v>43887.647789351853</v>
      </c>
    </row>
    <row r="119" spans="2:7" s="322" customFormat="1" ht="12.75" customHeight="1" x14ac:dyDescent="0.25">
      <c r="B119" s="370"/>
      <c r="C119" s="299" t="s">
        <v>603</v>
      </c>
      <c r="D119" s="299" t="s">
        <v>698</v>
      </c>
      <c r="E119" s="299" t="s">
        <v>656</v>
      </c>
      <c r="F119" s="331">
        <v>5015000</v>
      </c>
      <c r="G119" s="332">
        <v>43887.647789351853</v>
      </c>
    </row>
    <row r="120" spans="2:7" s="322" customFormat="1" ht="12.75" customHeight="1" x14ac:dyDescent="0.25">
      <c r="B120" s="370"/>
      <c r="C120" s="299" t="s">
        <v>604</v>
      </c>
      <c r="D120" s="299" t="s">
        <v>698</v>
      </c>
      <c r="E120" s="299" t="s">
        <v>657</v>
      </c>
      <c r="F120" s="331">
        <v>3352000</v>
      </c>
      <c r="G120" s="332">
        <v>43887.647789351853</v>
      </c>
    </row>
    <row r="121" spans="2:7" s="322" customFormat="1" ht="12.75" customHeight="1" x14ac:dyDescent="0.25">
      <c r="B121" s="370"/>
      <c r="C121" s="299" t="s">
        <v>605</v>
      </c>
      <c r="D121" s="299" t="s">
        <v>698</v>
      </c>
      <c r="E121" s="299" t="s">
        <v>658</v>
      </c>
      <c r="F121" s="331">
        <v>7193000</v>
      </c>
      <c r="G121" s="332">
        <v>43887.647789351853</v>
      </c>
    </row>
    <row r="122" spans="2:7" s="322" customFormat="1" ht="12.75" customHeight="1" x14ac:dyDescent="0.25"/>
    <row r="123" spans="2:7" s="322" customFormat="1" ht="12.75" customHeight="1" x14ac:dyDescent="0.25">
      <c r="B123" s="322" t="s">
        <v>673</v>
      </c>
    </row>
    <row r="124" spans="2:7" s="322" customFormat="1" ht="12.75" customHeight="1" x14ac:dyDescent="0.25">
      <c r="B124" s="299"/>
      <c r="C124" s="299" t="s">
        <v>649</v>
      </c>
      <c r="D124" s="299" t="s">
        <v>650</v>
      </c>
      <c r="E124" s="299" t="s">
        <v>651</v>
      </c>
      <c r="F124" s="323" t="s">
        <v>1525</v>
      </c>
      <c r="G124" s="324" t="s">
        <v>652</v>
      </c>
    </row>
    <row r="125" spans="2:7" s="322" customFormat="1" ht="12.75" customHeight="1" x14ac:dyDescent="0.25">
      <c r="B125" s="370" t="s">
        <v>99</v>
      </c>
      <c r="C125" s="299" t="s">
        <v>553</v>
      </c>
      <c r="D125" s="299" t="s">
        <v>699</v>
      </c>
      <c r="E125" s="299" t="s">
        <v>654</v>
      </c>
      <c r="F125" s="331">
        <v>103400000</v>
      </c>
      <c r="G125" s="332">
        <v>43894.550081018519</v>
      </c>
    </row>
    <row r="126" spans="2:7" s="322" customFormat="1" ht="12.75" customHeight="1" x14ac:dyDescent="0.25">
      <c r="B126" s="370"/>
      <c r="C126" s="299" t="s">
        <v>596</v>
      </c>
      <c r="D126" s="299" t="s">
        <v>699</v>
      </c>
      <c r="E126" s="299" t="s">
        <v>655</v>
      </c>
      <c r="F126" s="331">
        <v>494700000</v>
      </c>
      <c r="G126" s="332">
        <v>43894.550081018519</v>
      </c>
    </row>
    <row r="127" spans="2:7" s="322" customFormat="1" ht="12.75" customHeight="1" x14ac:dyDescent="0.25">
      <c r="B127" s="370"/>
      <c r="C127" s="299" t="s">
        <v>555</v>
      </c>
      <c r="D127" s="299" t="s">
        <v>699</v>
      </c>
      <c r="E127" s="299" t="s">
        <v>656</v>
      </c>
      <c r="F127" s="331">
        <v>155400000</v>
      </c>
      <c r="G127" s="332">
        <v>43894.550081018519</v>
      </c>
    </row>
    <row r="128" spans="2:7" s="322" customFormat="1" ht="12.75" customHeight="1" x14ac:dyDescent="0.25">
      <c r="B128" s="370"/>
      <c r="C128" s="299" t="s">
        <v>556</v>
      </c>
      <c r="D128" s="299" t="s">
        <v>699</v>
      </c>
      <c r="E128" s="299" t="s">
        <v>657</v>
      </c>
      <c r="F128" s="331">
        <v>806600000</v>
      </c>
      <c r="G128" s="332">
        <v>43894.550081018519</v>
      </c>
    </row>
    <row r="129" spans="2:7" s="322" customFormat="1" ht="12.75" customHeight="1" x14ac:dyDescent="0.25">
      <c r="B129" s="370"/>
      <c r="C129" s="299" t="s">
        <v>557</v>
      </c>
      <c r="D129" s="299" t="s">
        <v>699</v>
      </c>
      <c r="E129" s="299" t="s">
        <v>658</v>
      </c>
      <c r="F129" s="331">
        <v>3165000000</v>
      </c>
      <c r="G129" s="332">
        <v>43894.550081018519</v>
      </c>
    </row>
    <row r="130" spans="2:7" s="322" customFormat="1" ht="12.75" customHeight="1" x14ac:dyDescent="0.25">
      <c r="B130" s="370" t="s">
        <v>1526</v>
      </c>
      <c r="C130" s="299" t="s">
        <v>558</v>
      </c>
      <c r="D130" s="299" t="s">
        <v>700</v>
      </c>
      <c r="E130" s="299" t="s">
        <v>654</v>
      </c>
      <c r="F130" s="331">
        <v>1145000000</v>
      </c>
      <c r="G130" s="332">
        <v>43894.553981481484</v>
      </c>
    </row>
    <row r="131" spans="2:7" s="322" customFormat="1" ht="12.75" customHeight="1" x14ac:dyDescent="0.25">
      <c r="B131" s="370"/>
      <c r="C131" s="299" t="s">
        <v>559</v>
      </c>
      <c r="D131" s="299" t="s">
        <v>700</v>
      </c>
      <c r="E131" s="299" t="s">
        <v>655</v>
      </c>
      <c r="F131" s="331">
        <v>382500000</v>
      </c>
      <c r="G131" s="332">
        <v>43894.553981481484</v>
      </c>
    </row>
    <row r="132" spans="2:7" s="322" customFormat="1" ht="12.75" customHeight="1" x14ac:dyDescent="0.25">
      <c r="B132" s="370"/>
      <c r="C132" s="299" t="s">
        <v>560</v>
      </c>
      <c r="D132" s="299" t="s">
        <v>700</v>
      </c>
      <c r="E132" s="299" t="s">
        <v>656</v>
      </c>
      <c r="F132" s="331">
        <v>90390000</v>
      </c>
      <c r="G132" s="332">
        <v>43894.553981481484</v>
      </c>
    </row>
    <row r="133" spans="2:7" s="322" customFormat="1" ht="12.75" customHeight="1" x14ac:dyDescent="0.25">
      <c r="B133" s="370"/>
      <c r="C133" s="299" t="s">
        <v>561</v>
      </c>
      <c r="D133" s="299" t="s">
        <v>700</v>
      </c>
      <c r="E133" s="299" t="s">
        <v>657</v>
      </c>
      <c r="F133" s="331">
        <v>348700000</v>
      </c>
      <c r="G133" s="332">
        <v>43894.553981481484</v>
      </c>
    </row>
    <row r="134" spans="2:7" s="322" customFormat="1" ht="12.75" customHeight="1" x14ac:dyDescent="0.25">
      <c r="B134" s="370"/>
      <c r="C134" s="299" t="s">
        <v>562</v>
      </c>
      <c r="D134" s="299" t="s">
        <v>700</v>
      </c>
      <c r="E134" s="299" t="s">
        <v>658</v>
      </c>
      <c r="F134" s="331">
        <v>537000000</v>
      </c>
      <c r="G134" s="332">
        <v>43894.553981481484</v>
      </c>
    </row>
    <row r="135" spans="2:7" s="322" customFormat="1" ht="12.75" customHeight="1" x14ac:dyDescent="0.25">
      <c r="B135" s="370" t="s">
        <v>1527</v>
      </c>
      <c r="C135" s="299" t="s">
        <v>563</v>
      </c>
      <c r="D135" s="299" t="s">
        <v>701</v>
      </c>
      <c r="E135" s="299" t="s">
        <v>654</v>
      </c>
      <c r="F135" s="331">
        <v>579400000</v>
      </c>
      <c r="G135" s="332">
        <v>43894.560497685183</v>
      </c>
    </row>
    <row r="136" spans="2:7" s="322" customFormat="1" ht="12.75" customHeight="1" x14ac:dyDescent="0.25">
      <c r="B136" s="370"/>
      <c r="C136" s="299" t="s">
        <v>597</v>
      </c>
      <c r="D136" s="299" t="s">
        <v>701</v>
      </c>
      <c r="E136" s="299" t="s">
        <v>655</v>
      </c>
      <c r="F136" s="331">
        <v>332800000</v>
      </c>
      <c r="G136" s="332">
        <v>43894.560497685183</v>
      </c>
    </row>
    <row r="137" spans="2:7" s="322" customFormat="1" ht="12.75" customHeight="1" x14ac:dyDescent="0.25">
      <c r="B137" s="370"/>
      <c r="C137" s="299" t="s">
        <v>598</v>
      </c>
      <c r="D137" s="299" t="s">
        <v>701</v>
      </c>
      <c r="E137" s="299" t="s">
        <v>656</v>
      </c>
      <c r="F137" s="331">
        <v>504500000</v>
      </c>
      <c r="G137" s="332">
        <v>43894.560497685183</v>
      </c>
    </row>
    <row r="138" spans="2:7" s="322" customFormat="1" ht="12.75" customHeight="1" x14ac:dyDescent="0.25">
      <c r="B138" s="370"/>
      <c r="C138" s="299" t="s">
        <v>599</v>
      </c>
      <c r="D138" s="299" t="s">
        <v>701</v>
      </c>
      <c r="E138" s="299" t="s">
        <v>657</v>
      </c>
      <c r="F138" s="331">
        <v>55570000</v>
      </c>
      <c r="G138" s="332">
        <v>43894.560497685183</v>
      </c>
    </row>
    <row r="139" spans="2:7" s="322" customFormat="1" ht="12.75" customHeight="1" x14ac:dyDescent="0.25">
      <c r="B139" s="370"/>
      <c r="C139" s="299" t="s">
        <v>600</v>
      </c>
      <c r="D139" s="299" t="s">
        <v>701</v>
      </c>
      <c r="E139" s="299" t="s">
        <v>658</v>
      </c>
      <c r="F139" s="331">
        <v>225500000</v>
      </c>
      <c r="G139" s="332">
        <v>43894.560497685183</v>
      </c>
    </row>
    <row r="140" spans="2:7" s="322" customFormat="1" ht="12.75" customHeight="1" x14ac:dyDescent="0.25">
      <c r="B140" s="370" t="s">
        <v>1528</v>
      </c>
      <c r="C140" s="299" t="s">
        <v>601</v>
      </c>
      <c r="D140" s="299" t="s">
        <v>702</v>
      </c>
      <c r="E140" s="299" t="s">
        <v>654</v>
      </c>
      <c r="F140" s="331">
        <v>68350000</v>
      </c>
      <c r="G140" s="332">
        <v>43894.564699074072</v>
      </c>
    </row>
    <row r="141" spans="2:7" s="322" customFormat="1" ht="12.75" customHeight="1" x14ac:dyDescent="0.25">
      <c r="B141" s="370"/>
      <c r="C141" s="299" t="s">
        <v>602</v>
      </c>
      <c r="D141" s="299" t="s">
        <v>702</v>
      </c>
      <c r="E141" s="299" t="s">
        <v>655</v>
      </c>
      <c r="F141" s="331">
        <v>40860000</v>
      </c>
      <c r="G141" s="332">
        <v>43894.564699074072</v>
      </c>
    </row>
    <row r="142" spans="2:7" s="322" customFormat="1" ht="12.75" customHeight="1" x14ac:dyDescent="0.25">
      <c r="B142" s="370"/>
      <c r="C142" s="299" t="s">
        <v>603</v>
      </c>
      <c r="D142" s="299" t="s">
        <v>702</v>
      </c>
      <c r="E142" s="299" t="s">
        <v>656</v>
      </c>
      <c r="F142" s="331">
        <v>194900000</v>
      </c>
      <c r="G142" s="332">
        <v>43894.564699074072</v>
      </c>
    </row>
    <row r="143" spans="2:7" s="322" customFormat="1" ht="12.75" customHeight="1" x14ac:dyDescent="0.25">
      <c r="B143" s="370"/>
      <c r="C143" s="299" t="s">
        <v>604</v>
      </c>
      <c r="D143" s="299" t="s">
        <v>702</v>
      </c>
      <c r="E143" s="299" t="s">
        <v>657</v>
      </c>
      <c r="F143" s="331">
        <v>167400000</v>
      </c>
      <c r="G143" s="332">
        <v>43894.564699074072</v>
      </c>
    </row>
    <row r="144" spans="2:7" s="322" customFormat="1" ht="12.75" customHeight="1" x14ac:dyDescent="0.25">
      <c r="B144" s="370"/>
      <c r="C144" s="299" t="s">
        <v>605</v>
      </c>
      <c r="D144" s="299" t="s">
        <v>702</v>
      </c>
      <c r="E144" s="299" t="s">
        <v>658</v>
      </c>
      <c r="F144" s="331">
        <v>43390000</v>
      </c>
      <c r="G144" s="332">
        <v>43894.564699074072</v>
      </c>
    </row>
    <row r="145" s="322" customFormat="1" ht="12.75" customHeight="1" x14ac:dyDescent="0.25"/>
    <row r="146" s="322" customFormat="1" ht="12.75" customHeight="1" x14ac:dyDescent="0.25"/>
    <row r="147" s="322" customFormat="1" ht="12.75" customHeight="1" x14ac:dyDescent="0.25"/>
    <row r="148" s="322" customFormat="1" ht="12.75" customHeight="1" x14ac:dyDescent="0.25"/>
    <row r="149" s="322" customFormat="1" ht="12.5" x14ac:dyDescent="0.25"/>
    <row r="150" s="322" customFormat="1" ht="12.5" x14ac:dyDescent="0.25"/>
    <row r="151" s="322" customFormat="1" ht="12.5" x14ac:dyDescent="0.25"/>
    <row r="152" s="322" customFormat="1" ht="12.5" x14ac:dyDescent="0.25"/>
  </sheetData>
  <mergeCells count="24">
    <mergeCell ref="B135:B139"/>
    <mergeCell ref="B140:B144"/>
    <mergeCell ref="B107:B111"/>
    <mergeCell ref="B112:B116"/>
    <mergeCell ref="B117:B121"/>
    <mergeCell ref="B125:B129"/>
    <mergeCell ref="B130:B134"/>
    <mergeCell ref="B79:B83"/>
    <mergeCell ref="B84:B88"/>
    <mergeCell ref="B89:B93"/>
    <mergeCell ref="B94:B98"/>
    <mergeCell ref="B102:B106"/>
    <mergeCell ref="B67:B71"/>
    <mergeCell ref="B6:B10"/>
    <mergeCell ref="B11:B15"/>
    <mergeCell ref="B16:B20"/>
    <mergeCell ref="B21:B25"/>
    <mergeCell ref="B29:B33"/>
    <mergeCell ref="B34:B38"/>
    <mergeCell ref="B39:B43"/>
    <mergeCell ref="B44:B48"/>
    <mergeCell ref="B52:B56"/>
    <mergeCell ref="B57:B61"/>
    <mergeCell ref="B62:B66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1D0E-791C-47C1-866E-029D03D61BA6}">
  <dimension ref="B2:I41"/>
  <sheetViews>
    <sheetView zoomScale="90" zoomScaleNormal="90" workbookViewId="0">
      <selection activeCell="F38" sqref="F38"/>
    </sheetView>
  </sheetViews>
  <sheetFormatPr defaultColWidth="9" defaultRowHeight="14" x14ac:dyDescent="0.45"/>
  <cols>
    <col min="1" max="1" width="9" style="14"/>
    <col min="2" max="2" width="9" style="13"/>
    <col min="3" max="3" width="15.25" style="23" customWidth="1"/>
    <col min="4" max="4" width="9" style="14"/>
    <col min="5" max="5" width="11.08203125" style="14" bestFit="1" customWidth="1"/>
    <col min="6" max="6" width="18.83203125" style="14" customWidth="1"/>
    <col min="7" max="7" width="25.25" style="14" customWidth="1"/>
    <col min="8" max="8" width="10.08203125" style="14" customWidth="1"/>
    <col min="9" max="9" width="10.5" style="14" bestFit="1" customWidth="1"/>
    <col min="10" max="16384" width="9" style="14"/>
  </cols>
  <sheetData>
    <row r="2" spans="2:9" s="101" customFormat="1" ht="13" x14ac:dyDescent="0.45">
      <c r="B2" s="13"/>
      <c r="C2" s="100" t="s">
        <v>17</v>
      </c>
    </row>
    <row r="3" spans="2:9" s="101" customFormat="1" ht="13" x14ac:dyDescent="0.45">
      <c r="B3" s="13"/>
      <c r="C3" s="13"/>
    </row>
    <row r="4" spans="2:9" s="102" customFormat="1" ht="13" x14ac:dyDescent="0.45">
      <c r="B4" s="15"/>
      <c r="C4" s="17"/>
      <c r="D4" s="16" t="s">
        <v>2</v>
      </c>
      <c r="E4" s="17" t="s">
        <v>3</v>
      </c>
      <c r="F4" s="16" t="s">
        <v>1394</v>
      </c>
      <c r="G4" s="17" t="s">
        <v>1395</v>
      </c>
      <c r="H4" s="16" t="s">
        <v>5</v>
      </c>
      <c r="I4" s="17" t="s">
        <v>6</v>
      </c>
    </row>
    <row r="5" spans="2:9" s="102" customFormat="1" ht="13" x14ac:dyDescent="0.45">
      <c r="B5" s="18"/>
      <c r="C5" s="20"/>
      <c r="D5" s="19"/>
      <c r="E5" s="20"/>
      <c r="F5" s="19"/>
      <c r="G5" s="20" t="s">
        <v>797</v>
      </c>
      <c r="H5" s="104"/>
      <c r="I5" s="20"/>
    </row>
    <row r="6" spans="2:9" s="101" customFormat="1" ht="13" x14ac:dyDescent="0.45">
      <c r="B6" s="15" t="s">
        <v>7</v>
      </c>
      <c r="C6" s="17" t="s">
        <v>704</v>
      </c>
      <c r="D6" s="155" t="s">
        <v>9</v>
      </c>
      <c r="E6" s="107">
        <v>2000</v>
      </c>
      <c r="F6" s="156">
        <v>6294</v>
      </c>
      <c r="G6" s="108">
        <f>10000*F6/E6</f>
        <v>31470</v>
      </c>
      <c r="H6" s="109">
        <f>G6/31470*100</f>
        <v>100</v>
      </c>
      <c r="I6" s="157">
        <v>0</v>
      </c>
    </row>
    <row r="7" spans="2:9" s="101" customFormat="1" ht="13" x14ac:dyDescent="0.45">
      <c r="B7" s="351" t="s">
        <v>10</v>
      </c>
      <c r="C7" s="309"/>
      <c r="D7" s="161" t="s">
        <v>11</v>
      </c>
      <c r="E7" s="113">
        <v>1997</v>
      </c>
      <c r="F7" s="162">
        <v>7064</v>
      </c>
      <c r="G7" s="114">
        <f t="shared" ref="G7:G17" si="0">10000*F7/E7</f>
        <v>35373.059589384073</v>
      </c>
      <c r="H7" s="115">
        <f t="shared" ref="H7:H9" si="1">G7/31470*100</f>
        <v>112.40247724621568</v>
      </c>
      <c r="I7" s="163">
        <v>0</v>
      </c>
    </row>
    <row r="8" spans="2:9" s="101" customFormat="1" ht="13" x14ac:dyDescent="0.45">
      <c r="B8" s="351"/>
      <c r="C8" s="68"/>
      <c r="D8" s="161" t="s">
        <v>12</v>
      </c>
      <c r="E8" s="113">
        <v>1988</v>
      </c>
      <c r="F8" s="162">
        <v>7778</v>
      </c>
      <c r="G8" s="114">
        <f t="shared" si="0"/>
        <v>39124.748490945676</v>
      </c>
      <c r="H8" s="115">
        <f t="shared" si="1"/>
        <v>124.32395453112703</v>
      </c>
      <c r="I8" s="163">
        <v>0</v>
      </c>
    </row>
    <row r="9" spans="2:9" s="101" customFormat="1" ht="13" x14ac:dyDescent="0.45">
      <c r="B9" s="18" t="s">
        <v>13</v>
      </c>
      <c r="C9" s="271" t="s">
        <v>706</v>
      </c>
      <c r="D9" s="161" t="s">
        <v>14</v>
      </c>
      <c r="E9" s="113">
        <v>1989</v>
      </c>
      <c r="F9" s="162">
        <v>5325</v>
      </c>
      <c r="G9" s="114">
        <f t="shared" si="0"/>
        <v>26772.247360482655</v>
      </c>
      <c r="H9" s="115">
        <f t="shared" si="1"/>
        <v>85.072282683452997</v>
      </c>
      <c r="I9" s="163">
        <v>15</v>
      </c>
    </row>
    <row r="10" spans="2:9" s="101" customFormat="1" ht="13" x14ac:dyDescent="0.45">
      <c r="B10" s="15" t="s">
        <v>7</v>
      </c>
      <c r="C10" s="17" t="s">
        <v>703</v>
      </c>
      <c r="D10" s="155" t="s">
        <v>9</v>
      </c>
      <c r="E10" s="107">
        <v>1987</v>
      </c>
      <c r="F10" s="156">
        <v>6318</v>
      </c>
      <c r="G10" s="108">
        <f t="shared" si="0"/>
        <v>31796.678409662807</v>
      </c>
      <c r="H10" s="109">
        <f>G10/31797*100</f>
        <v>99.998988614217723</v>
      </c>
      <c r="I10" s="157">
        <v>0</v>
      </c>
    </row>
    <row r="11" spans="2:9" s="101" customFormat="1" ht="12.5" x14ac:dyDescent="0.45">
      <c r="B11" s="351" t="s">
        <v>10</v>
      </c>
      <c r="C11" s="371" t="s">
        <v>707</v>
      </c>
      <c r="D11" s="161" t="s">
        <v>11</v>
      </c>
      <c r="E11" s="113">
        <v>1997</v>
      </c>
      <c r="F11" s="162">
        <v>6822</v>
      </c>
      <c r="G11" s="114">
        <f t="shared" si="0"/>
        <v>34161.241862794188</v>
      </c>
      <c r="H11" s="115">
        <f t="shared" ref="H11:H13" si="2">G11/31797*100</f>
        <v>107.43542429409752</v>
      </c>
      <c r="I11" s="163">
        <v>0</v>
      </c>
    </row>
    <row r="12" spans="2:9" s="101" customFormat="1" ht="12.5" x14ac:dyDescent="0.45">
      <c r="B12" s="351"/>
      <c r="C12" s="371"/>
      <c r="D12" s="161" t="s">
        <v>12</v>
      </c>
      <c r="E12" s="113">
        <v>1993</v>
      </c>
      <c r="F12" s="162">
        <v>6926</v>
      </c>
      <c r="G12" s="114">
        <f t="shared" si="0"/>
        <v>34751.630707476164</v>
      </c>
      <c r="H12" s="115">
        <f t="shared" si="2"/>
        <v>109.29216815258096</v>
      </c>
      <c r="I12" s="163">
        <v>0</v>
      </c>
    </row>
    <row r="13" spans="2:9" s="101" customFormat="1" ht="13" x14ac:dyDescent="0.45">
      <c r="B13" s="18" t="s">
        <v>13</v>
      </c>
      <c r="C13" s="271" t="s">
        <v>706</v>
      </c>
      <c r="D13" s="164" t="s">
        <v>14</v>
      </c>
      <c r="E13" s="138">
        <v>1994</v>
      </c>
      <c r="F13" s="165">
        <v>5523</v>
      </c>
      <c r="G13" s="139">
        <f t="shared" si="0"/>
        <v>27698.094282848546</v>
      </c>
      <c r="H13" s="140">
        <f t="shared" si="2"/>
        <v>87.109143261466642</v>
      </c>
      <c r="I13" s="166">
        <v>13</v>
      </c>
    </row>
    <row r="14" spans="2:9" s="101" customFormat="1" ht="13" x14ac:dyDescent="0.45">
      <c r="B14" s="15" t="s">
        <v>7</v>
      </c>
      <c r="C14" s="17" t="s">
        <v>703</v>
      </c>
      <c r="D14" s="161" t="s">
        <v>9</v>
      </c>
      <c r="E14" s="113">
        <v>1994</v>
      </c>
      <c r="F14" s="162">
        <v>6180</v>
      </c>
      <c r="G14" s="114">
        <f t="shared" si="0"/>
        <v>30992.978936810432</v>
      </c>
      <c r="H14" s="115">
        <f>G14/30993*100</f>
        <v>99.999932038881141</v>
      </c>
      <c r="I14" s="163">
        <v>0</v>
      </c>
    </row>
    <row r="15" spans="2:9" s="101" customFormat="1" ht="12.5" x14ac:dyDescent="0.45">
      <c r="B15" s="351" t="s">
        <v>10</v>
      </c>
      <c r="C15" s="368" t="s">
        <v>705</v>
      </c>
      <c r="D15" s="161" t="s">
        <v>11</v>
      </c>
      <c r="E15" s="113">
        <v>1995</v>
      </c>
      <c r="F15" s="162">
        <v>5021</v>
      </c>
      <c r="G15" s="114">
        <f t="shared" si="0"/>
        <v>25167.919799498748</v>
      </c>
      <c r="H15" s="115">
        <f t="shared" ref="H15:H17" si="3">G15/30993*100</f>
        <v>81.205174715254245</v>
      </c>
      <c r="I15" s="163">
        <v>19</v>
      </c>
    </row>
    <row r="16" spans="2:9" s="101" customFormat="1" ht="12.5" x14ac:dyDescent="0.45">
      <c r="B16" s="351"/>
      <c r="C16" s="368"/>
      <c r="D16" s="161" t="s">
        <v>12</v>
      </c>
      <c r="E16" s="113">
        <v>1995</v>
      </c>
      <c r="F16" s="162">
        <v>3108</v>
      </c>
      <c r="G16" s="114">
        <f t="shared" si="0"/>
        <v>15578.947368421053</v>
      </c>
      <c r="H16" s="115">
        <f t="shared" si="3"/>
        <v>50.266019321850266</v>
      </c>
      <c r="I16" s="163">
        <v>50</v>
      </c>
    </row>
    <row r="17" spans="2:9" s="101" customFormat="1" ht="13" x14ac:dyDescent="0.45">
      <c r="B17" s="18" t="s">
        <v>13</v>
      </c>
      <c r="C17" s="271" t="s">
        <v>706</v>
      </c>
      <c r="D17" s="164" t="s">
        <v>14</v>
      </c>
      <c r="E17" s="138">
        <v>1993</v>
      </c>
      <c r="F17" s="165">
        <v>1397</v>
      </c>
      <c r="G17" s="139">
        <f t="shared" si="0"/>
        <v>7009.5333667837431</v>
      </c>
      <c r="H17" s="140">
        <f t="shared" si="3"/>
        <v>22.616504910088548</v>
      </c>
      <c r="I17" s="166">
        <v>77</v>
      </c>
    </row>
    <row r="18" spans="2:9" s="101" customFormat="1" ht="13" x14ac:dyDescent="0.45">
      <c r="B18" s="13"/>
      <c r="C18" s="13"/>
      <c r="D18" s="102"/>
    </row>
    <row r="19" spans="2:9" s="101" customFormat="1" ht="13" x14ac:dyDescent="0.45">
      <c r="B19" s="13"/>
      <c r="C19" s="13"/>
      <c r="G19" s="24" t="s">
        <v>708</v>
      </c>
    </row>
    <row r="20" spans="2:9" s="101" customFormat="1" ht="13" x14ac:dyDescent="0.45">
      <c r="B20" s="13"/>
      <c r="C20" s="13"/>
      <c r="G20" s="24"/>
    </row>
    <row r="21" spans="2:9" s="101" customFormat="1" ht="13" x14ac:dyDescent="0.45">
      <c r="B21" s="13"/>
      <c r="C21" s="13" t="s">
        <v>20</v>
      </c>
    </row>
    <row r="22" spans="2:9" s="101" customFormat="1" ht="13" x14ac:dyDescent="0.45">
      <c r="H22" s="24"/>
    </row>
    <row r="23" spans="2:9" s="101" customFormat="1" ht="13" x14ac:dyDescent="0.45">
      <c r="B23" s="15"/>
      <c r="C23" s="17"/>
      <c r="D23" s="16" t="s">
        <v>2</v>
      </c>
      <c r="E23" s="17" t="s">
        <v>3</v>
      </c>
      <c r="F23" s="16" t="s">
        <v>1394</v>
      </c>
      <c r="G23" s="17" t="s">
        <v>1395</v>
      </c>
      <c r="H23" s="16" t="s">
        <v>5</v>
      </c>
      <c r="I23" s="17" t="s">
        <v>6</v>
      </c>
    </row>
    <row r="24" spans="2:9" s="101" customFormat="1" ht="13" x14ac:dyDescent="0.45">
      <c r="B24" s="18"/>
      <c r="C24" s="20"/>
      <c r="D24" s="19"/>
      <c r="E24" s="20"/>
      <c r="F24" s="19"/>
      <c r="G24" s="20" t="s">
        <v>797</v>
      </c>
      <c r="H24" s="104"/>
      <c r="I24" s="20"/>
    </row>
    <row r="25" spans="2:9" s="101" customFormat="1" ht="13" x14ac:dyDescent="0.45">
      <c r="B25" s="15" t="s">
        <v>7</v>
      </c>
      <c r="C25" s="17" t="s">
        <v>704</v>
      </c>
      <c r="D25" s="155" t="s">
        <v>9</v>
      </c>
      <c r="E25" s="107">
        <v>1996</v>
      </c>
      <c r="F25" s="156">
        <v>8201</v>
      </c>
      <c r="G25" s="229">
        <f>10000*F25/E25</f>
        <v>41087.174348697394</v>
      </c>
      <c r="H25" s="108">
        <f>G25/41087*100</f>
        <v>100.00042434029595</v>
      </c>
      <c r="I25" s="157">
        <v>0</v>
      </c>
    </row>
    <row r="26" spans="2:9" s="101" customFormat="1" ht="13" x14ac:dyDescent="0.45">
      <c r="B26" s="351" t="s">
        <v>10</v>
      </c>
      <c r="C26" s="309"/>
      <c r="D26" s="161" t="s">
        <v>11</v>
      </c>
      <c r="E26" s="113">
        <v>1996</v>
      </c>
      <c r="F26" s="162">
        <v>9838</v>
      </c>
      <c r="G26" s="231">
        <f t="shared" ref="G26:G32" si="4">10000*F26/E26</f>
        <v>49288.577154308616</v>
      </c>
      <c r="H26" s="114">
        <f t="shared" ref="H26:H28" si="5">G26/41087*100</f>
        <v>119.96148941102689</v>
      </c>
      <c r="I26" s="163">
        <v>0</v>
      </c>
    </row>
    <row r="27" spans="2:9" s="101" customFormat="1" ht="13" x14ac:dyDescent="0.45">
      <c r="B27" s="351"/>
      <c r="C27" s="68"/>
      <c r="D27" s="161" t="s">
        <v>12</v>
      </c>
      <c r="E27" s="113">
        <v>1993</v>
      </c>
      <c r="F27" s="162">
        <v>9519</v>
      </c>
      <c r="G27" s="231">
        <f t="shared" si="4"/>
        <v>47762.167586552932</v>
      </c>
      <c r="H27" s="114">
        <f t="shared" si="5"/>
        <v>116.24642243666594</v>
      </c>
      <c r="I27" s="163">
        <v>0</v>
      </c>
    </row>
    <row r="28" spans="2:9" s="101" customFormat="1" ht="13" x14ac:dyDescent="0.45">
      <c r="B28" s="18" t="s">
        <v>13</v>
      </c>
      <c r="C28" s="271" t="s">
        <v>706</v>
      </c>
      <c r="D28" s="164" t="s">
        <v>14</v>
      </c>
      <c r="E28" s="138">
        <v>1983</v>
      </c>
      <c r="F28" s="165">
        <v>5379</v>
      </c>
      <c r="G28" s="234">
        <f t="shared" si="4"/>
        <v>27125.567322239032</v>
      </c>
      <c r="H28" s="139">
        <f t="shared" si="5"/>
        <v>66.019829440550609</v>
      </c>
      <c r="I28" s="166">
        <v>34</v>
      </c>
    </row>
    <row r="29" spans="2:9" s="101" customFormat="1" ht="13" x14ac:dyDescent="0.45">
      <c r="B29" s="15" t="s">
        <v>7</v>
      </c>
      <c r="C29" s="17" t="s">
        <v>703</v>
      </c>
      <c r="D29" s="161" t="s">
        <v>9</v>
      </c>
      <c r="E29" s="113">
        <v>1996</v>
      </c>
      <c r="F29" s="162">
        <v>8028</v>
      </c>
      <c r="G29" s="231">
        <f t="shared" si="4"/>
        <v>40220.440881763527</v>
      </c>
      <c r="H29" s="114">
        <f>G29/40220*100</f>
        <v>100.00109617544388</v>
      </c>
      <c r="I29" s="163">
        <v>0</v>
      </c>
    </row>
    <row r="30" spans="2:9" s="101" customFormat="1" ht="12.5" x14ac:dyDescent="0.45">
      <c r="B30" s="351" t="s">
        <v>10</v>
      </c>
      <c r="C30" s="368" t="s">
        <v>705</v>
      </c>
      <c r="D30" s="161" t="s">
        <v>11</v>
      </c>
      <c r="E30" s="113">
        <v>1994</v>
      </c>
      <c r="F30" s="162">
        <v>8653</v>
      </c>
      <c r="G30" s="231">
        <f t="shared" si="4"/>
        <v>43395.185556670011</v>
      </c>
      <c r="H30" s="114">
        <f t="shared" ref="H30:H32" si="6">G30/40220*100</f>
        <v>107.89454390022379</v>
      </c>
      <c r="I30" s="163">
        <v>0</v>
      </c>
    </row>
    <row r="31" spans="2:9" s="101" customFormat="1" ht="12.5" x14ac:dyDescent="0.45">
      <c r="B31" s="351"/>
      <c r="C31" s="368"/>
      <c r="D31" s="161" t="s">
        <v>12</v>
      </c>
      <c r="E31" s="113">
        <v>1993</v>
      </c>
      <c r="F31" s="162">
        <v>5674</v>
      </c>
      <c r="G31" s="231">
        <f t="shared" si="4"/>
        <v>28469.643753135977</v>
      </c>
      <c r="H31" s="114">
        <f t="shared" si="6"/>
        <v>70.784793021223209</v>
      </c>
      <c r="I31" s="163">
        <v>29</v>
      </c>
    </row>
    <row r="32" spans="2:9" s="101" customFormat="1" ht="13" x14ac:dyDescent="0.45">
      <c r="B32" s="18" t="s">
        <v>13</v>
      </c>
      <c r="C32" s="271" t="s">
        <v>706</v>
      </c>
      <c r="D32" s="164" t="s">
        <v>14</v>
      </c>
      <c r="E32" s="138">
        <v>1978</v>
      </c>
      <c r="F32" s="165">
        <v>2583</v>
      </c>
      <c r="G32" s="234">
        <f t="shared" si="4"/>
        <v>13058.645096056624</v>
      </c>
      <c r="H32" s="139">
        <f t="shared" si="6"/>
        <v>32.468038528236256</v>
      </c>
      <c r="I32" s="166">
        <v>68</v>
      </c>
    </row>
    <row r="33" spans="2:3" s="101" customFormat="1" ht="13" x14ac:dyDescent="0.45">
      <c r="B33" s="13"/>
      <c r="C33" s="13"/>
    </row>
    <row r="37" spans="2:3" x14ac:dyDescent="0.45">
      <c r="B37" s="14"/>
      <c r="C37" s="14"/>
    </row>
    <row r="38" spans="2:3" x14ac:dyDescent="0.45">
      <c r="B38" s="14"/>
      <c r="C38" s="14"/>
    </row>
    <row r="39" spans="2:3" x14ac:dyDescent="0.45">
      <c r="B39" s="14"/>
      <c r="C39" s="14"/>
    </row>
    <row r="41" spans="2:3" x14ac:dyDescent="0.45">
      <c r="B41" s="14"/>
      <c r="C41" s="14"/>
    </row>
  </sheetData>
  <mergeCells count="8">
    <mergeCell ref="B7:B8"/>
    <mergeCell ref="B11:B12"/>
    <mergeCell ref="C11:C12"/>
    <mergeCell ref="B26:B27"/>
    <mergeCell ref="B30:B31"/>
    <mergeCell ref="C30:C31"/>
    <mergeCell ref="B15:B16"/>
    <mergeCell ref="C15:C16"/>
  </mergeCells>
  <phoneticPr fontId="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231DB-6765-4696-9736-082233D62CBB}">
  <dimension ref="A2:Q31"/>
  <sheetViews>
    <sheetView zoomScale="90" zoomScaleNormal="90" workbookViewId="0">
      <selection activeCell="H29" sqref="H29"/>
    </sheetView>
  </sheetViews>
  <sheetFormatPr defaultRowHeight="14" x14ac:dyDescent="0.3"/>
  <cols>
    <col min="1" max="1" width="9" style="25"/>
    <col min="2" max="2" width="12.5" style="25" customWidth="1"/>
    <col min="3" max="3" width="13.25" style="25" customWidth="1"/>
    <col min="4" max="4" width="12.5" style="25" customWidth="1"/>
    <col min="5" max="5" width="11.33203125" style="25" customWidth="1"/>
    <col min="6" max="6" width="12.33203125" style="25" customWidth="1"/>
    <col min="7" max="7" width="11.25" style="25" customWidth="1"/>
    <col min="8" max="8" width="9.33203125" style="25" bestFit="1" customWidth="1"/>
    <col min="9" max="9" width="9.58203125" style="25" bestFit="1" customWidth="1"/>
    <col min="10" max="10" width="7.33203125" style="25" bestFit="1" customWidth="1"/>
    <col min="11" max="11" width="7" style="25" customWidth="1"/>
    <col min="12" max="12" width="33.25" style="25" bestFit="1" customWidth="1"/>
    <col min="13" max="13" width="24.83203125" style="25" bestFit="1" customWidth="1"/>
    <col min="14" max="14" width="4.33203125" style="25" customWidth="1"/>
    <col min="15" max="15" width="32.75" style="25" bestFit="1" customWidth="1"/>
    <col min="16" max="16" width="23.75" style="25" customWidth="1"/>
    <col min="17" max="17" width="8.25" style="25" customWidth="1"/>
    <col min="18" max="257" width="9" style="25"/>
    <col min="258" max="270" width="15.5" style="25" customWidth="1"/>
    <col min="271" max="272" width="14" style="25" customWidth="1"/>
    <col min="273" max="273" width="8.25" style="25" customWidth="1"/>
    <col min="274" max="513" width="9" style="25"/>
    <col min="514" max="526" width="15.5" style="25" customWidth="1"/>
    <col min="527" max="528" width="14" style="25" customWidth="1"/>
    <col min="529" max="529" width="8.25" style="25" customWidth="1"/>
    <col min="530" max="769" width="9" style="25"/>
    <col min="770" max="782" width="15.5" style="25" customWidth="1"/>
    <col min="783" max="784" width="14" style="25" customWidth="1"/>
    <col min="785" max="785" width="8.25" style="25" customWidth="1"/>
    <col min="786" max="1025" width="9" style="25"/>
    <col min="1026" max="1038" width="15.5" style="25" customWidth="1"/>
    <col min="1039" max="1040" width="14" style="25" customWidth="1"/>
    <col min="1041" max="1041" width="8.25" style="25" customWidth="1"/>
    <col min="1042" max="1281" width="9" style="25"/>
    <col min="1282" max="1294" width="15.5" style="25" customWidth="1"/>
    <col min="1295" max="1296" width="14" style="25" customWidth="1"/>
    <col min="1297" max="1297" width="8.25" style="25" customWidth="1"/>
    <col min="1298" max="1537" width="9" style="25"/>
    <col min="1538" max="1550" width="15.5" style="25" customWidth="1"/>
    <col min="1551" max="1552" width="14" style="25" customWidth="1"/>
    <col min="1553" max="1553" width="8.25" style="25" customWidth="1"/>
    <col min="1554" max="1793" width="9" style="25"/>
    <col min="1794" max="1806" width="15.5" style="25" customWidth="1"/>
    <col min="1807" max="1808" width="14" style="25" customWidth="1"/>
    <col min="1809" max="1809" width="8.25" style="25" customWidth="1"/>
    <col min="1810" max="2049" width="9" style="25"/>
    <col min="2050" max="2062" width="15.5" style="25" customWidth="1"/>
    <col min="2063" max="2064" width="14" style="25" customWidth="1"/>
    <col min="2065" max="2065" width="8.25" style="25" customWidth="1"/>
    <col min="2066" max="2305" width="9" style="25"/>
    <col min="2306" max="2318" width="15.5" style="25" customWidth="1"/>
    <col min="2319" max="2320" width="14" style="25" customWidth="1"/>
    <col min="2321" max="2321" width="8.25" style="25" customWidth="1"/>
    <col min="2322" max="2561" width="9" style="25"/>
    <col min="2562" max="2574" width="15.5" style="25" customWidth="1"/>
    <col min="2575" max="2576" width="14" style="25" customWidth="1"/>
    <col min="2577" max="2577" width="8.25" style="25" customWidth="1"/>
    <col min="2578" max="2817" width="9" style="25"/>
    <col min="2818" max="2830" width="15.5" style="25" customWidth="1"/>
    <col min="2831" max="2832" width="14" style="25" customWidth="1"/>
    <col min="2833" max="2833" width="8.25" style="25" customWidth="1"/>
    <col min="2834" max="3073" width="9" style="25"/>
    <col min="3074" max="3086" width="15.5" style="25" customWidth="1"/>
    <col min="3087" max="3088" width="14" style="25" customWidth="1"/>
    <col min="3089" max="3089" width="8.25" style="25" customWidth="1"/>
    <col min="3090" max="3329" width="9" style="25"/>
    <col min="3330" max="3342" width="15.5" style="25" customWidth="1"/>
    <col min="3343" max="3344" width="14" style="25" customWidth="1"/>
    <col min="3345" max="3345" width="8.25" style="25" customWidth="1"/>
    <col min="3346" max="3585" width="9" style="25"/>
    <col min="3586" max="3598" width="15.5" style="25" customWidth="1"/>
    <col min="3599" max="3600" width="14" style="25" customWidth="1"/>
    <col min="3601" max="3601" width="8.25" style="25" customWidth="1"/>
    <col min="3602" max="3841" width="9" style="25"/>
    <col min="3842" max="3854" width="15.5" style="25" customWidth="1"/>
    <col min="3855" max="3856" width="14" style="25" customWidth="1"/>
    <col min="3857" max="3857" width="8.25" style="25" customWidth="1"/>
    <col min="3858" max="4097" width="9" style="25"/>
    <col min="4098" max="4110" width="15.5" style="25" customWidth="1"/>
    <col min="4111" max="4112" width="14" style="25" customWidth="1"/>
    <col min="4113" max="4113" width="8.25" style="25" customWidth="1"/>
    <col min="4114" max="4353" width="9" style="25"/>
    <col min="4354" max="4366" width="15.5" style="25" customWidth="1"/>
    <col min="4367" max="4368" width="14" style="25" customWidth="1"/>
    <col min="4369" max="4369" width="8.25" style="25" customWidth="1"/>
    <col min="4370" max="4609" width="9" style="25"/>
    <col min="4610" max="4622" width="15.5" style="25" customWidth="1"/>
    <col min="4623" max="4624" width="14" style="25" customWidth="1"/>
    <col min="4625" max="4625" width="8.25" style="25" customWidth="1"/>
    <col min="4626" max="4865" width="9" style="25"/>
    <col min="4866" max="4878" width="15.5" style="25" customWidth="1"/>
    <col min="4879" max="4880" width="14" style="25" customWidth="1"/>
    <col min="4881" max="4881" width="8.25" style="25" customWidth="1"/>
    <col min="4882" max="5121" width="9" style="25"/>
    <col min="5122" max="5134" width="15.5" style="25" customWidth="1"/>
    <col min="5135" max="5136" width="14" style="25" customWidth="1"/>
    <col min="5137" max="5137" width="8.25" style="25" customWidth="1"/>
    <col min="5138" max="5377" width="9" style="25"/>
    <col min="5378" max="5390" width="15.5" style="25" customWidth="1"/>
    <col min="5391" max="5392" width="14" style="25" customWidth="1"/>
    <col min="5393" max="5393" width="8.25" style="25" customWidth="1"/>
    <col min="5394" max="5633" width="9" style="25"/>
    <col min="5634" max="5646" width="15.5" style="25" customWidth="1"/>
    <col min="5647" max="5648" width="14" style="25" customWidth="1"/>
    <col min="5649" max="5649" width="8.25" style="25" customWidth="1"/>
    <col min="5650" max="5889" width="9" style="25"/>
    <col min="5890" max="5902" width="15.5" style="25" customWidth="1"/>
    <col min="5903" max="5904" width="14" style="25" customWidth="1"/>
    <col min="5905" max="5905" width="8.25" style="25" customWidth="1"/>
    <col min="5906" max="6145" width="9" style="25"/>
    <col min="6146" max="6158" width="15.5" style="25" customWidth="1"/>
    <col min="6159" max="6160" width="14" style="25" customWidth="1"/>
    <col min="6161" max="6161" width="8.25" style="25" customWidth="1"/>
    <col min="6162" max="6401" width="9" style="25"/>
    <col min="6402" max="6414" width="15.5" style="25" customWidth="1"/>
    <col min="6415" max="6416" width="14" style="25" customWidth="1"/>
    <col min="6417" max="6417" width="8.25" style="25" customWidth="1"/>
    <col min="6418" max="6657" width="9" style="25"/>
    <col min="6658" max="6670" width="15.5" style="25" customWidth="1"/>
    <col min="6671" max="6672" width="14" style="25" customWidth="1"/>
    <col min="6673" max="6673" width="8.25" style="25" customWidth="1"/>
    <col min="6674" max="6913" width="9" style="25"/>
    <col min="6914" max="6926" width="15.5" style="25" customWidth="1"/>
    <col min="6927" max="6928" width="14" style="25" customWidth="1"/>
    <col min="6929" max="6929" width="8.25" style="25" customWidth="1"/>
    <col min="6930" max="7169" width="9" style="25"/>
    <col min="7170" max="7182" width="15.5" style="25" customWidth="1"/>
    <col min="7183" max="7184" width="14" style="25" customWidth="1"/>
    <col min="7185" max="7185" width="8.25" style="25" customWidth="1"/>
    <col min="7186" max="7425" width="9" style="25"/>
    <col min="7426" max="7438" width="15.5" style="25" customWidth="1"/>
    <col min="7439" max="7440" width="14" style="25" customWidth="1"/>
    <col min="7441" max="7441" width="8.25" style="25" customWidth="1"/>
    <col min="7442" max="7681" width="9" style="25"/>
    <col min="7682" max="7694" width="15.5" style="25" customWidth="1"/>
    <col min="7695" max="7696" width="14" style="25" customWidth="1"/>
    <col min="7697" max="7697" width="8.25" style="25" customWidth="1"/>
    <col min="7698" max="7937" width="9" style="25"/>
    <col min="7938" max="7950" width="15.5" style="25" customWidth="1"/>
    <col min="7951" max="7952" width="14" style="25" customWidth="1"/>
    <col min="7953" max="7953" width="8.25" style="25" customWidth="1"/>
    <col min="7954" max="8193" width="9" style="25"/>
    <col min="8194" max="8206" width="15.5" style="25" customWidth="1"/>
    <col min="8207" max="8208" width="14" style="25" customWidth="1"/>
    <col min="8209" max="8209" width="8.25" style="25" customWidth="1"/>
    <col min="8210" max="8449" width="9" style="25"/>
    <col min="8450" max="8462" width="15.5" style="25" customWidth="1"/>
    <col min="8463" max="8464" width="14" style="25" customWidth="1"/>
    <col min="8465" max="8465" width="8.25" style="25" customWidth="1"/>
    <col min="8466" max="8705" width="9" style="25"/>
    <col min="8706" max="8718" width="15.5" style="25" customWidth="1"/>
    <col min="8719" max="8720" width="14" style="25" customWidth="1"/>
    <col min="8721" max="8721" width="8.25" style="25" customWidth="1"/>
    <col min="8722" max="8961" width="9" style="25"/>
    <col min="8962" max="8974" width="15.5" style="25" customWidth="1"/>
    <col min="8975" max="8976" width="14" style="25" customWidth="1"/>
    <col min="8977" max="8977" width="8.25" style="25" customWidth="1"/>
    <col min="8978" max="9217" width="9" style="25"/>
    <col min="9218" max="9230" width="15.5" style="25" customWidth="1"/>
    <col min="9231" max="9232" width="14" style="25" customWidth="1"/>
    <col min="9233" max="9233" width="8.25" style="25" customWidth="1"/>
    <col min="9234" max="9473" width="9" style="25"/>
    <col min="9474" max="9486" width="15.5" style="25" customWidth="1"/>
    <col min="9487" max="9488" width="14" style="25" customWidth="1"/>
    <col min="9489" max="9489" width="8.25" style="25" customWidth="1"/>
    <col min="9490" max="9729" width="9" style="25"/>
    <col min="9730" max="9742" width="15.5" style="25" customWidth="1"/>
    <col min="9743" max="9744" width="14" style="25" customWidth="1"/>
    <col min="9745" max="9745" width="8.25" style="25" customWidth="1"/>
    <col min="9746" max="9985" width="9" style="25"/>
    <col min="9986" max="9998" width="15.5" style="25" customWidth="1"/>
    <col min="9999" max="10000" width="14" style="25" customWidth="1"/>
    <col min="10001" max="10001" width="8.25" style="25" customWidth="1"/>
    <col min="10002" max="10241" width="9" style="25"/>
    <col min="10242" max="10254" width="15.5" style="25" customWidth="1"/>
    <col min="10255" max="10256" width="14" style="25" customWidth="1"/>
    <col min="10257" max="10257" width="8.25" style="25" customWidth="1"/>
    <col min="10258" max="10497" width="9" style="25"/>
    <col min="10498" max="10510" width="15.5" style="25" customWidth="1"/>
    <col min="10511" max="10512" width="14" style="25" customWidth="1"/>
    <col min="10513" max="10513" width="8.25" style="25" customWidth="1"/>
    <col min="10514" max="10753" width="9" style="25"/>
    <col min="10754" max="10766" width="15.5" style="25" customWidth="1"/>
    <col min="10767" max="10768" width="14" style="25" customWidth="1"/>
    <col min="10769" max="10769" width="8.25" style="25" customWidth="1"/>
    <col min="10770" max="11009" width="9" style="25"/>
    <col min="11010" max="11022" width="15.5" style="25" customWidth="1"/>
    <col min="11023" max="11024" width="14" style="25" customWidth="1"/>
    <col min="11025" max="11025" width="8.25" style="25" customWidth="1"/>
    <col min="11026" max="11265" width="9" style="25"/>
    <col min="11266" max="11278" width="15.5" style="25" customWidth="1"/>
    <col min="11279" max="11280" width="14" style="25" customWidth="1"/>
    <col min="11281" max="11281" width="8.25" style="25" customWidth="1"/>
    <col min="11282" max="11521" width="9" style="25"/>
    <col min="11522" max="11534" width="15.5" style="25" customWidth="1"/>
    <col min="11535" max="11536" width="14" style="25" customWidth="1"/>
    <col min="11537" max="11537" width="8.25" style="25" customWidth="1"/>
    <col min="11538" max="11777" width="9" style="25"/>
    <col min="11778" max="11790" width="15.5" style="25" customWidth="1"/>
    <col min="11791" max="11792" width="14" style="25" customWidth="1"/>
    <col min="11793" max="11793" width="8.25" style="25" customWidth="1"/>
    <col min="11794" max="12033" width="9" style="25"/>
    <col min="12034" max="12046" width="15.5" style="25" customWidth="1"/>
    <col min="12047" max="12048" width="14" style="25" customWidth="1"/>
    <col min="12049" max="12049" width="8.25" style="25" customWidth="1"/>
    <col min="12050" max="12289" width="9" style="25"/>
    <col min="12290" max="12302" width="15.5" style="25" customWidth="1"/>
    <col min="12303" max="12304" width="14" style="25" customWidth="1"/>
    <col min="12305" max="12305" width="8.25" style="25" customWidth="1"/>
    <col min="12306" max="12545" width="9" style="25"/>
    <col min="12546" max="12558" width="15.5" style="25" customWidth="1"/>
    <col min="12559" max="12560" width="14" style="25" customWidth="1"/>
    <col min="12561" max="12561" width="8.25" style="25" customWidth="1"/>
    <col min="12562" max="12801" width="9" style="25"/>
    <col min="12802" max="12814" width="15.5" style="25" customWidth="1"/>
    <col min="12815" max="12816" width="14" style="25" customWidth="1"/>
    <col min="12817" max="12817" width="8.25" style="25" customWidth="1"/>
    <col min="12818" max="13057" width="9" style="25"/>
    <col min="13058" max="13070" width="15.5" style="25" customWidth="1"/>
    <col min="13071" max="13072" width="14" style="25" customWidth="1"/>
    <col min="13073" max="13073" width="8.25" style="25" customWidth="1"/>
    <col min="13074" max="13313" width="9" style="25"/>
    <col min="13314" max="13326" width="15.5" style="25" customWidth="1"/>
    <col min="13327" max="13328" width="14" style="25" customWidth="1"/>
    <col min="13329" max="13329" width="8.25" style="25" customWidth="1"/>
    <col min="13330" max="13569" width="9" style="25"/>
    <col min="13570" max="13582" width="15.5" style="25" customWidth="1"/>
    <col min="13583" max="13584" width="14" style="25" customWidth="1"/>
    <col min="13585" max="13585" width="8.25" style="25" customWidth="1"/>
    <col min="13586" max="13825" width="9" style="25"/>
    <col min="13826" max="13838" width="15.5" style="25" customWidth="1"/>
    <col min="13839" max="13840" width="14" style="25" customWidth="1"/>
    <col min="13841" max="13841" width="8.25" style="25" customWidth="1"/>
    <col min="13842" max="14081" width="9" style="25"/>
    <col min="14082" max="14094" width="15.5" style="25" customWidth="1"/>
    <col min="14095" max="14096" width="14" style="25" customWidth="1"/>
    <col min="14097" max="14097" width="8.25" style="25" customWidth="1"/>
    <col min="14098" max="14337" width="9" style="25"/>
    <col min="14338" max="14350" width="15.5" style="25" customWidth="1"/>
    <col min="14351" max="14352" width="14" style="25" customWidth="1"/>
    <col min="14353" max="14353" width="8.25" style="25" customWidth="1"/>
    <col min="14354" max="14593" width="9" style="25"/>
    <col min="14594" max="14606" width="15.5" style="25" customWidth="1"/>
    <col min="14607" max="14608" width="14" style="25" customWidth="1"/>
    <col min="14609" max="14609" width="8.25" style="25" customWidth="1"/>
    <col min="14610" max="14849" width="9" style="25"/>
    <col min="14850" max="14862" width="15.5" style="25" customWidth="1"/>
    <col min="14863" max="14864" width="14" style="25" customWidth="1"/>
    <col min="14865" max="14865" width="8.25" style="25" customWidth="1"/>
    <col min="14866" max="15105" width="9" style="25"/>
    <col min="15106" max="15118" width="15.5" style="25" customWidth="1"/>
    <col min="15119" max="15120" width="14" style="25" customWidth="1"/>
    <col min="15121" max="15121" width="8.25" style="25" customWidth="1"/>
    <col min="15122" max="15361" width="9" style="25"/>
    <col min="15362" max="15374" width="15.5" style="25" customWidth="1"/>
    <col min="15375" max="15376" width="14" style="25" customWidth="1"/>
    <col min="15377" max="15377" width="8.25" style="25" customWidth="1"/>
    <col min="15378" max="15617" width="9" style="25"/>
    <col min="15618" max="15630" width="15.5" style="25" customWidth="1"/>
    <col min="15631" max="15632" width="14" style="25" customWidth="1"/>
    <col min="15633" max="15633" width="8.25" style="25" customWidth="1"/>
    <col min="15634" max="15873" width="9" style="25"/>
    <col min="15874" max="15886" width="15.5" style="25" customWidth="1"/>
    <col min="15887" max="15888" width="14" style="25" customWidth="1"/>
    <col min="15889" max="15889" width="8.25" style="25" customWidth="1"/>
    <col min="15890" max="16129" width="9" style="25"/>
    <col min="16130" max="16142" width="15.5" style="25" customWidth="1"/>
    <col min="16143" max="16144" width="14" style="25" customWidth="1"/>
    <col min="16145" max="16145" width="8.25" style="25" customWidth="1"/>
    <col min="16146" max="16384" width="9" style="25"/>
  </cols>
  <sheetData>
    <row r="2" spans="1:16" s="95" customFormat="1" ht="13" x14ac:dyDescent="0.25">
      <c r="B2" s="100" t="s">
        <v>39</v>
      </c>
      <c r="C2" s="101"/>
      <c r="D2" s="101"/>
    </row>
    <row r="3" spans="1:16" s="101" customFormat="1" ht="13" x14ac:dyDescent="0.45">
      <c r="A3" s="13"/>
    </row>
    <row r="4" spans="1:16" s="95" customFormat="1" ht="13" x14ac:dyDescent="0.3">
      <c r="B4" s="103" t="s">
        <v>21</v>
      </c>
      <c r="J4" s="26"/>
      <c r="L4" s="103" t="s">
        <v>71</v>
      </c>
    </row>
    <row r="5" spans="1:16" s="95" customFormat="1" ht="12.5" x14ac:dyDescent="0.25"/>
    <row r="6" spans="1:16" s="95" customFormat="1" ht="12.5" x14ac:dyDescent="0.25">
      <c r="B6" s="3"/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306</v>
      </c>
      <c r="J6" s="4" t="s">
        <v>29</v>
      </c>
      <c r="L6" s="2" t="s">
        <v>41</v>
      </c>
      <c r="M6" s="3" t="s">
        <v>42</v>
      </c>
      <c r="O6" s="2" t="s">
        <v>41</v>
      </c>
      <c r="P6" s="3" t="s">
        <v>42</v>
      </c>
    </row>
    <row r="7" spans="1:16" s="95" customFormat="1" ht="13" x14ac:dyDescent="0.3">
      <c r="B7" s="6" t="s">
        <v>30</v>
      </c>
      <c r="C7" s="67">
        <v>0.96</v>
      </c>
      <c r="D7" s="67">
        <v>0.56799999999999995</v>
      </c>
      <c r="E7" s="67">
        <v>0.33500000000000002</v>
      </c>
      <c r="F7" s="67">
        <v>0.219</v>
      </c>
      <c r="G7" s="67">
        <v>0.13500000000000001</v>
      </c>
      <c r="H7" s="67">
        <v>0.104</v>
      </c>
      <c r="I7" s="67">
        <v>8.2000000000000003E-2</v>
      </c>
      <c r="J7" s="67">
        <v>6.5000000000000002E-2</v>
      </c>
      <c r="L7" s="7" t="s">
        <v>43</v>
      </c>
      <c r="M7" s="8" t="s">
        <v>718</v>
      </c>
      <c r="O7" s="7" t="s">
        <v>725</v>
      </c>
      <c r="P7" s="8" t="s">
        <v>726</v>
      </c>
    </row>
    <row r="8" spans="1:16" s="95" customFormat="1" ht="13" x14ac:dyDescent="0.3">
      <c r="B8" s="6" t="s">
        <v>31</v>
      </c>
      <c r="C8" s="67">
        <v>1.0640000000000001</v>
      </c>
      <c r="D8" s="67">
        <v>0.61099999999999999</v>
      </c>
      <c r="E8" s="67">
        <v>0.35599999999999998</v>
      </c>
      <c r="F8" s="67">
        <v>0.23200000000000001</v>
      </c>
      <c r="G8" s="67">
        <v>0.15</v>
      </c>
      <c r="H8" s="67">
        <v>0.109</v>
      </c>
      <c r="I8" s="67">
        <v>8.8999999999999996E-2</v>
      </c>
      <c r="J8" s="67">
        <v>7.1999999999999995E-2</v>
      </c>
      <c r="L8" s="7" t="s">
        <v>44</v>
      </c>
      <c r="M8" s="8" t="s">
        <v>44</v>
      </c>
      <c r="O8" s="7" t="s">
        <v>44</v>
      </c>
      <c r="P8" s="8" t="s">
        <v>44</v>
      </c>
    </row>
    <row r="9" spans="1:16" s="95" customFormat="1" ht="13" x14ac:dyDescent="0.3">
      <c r="B9" s="26"/>
      <c r="L9" s="7" t="s">
        <v>155</v>
      </c>
      <c r="M9" s="8" t="s">
        <v>719</v>
      </c>
      <c r="O9" s="7" t="s">
        <v>155</v>
      </c>
      <c r="P9" s="8" t="s">
        <v>719</v>
      </c>
    </row>
    <row r="10" spans="1:16" s="95" customFormat="1" ht="13" x14ac:dyDescent="0.3">
      <c r="B10" s="26"/>
      <c r="D10" s="124" t="s">
        <v>709</v>
      </c>
      <c r="E10" s="125"/>
      <c r="F10" s="125"/>
      <c r="G10" s="125"/>
      <c r="H10" s="125"/>
      <c r="L10" s="2"/>
      <c r="M10" s="3"/>
      <c r="O10" s="2"/>
      <c r="P10" s="3"/>
    </row>
    <row r="11" spans="1:16" s="95" customFormat="1" ht="13" x14ac:dyDescent="0.3">
      <c r="B11" s="26"/>
      <c r="D11" s="128"/>
      <c r="L11" s="2" t="s">
        <v>46</v>
      </c>
      <c r="M11" s="3"/>
      <c r="O11" s="2" t="s">
        <v>46</v>
      </c>
      <c r="P11" s="3"/>
    </row>
    <row r="12" spans="1:16" s="95" customFormat="1" ht="13" x14ac:dyDescent="0.3">
      <c r="B12" s="129" t="s">
        <v>40</v>
      </c>
      <c r="C12" s="103"/>
      <c r="D12" s="128"/>
      <c r="L12" s="7" t="s">
        <v>47</v>
      </c>
      <c r="M12" s="8" t="s">
        <v>48</v>
      </c>
      <c r="O12" s="7" t="s">
        <v>47</v>
      </c>
      <c r="P12" s="8" t="s">
        <v>48</v>
      </c>
    </row>
    <row r="13" spans="1:16" s="95" customFormat="1" ht="13" x14ac:dyDescent="0.3">
      <c r="B13" s="130">
        <v>1</v>
      </c>
      <c r="C13" s="130">
        <v>2</v>
      </c>
      <c r="D13" s="130">
        <v>3</v>
      </c>
      <c r="L13" s="7" t="s">
        <v>49</v>
      </c>
      <c r="M13" s="8" t="s">
        <v>50</v>
      </c>
      <c r="O13" s="7" t="s">
        <v>49</v>
      </c>
      <c r="P13" s="8" t="s">
        <v>50</v>
      </c>
    </row>
    <row r="14" spans="1:16" s="95" customFormat="1" ht="13" x14ac:dyDescent="0.3">
      <c r="B14" s="131" t="s">
        <v>710</v>
      </c>
      <c r="C14" s="131" t="s">
        <v>710</v>
      </c>
      <c r="D14" s="131" t="s">
        <v>710</v>
      </c>
      <c r="L14" s="2" t="s">
        <v>51</v>
      </c>
      <c r="M14" s="3" t="s">
        <v>52</v>
      </c>
      <c r="O14" s="2" t="s">
        <v>51</v>
      </c>
      <c r="P14" s="3" t="s">
        <v>52</v>
      </c>
    </row>
    <row r="15" spans="1:16" s="95" customFormat="1" ht="13" x14ac:dyDescent="0.3">
      <c r="B15" s="28"/>
      <c r="C15" s="131" t="s">
        <v>707</v>
      </c>
      <c r="D15" s="133" t="s">
        <v>705</v>
      </c>
      <c r="L15" s="2" t="s">
        <v>53</v>
      </c>
      <c r="M15" s="3" t="s">
        <v>54</v>
      </c>
      <c r="O15" s="2" t="s">
        <v>53</v>
      </c>
      <c r="P15" s="3" t="s">
        <v>54</v>
      </c>
    </row>
    <row r="16" spans="1:16" s="95" customFormat="1" ht="13" x14ac:dyDescent="0.3">
      <c r="B16" s="134" t="s">
        <v>711</v>
      </c>
      <c r="C16" s="134" t="s">
        <v>711</v>
      </c>
      <c r="D16" s="134" t="s">
        <v>711</v>
      </c>
      <c r="L16" s="2" t="s">
        <v>55</v>
      </c>
      <c r="M16" s="3" t="s">
        <v>712</v>
      </c>
      <c r="O16" s="2" t="s">
        <v>55</v>
      </c>
      <c r="P16" s="3" t="s">
        <v>720</v>
      </c>
    </row>
    <row r="17" spans="2:17" s="95" customFormat="1" ht="12.5" x14ac:dyDescent="0.25">
      <c r="B17" s="67">
        <v>0.13200000000000001</v>
      </c>
      <c r="C17" s="67">
        <v>0.38400000000000001</v>
      </c>
      <c r="D17" s="144">
        <v>0.68200000000000005</v>
      </c>
      <c r="E17" s="145"/>
      <c r="F17" s="147"/>
      <c r="L17" s="2"/>
      <c r="M17" s="3"/>
      <c r="O17" s="2"/>
      <c r="P17" s="3"/>
    </row>
    <row r="18" spans="2:17" s="95" customFormat="1" ht="13" x14ac:dyDescent="0.3">
      <c r="B18" s="67">
        <v>0.14000000000000001</v>
      </c>
      <c r="C18" s="67">
        <v>0.24</v>
      </c>
      <c r="D18" s="144">
        <v>0.7</v>
      </c>
      <c r="E18" s="148" t="s">
        <v>593</v>
      </c>
      <c r="F18" s="150" t="s">
        <v>591</v>
      </c>
      <c r="L18" s="2" t="s">
        <v>57</v>
      </c>
      <c r="M18" s="3"/>
      <c r="O18" s="2" t="s">
        <v>57</v>
      </c>
      <c r="P18" s="3"/>
    </row>
    <row r="19" spans="2:17" s="95" customFormat="1" ht="12.5" x14ac:dyDescent="0.25">
      <c r="B19" s="67">
        <v>0.109</v>
      </c>
      <c r="C19" s="67">
        <v>0.16800000000000001</v>
      </c>
      <c r="D19" s="144">
        <v>0.71799999999999997</v>
      </c>
      <c r="E19" s="151"/>
      <c r="F19" s="153"/>
      <c r="L19" s="2" t="s">
        <v>157</v>
      </c>
      <c r="M19" s="3" t="s">
        <v>713</v>
      </c>
      <c r="O19" s="2" t="s">
        <v>60</v>
      </c>
      <c r="P19" s="3" t="s">
        <v>721</v>
      </c>
    </row>
    <row r="20" spans="2:17" s="95" customFormat="1" ht="12.5" x14ac:dyDescent="0.25">
      <c r="B20" s="101"/>
      <c r="C20" s="101"/>
      <c r="D20" s="101"/>
      <c r="L20" s="2" t="s">
        <v>249</v>
      </c>
      <c r="M20" s="3" t="s">
        <v>714</v>
      </c>
      <c r="O20" s="2" t="s">
        <v>249</v>
      </c>
      <c r="P20" s="3" t="s">
        <v>714</v>
      </c>
    </row>
    <row r="21" spans="2:17" s="95" customFormat="1" ht="12.5" x14ac:dyDescent="0.25">
      <c r="L21" s="2" t="s">
        <v>62</v>
      </c>
      <c r="M21" s="3" t="s">
        <v>715</v>
      </c>
      <c r="O21" s="2" t="s">
        <v>62</v>
      </c>
      <c r="P21" s="3" t="s">
        <v>722</v>
      </c>
    </row>
    <row r="22" spans="2:17" s="95" customFormat="1" ht="13" x14ac:dyDescent="0.3">
      <c r="B22" s="129" t="s">
        <v>855</v>
      </c>
      <c r="C22" s="103"/>
      <c r="D22" s="128"/>
      <c r="L22" s="2" t="s">
        <v>64</v>
      </c>
      <c r="M22" s="3" t="s">
        <v>716</v>
      </c>
      <c r="O22" s="2" t="s">
        <v>64</v>
      </c>
      <c r="P22" s="3" t="s">
        <v>723</v>
      </c>
    </row>
    <row r="23" spans="2:17" s="95" customFormat="1" ht="13" x14ac:dyDescent="0.3">
      <c r="B23" s="130">
        <v>1</v>
      </c>
      <c r="C23" s="130">
        <v>2</v>
      </c>
      <c r="D23" s="130">
        <v>3</v>
      </c>
      <c r="L23" s="2" t="s">
        <v>66</v>
      </c>
      <c r="M23" s="3">
        <v>0.99880000000000002</v>
      </c>
      <c r="O23" s="2" t="s">
        <v>66</v>
      </c>
      <c r="P23" s="3">
        <v>0.99860000000000004</v>
      </c>
    </row>
    <row r="24" spans="2:17" s="95" customFormat="1" ht="13" x14ac:dyDescent="0.3">
      <c r="B24" s="131" t="s">
        <v>710</v>
      </c>
      <c r="C24" s="131" t="s">
        <v>710</v>
      </c>
      <c r="D24" s="131" t="s">
        <v>710</v>
      </c>
      <c r="F24" s="1"/>
      <c r="L24" s="2"/>
      <c r="M24" s="3"/>
      <c r="O24" s="2"/>
      <c r="P24" s="3"/>
    </row>
    <row r="25" spans="2:17" s="95" customFormat="1" ht="13" x14ac:dyDescent="0.3">
      <c r="B25" s="28"/>
      <c r="C25" s="131" t="s">
        <v>707</v>
      </c>
      <c r="D25" s="133" t="s">
        <v>705</v>
      </c>
      <c r="F25" s="1"/>
      <c r="L25" s="2" t="s">
        <v>67</v>
      </c>
      <c r="M25" s="3"/>
      <c r="O25" s="2" t="s">
        <v>67</v>
      </c>
      <c r="P25" s="3"/>
    </row>
    <row r="26" spans="2:17" s="95" customFormat="1" ht="13" x14ac:dyDescent="0.3">
      <c r="B26" s="134" t="s">
        <v>711</v>
      </c>
      <c r="C26" s="134" t="s">
        <v>711</v>
      </c>
      <c r="D26" s="134" t="s">
        <v>711</v>
      </c>
      <c r="F26" s="1"/>
      <c r="L26" s="2" t="s">
        <v>68</v>
      </c>
      <c r="M26" s="3" t="s">
        <v>717</v>
      </c>
      <c r="O26" s="2" t="s">
        <v>68</v>
      </c>
      <c r="P26" s="3" t="s">
        <v>724</v>
      </c>
    </row>
    <row r="27" spans="2:17" s="1" customFormat="1" ht="13" x14ac:dyDescent="0.25">
      <c r="B27" s="42">
        <f>(B17-0.087161)/0.000473*4</f>
        <v>379.18816067653279</v>
      </c>
      <c r="C27" s="42">
        <f t="shared" ref="C27" si="0">(C17-0.087161)/0.000473*4</f>
        <v>2510.2663847780127</v>
      </c>
      <c r="D27" s="42">
        <f>(D17-0.087161)/0.000473*64</f>
        <v>80485.615221987318</v>
      </c>
      <c r="F27" s="101"/>
      <c r="L27" s="2" t="s">
        <v>47</v>
      </c>
      <c r="M27" s="3">
        <v>6.1999999999999998E-3</v>
      </c>
      <c r="N27" s="95"/>
      <c r="O27" s="2" t="s">
        <v>47</v>
      </c>
      <c r="P27" s="3">
        <v>0.2545</v>
      </c>
      <c r="Q27" s="95"/>
    </row>
    <row r="28" spans="2:17" s="1" customFormat="1" ht="13" x14ac:dyDescent="0.25">
      <c r="B28" s="42">
        <f t="shared" ref="B28:C28" si="1">(B18-0.087161)/0.000473*4</f>
        <v>446.84143763213541</v>
      </c>
      <c r="C28" s="42">
        <f t="shared" si="1"/>
        <v>1292.507399577167</v>
      </c>
      <c r="D28" s="42">
        <f t="shared" ref="D28:D29" si="2">(D18-0.087161)/0.000473*64</f>
        <v>82921.133192388996</v>
      </c>
      <c r="F28" s="95"/>
      <c r="L28" s="2" t="s">
        <v>49</v>
      </c>
      <c r="M28" s="3" t="s">
        <v>146</v>
      </c>
      <c r="N28" s="95"/>
      <c r="O28" s="2" t="s">
        <v>49</v>
      </c>
      <c r="P28" s="3" t="s">
        <v>203</v>
      </c>
      <c r="Q28" s="95"/>
    </row>
    <row r="29" spans="2:17" s="1" customFormat="1" ht="13" x14ac:dyDescent="0.25">
      <c r="B29" s="42">
        <f t="shared" ref="B29:C29" si="3">(B19-0.087161)/0.000473*4</f>
        <v>184.68498942917546</v>
      </c>
      <c r="C29" s="42">
        <f t="shared" si="3"/>
        <v>683.62790697674427</v>
      </c>
      <c r="D29" s="42">
        <f t="shared" si="2"/>
        <v>85356.651162790688</v>
      </c>
      <c r="F29" s="95"/>
      <c r="L29" s="2" t="s">
        <v>70</v>
      </c>
      <c r="M29" s="3" t="s">
        <v>52</v>
      </c>
      <c r="N29" s="95"/>
      <c r="O29" s="2" t="s">
        <v>70</v>
      </c>
      <c r="P29" s="3" t="s">
        <v>204</v>
      </c>
      <c r="Q29" s="95"/>
    </row>
    <row r="30" spans="2:17" s="95" customFormat="1" ht="12.5" x14ac:dyDescent="0.25">
      <c r="B30" s="101"/>
      <c r="C30" s="101"/>
      <c r="D30" s="101"/>
      <c r="E30" s="101"/>
      <c r="G30" s="101"/>
      <c r="H30" s="101"/>
      <c r="I30" s="101"/>
      <c r="J30" s="101"/>
      <c r="K30" s="101"/>
      <c r="L30" s="101"/>
    </row>
    <row r="31" spans="2:17" s="95" customFormat="1" ht="12.5" x14ac:dyDescent="0.25"/>
  </sheetData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F2F6-14B9-4BFA-9768-75F04F229A62}">
  <dimension ref="B2:M75"/>
  <sheetViews>
    <sheetView zoomScale="90" zoomScaleNormal="90" workbookViewId="0">
      <selection activeCell="N58" sqref="N58"/>
    </sheetView>
  </sheetViews>
  <sheetFormatPr defaultColWidth="8.58203125" defaultRowHeight="14" x14ac:dyDescent="0.3"/>
  <cols>
    <col min="1" max="1" width="8.58203125" style="73"/>
    <col min="2" max="2" width="17.58203125" style="73" customWidth="1"/>
    <col min="3" max="3" width="7.58203125" style="73" bestFit="1" customWidth="1"/>
    <col min="4" max="4" width="24.25" style="73" bestFit="1" customWidth="1"/>
    <col min="5" max="5" width="6.25" style="73" bestFit="1" customWidth="1"/>
    <col min="6" max="6" width="20" style="73" customWidth="1"/>
    <col min="7" max="7" width="16.58203125" style="73" bestFit="1" customWidth="1"/>
    <col min="8" max="8" width="8.58203125" style="73"/>
    <col min="9" max="9" width="32.5" style="73" bestFit="1" customWidth="1"/>
    <col min="10" max="10" width="21.58203125" style="73" bestFit="1" customWidth="1"/>
    <col min="11" max="11" width="19.08203125" style="73" bestFit="1" customWidth="1"/>
    <col min="12" max="12" width="9" style="73" bestFit="1" customWidth="1"/>
    <col min="13" max="16384" width="8.58203125" style="73"/>
  </cols>
  <sheetData>
    <row r="2" spans="2:13" s="322" customFormat="1" ht="16" x14ac:dyDescent="0.25">
      <c r="B2" s="321" t="s">
        <v>684</v>
      </c>
    </row>
    <row r="3" spans="2:13" s="322" customFormat="1" ht="12.75" customHeight="1" x14ac:dyDescent="0.25"/>
    <row r="4" spans="2:13" s="322" customFormat="1" ht="12.75" customHeight="1" x14ac:dyDescent="0.25">
      <c r="B4" s="322" t="s">
        <v>752</v>
      </c>
    </row>
    <row r="5" spans="2:13" s="322" customFormat="1" ht="12.75" customHeight="1" x14ac:dyDescent="0.25">
      <c r="B5" s="299"/>
      <c r="C5" s="299" t="s">
        <v>649</v>
      </c>
      <c r="D5" s="299" t="s">
        <v>650</v>
      </c>
      <c r="E5" s="299" t="s">
        <v>651</v>
      </c>
      <c r="F5" s="323" t="s">
        <v>1525</v>
      </c>
      <c r="G5" s="324" t="s">
        <v>652</v>
      </c>
      <c r="I5" s="325" t="s">
        <v>71</v>
      </c>
    </row>
    <row r="6" spans="2:13" s="322" customFormat="1" ht="12.75" customHeight="1" x14ac:dyDescent="0.45">
      <c r="B6" s="370" t="s">
        <v>759</v>
      </c>
      <c r="C6" s="333" t="s">
        <v>727</v>
      </c>
      <c r="D6" s="299" t="s">
        <v>728</v>
      </c>
      <c r="E6" s="299" t="s">
        <v>654</v>
      </c>
      <c r="F6" s="331">
        <v>4240000</v>
      </c>
      <c r="G6" s="332">
        <v>37664.763819444444</v>
      </c>
      <c r="M6" s="250"/>
    </row>
    <row r="7" spans="2:13" s="322" customFormat="1" ht="12.75" customHeight="1" x14ac:dyDescent="0.45">
      <c r="B7" s="370"/>
      <c r="C7" s="333" t="s">
        <v>127</v>
      </c>
      <c r="D7" s="299" t="s">
        <v>728</v>
      </c>
      <c r="E7" s="299" t="s">
        <v>655</v>
      </c>
      <c r="F7" s="331">
        <v>8543000</v>
      </c>
      <c r="G7" s="332">
        <v>37664.763819444444</v>
      </c>
      <c r="I7" s="2" t="s">
        <v>41</v>
      </c>
      <c r="J7" s="3"/>
      <c r="K7" s="3"/>
      <c r="L7" s="3"/>
      <c r="M7" s="250"/>
    </row>
    <row r="8" spans="2:13" s="322" customFormat="1" ht="12.75" customHeight="1" x14ac:dyDescent="0.45">
      <c r="B8" s="370"/>
      <c r="C8" s="333" t="s">
        <v>129</v>
      </c>
      <c r="D8" s="299" t="s">
        <v>728</v>
      </c>
      <c r="E8" s="299" t="s">
        <v>656</v>
      </c>
      <c r="F8" s="331">
        <v>6269000</v>
      </c>
      <c r="G8" s="332">
        <v>37664.763819444444</v>
      </c>
      <c r="I8" s="2"/>
      <c r="J8" s="3"/>
      <c r="K8" s="3"/>
      <c r="L8" s="3"/>
      <c r="M8" s="250"/>
    </row>
    <row r="9" spans="2:13" s="322" customFormat="1" ht="12.75" customHeight="1" x14ac:dyDescent="0.45">
      <c r="B9" s="370"/>
      <c r="C9" s="333" t="s">
        <v>130</v>
      </c>
      <c r="D9" s="299" t="s">
        <v>728</v>
      </c>
      <c r="E9" s="299" t="s">
        <v>657</v>
      </c>
      <c r="F9" s="331">
        <v>5338000</v>
      </c>
      <c r="G9" s="332">
        <v>37664.763819444444</v>
      </c>
      <c r="I9" s="2" t="s">
        <v>674</v>
      </c>
      <c r="J9" s="3"/>
      <c r="K9" s="3"/>
      <c r="L9" s="3"/>
      <c r="M9" s="250"/>
    </row>
    <row r="10" spans="2:13" s="322" customFormat="1" ht="12.75" customHeight="1" x14ac:dyDescent="0.45">
      <c r="B10" s="370"/>
      <c r="C10" s="333" t="s">
        <v>729</v>
      </c>
      <c r="D10" s="299" t="s">
        <v>728</v>
      </c>
      <c r="E10" s="299" t="s">
        <v>658</v>
      </c>
      <c r="F10" s="331">
        <v>7108000</v>
      </c>
      <c r="G10" s="332">
        <v>37664.763819444444</v>
      </c>
      <c r="I10" s="2" t="s">
        <v>47</v>
      </c>
      <c r="J10" s="3">
        <v>4.2000000000000003E-2</v>
      </c>
      <c r="K10" s="3"/>
      <c r="L10" s="3"/>
      <c r="M10" s="250"/>
    </row>
    <row r="11" spans="2:13" s="322" customFormat="1" ht="12.75" customHeight="1" x14ac:dyDescent="0.45">
      <c r="B11" s="370" t="s">
        <v>1529</v>
      </c>
      <c r="C11" s="333" t="s">
        <v>730</v>
      </c>
      <c r="D11" s="299" t="s">
        <v>731</v>
      </c>
      <c r="E11" s="299" t="s">
        <v>654</v>
      </c>
      <c r="F11" s="331">
        <v>164700</v>
      </c>
      <c r="G11" s="332">
        <v>37664.767569444448</v>
      </c>
      <c r="I11" s="2" t="s">
        <v>675</v>
      </c>
      <c r="J11" s="3" t="s">
        <v>676</v>
      </c>
      <c r="K11" s="3"/>
      <c r="L11" s="3"/>
      <c r="M11" s="250"/>
    </row>
    <row r="12" spans="2:13" s="322" customFormat="1" ht="12.75" customHeight="1" x14ac:dyDescent="0.45">
      <c r="B12" s="370"/>
      <c r="C12" s="333" t="s">
        <v>732</v>
      </c>
      <c r="D12" s="299" t="s">
        <v>731</v>
      </c>
      <c r="E12" s="299" t="s">
        <v>655</v>
      </c>
      <c r="F12" s="331">
        <v>1009000</v>
      </c>
      <c r="G12" s="332">
        <v>37664.767569444448</v>
      </c>
      <c r="I12" s="7" t="s">
        <v>49</v>
      </c>
      <c r="J12" s="8" t="s">
        <v>332</v>
      </c>
      <c r="K12" s="3"/>
      <c r="L12" s="3"/>
      <c r="M12" s="250"/>
    </row>
    <row r="13" spans="2:13" s="322" customFormat="1" ht="12.75" customHeight="1" x14ac:dyDescent="0.45">
      <c r="B13" s="370"/>
      <c r="C13" s="333" t="s">
        <v>733</v>
      </c>
      <c r="D13" s="299" t="s">
        <v>731</v>
      </c>
      <c r="E13" s="299" t="s">
        <v>656</v>
      </c>
      <c r="F13" s="331">
        <v>1792000</v>
      </c>
      <c r="G13" s="332">
        <v>37664.767569444448</v>
      </c>
      <c r="I13" s="2" t="s">
        <v>677</v>
      </c>
      <c r="J13" s="3" t="s">
        <v>52</v>
      </c>
      <c r="K13" s="3"/>
      <c r="L13" s="3"/>
      <c r="M13" s="250"/>
    </row>
    <row r="14" spans="2:13" s="322" customFormat="1" ht="12.75" customHeight="1" x14ac:dyDescent="0.45">
      <c r="B14" s="370"/>
      <c r="C14" s="333" t="s">
        <v>734</v>
      </c>
      <c r="D14" s="299" t="s">
        <v>731</v>
      </c>
      <c r="E14" s="299" t="s">
        <v>657</v>
      </c>
      <c r="F14" s="331">
        <v>1532000</v>
      </c>
      <c r="G14" s="332">
        <v>37664.767569444448</v>
      </c>
      <c r="I14" s="2" t="s">
        <v>403</v>
      </c>
      <c r="J14" s="3">
        <v>5</v>
      </c>
      <c r="K14" s="3"/>
      <c r="L14" s="3"/>
      <c r="M14" s="250"/>
    </row>
    <row r="15" spans="2:13" s="322" customFormat="1" ht="12.75" customHeight="1" x14ac:dyDescent="0.45">
      <c r="B15" s="370"/>
      <c r="C15" s="333" t="s">
        <v>735</v>
      </c>
      <c r="D15" s="299" t="s">
        <v>731</v>
      </c>
      <c r="E15" s="299" t="s">
        <v>658</v>
      </c>
      <c r="F15" s="331">
        <v>1552000</v>
      </c>
      <c r="G15" s="332">
        <v>37664.767569444448</v>
      </c>
      <c r="I15" s="2" t="s">
        <v>678</v>
      </c>
      <c r="J15" s="3">
        <v>9.9060000000000006</v>
      </c>
      <c r="K15" s="3"/>
      <c r="L15" s="3"/>
      <c r="M15" s="250"/>
    </row>
    <row r="16" spans="2:13" s="322" customFormat="1" ht="12.75" customHeight="1" x14ac:dyDescent="0.45">
      <c r="B16" s="370" t="s">
        <v>1530</v>
      </c>
      <c r="C16" s="333" t="s">
        <v>736</v>
      </c>
      <c r="D16" s="299" t="s">
        <v>737</v>
      </c>
      <c r="E16" s="299" t="s">
        <v>654</v>
      </c>
      <c r="F16" s="331">
        <v>8666000</v>
      </c>
      <c r="G16" s="332">
        <v>37664.774710648147</v>
      </c>
      <c r="I16" s="2"/>
      <c r="J16" s="3"/>
      <c r="K16" s="3"/>
      <c r="L16" s="3"/>
      <c r="M16" s="250"/>
    </row>
    <row r="17" spans="2:13" s="322" customFormat="1" ht="12.75" customHeight="1" x14ac:dyDescent="0.45">
      <c r="B17" s="370"/>
      <c r="C17" s="333" t="s">
        <v>738</v>
      </c>
      <c r="D17" s="299" t="s">
        <v>737</v>
      </c>
      <c r="E17" s="299" t="s">
        <v>655</v>
      </c>
      <c r="F17" s="331">
        <v>8900000</v>
      </c>
      <c r="G17" s="332">
        <v>37664.774710648147</v>
      </c>
      <c r="I17" s="2" t="s">
        <v>679</v>
      </c>
      <c r="J17" s="3" t="s">
        <v>680</v>
      </c>
      <c r="K17" s="3" t="s">
        <v>417</v>
      </c>
      <c r="L17" s="3" t="s">
        <v>418</v>
      </c>
      <c r="M17" s="250"/>
    </row>
    <row r="18" spans="2:13" s="322" customFormat="1" ht="12.75" customHeight="1" x14ac:dyDescent="0.45">
      <c r="B18" s="370"/>
      <c r="C18" s="333" t="s">
        <v>739</v>
      </c>
      <c r="D18" s="299" t="s">
        <v>737</v>
      </c>
      <c r="E18" s="299" t="s">
        <v>656</v>
      </c>
      <c r="F18" s="331">
        <v>6511000</v>
      </c>
      <c r="G18" s="332">
        <v>37664.774710648147</v>
      </c>
      <c r="I18" s="7" t="s">
        <v>681</v>
      </c>
      <c r="J18" s="8">
        <v>13</v>
      </c>
      <c r="K18" s="8" t="s">
        <v>52</v>
      </c>
      <c r="L18" s="8" t="s">
        <v>332</v>
      </c>
      <c r="M18" s="250"/>
    </row>
    <row r="19" spans="2:13" s="322" customFormat="1" ht="12.75" customHeight="1" x14ac:dyDescent="0.45">
      <c r="B19" s="370"/>
      <c r="C19" s="333" t="s">
        <v>740</v>
      </c>
      <c r="D19" s="299" t="s">
        <v>737</v>
      </c>
      <c r="E19" s="299" t="s">
        <v>657</v>
      </c>
      <c r="F19" s="331">
        <v>6396000</v>
      </c>
      <c r="G19" s="332">
        <v>37664.774710648147</v>
      </c>
      <c r="I19" s="2" t="s">
        <v>682</v>
      </c>
      <c r="J19" s="3">
        <v>-0.83330000000000004</v>
      </c>
      <c r="K19" s="3" t="s">
        <v>204</v>
      </c>
      <c r="L19" s="3" t="s">
        <v>203</v>
      </c>
      <c r="M19" s="250"/>
    </row>
    <row r="20" spans="2:13" s="322" customFormat="1" ht="12.75" customHeight="1" x14ac:dyDescent="0.45">
      <c r="B20" s="370"/>
      <c r="C20" s="333" t="s">
        <v>741</v>
      </c>
      <c r="D20" s="299" t="s">
        <v>737</v>
      </c>
      <c r="E20" s="299" t="s">
        <v>658</v>
      </c>
      <c r="F20" s="331">
        <v>4934000</v>
      </c>
      <c r="G20" s="332">
        <v>37664.774710648147</v>
      </c>
      <c r="I20" s="2" t="s">
        <v>683</v>
      </c>
      <c r="J20" s="3">
        <v>3.5</v>
      </c>
      <c r="K20" s="3" t="s">
        <v>204</v>
      </c>
      <c r="L20" s="3" t="s">
        <v>203</v>
      </c>
      <c r="M20" s="250"/>
    </row>
    <row r="21" spans="2:13" s="322" customFormat="1" ht="12.75" customHeight="1" x14ac:dyDescent="0.25">
      <c r="B21" s="370" t="s">
        <v>1531</v>
      </c>
      <c r="C21" s="333" t="s">
        <v>742</v>
      </c>
      <c r="D21" s="299" t="s">
        <v>743</v>
      </c>
      <c r="E21" s="299" t="s">
        <v>654</v>
      </c>
      <c r="F21" s="331">
        <v>1020000</v>
      </c>
      <c r="G21" s="332">
        <v>37664.778564814813</v>
      </c>
    </row>
    <row r="22" spans="2:13" s="322" customFormat="1" ht="12.75" customHeight="1" x14ac:dyDescent="0.25">
      <c r="B22" s="370"/>
      <c r="C22" s="333" t="s">
        <v>744</v>
      </c>
      <c r="D22" s="299" t="s">
        <v>743</v>
      </c>
      <c r="E22" s="299" t="s">
        <v>655</v>
      </c>
      <c r="F22" s="331">
        <v>936600</v>
      </c>
      <c r="G22" s="332">
        <v>37664.778564814813</v>
      </c>
      <c r="I22" s="322" t="s">
        <v>760</v>
      </c>
    </row>
    <row r="23" spans="2:13" s="322" customFormat="1" ht="12.75" customHeight="1" x14ac:dyDescent="0.45">
      <c r="B23" s="370"/>
      <c r="C23" s="333" t="s">
        <v>745</v>
      </c>
      <c r="D23" s="299" t="s">
        <v>743</v>
      </c>
      <c r="E23" s="299" t="s">
        <v>656</v>
      </c>
      <c r="F23" s="331">
        <v>349000</v>
      </c>
      <c r="G23" s="332">
        <v>37664.778564814813</v>
      </c>
      <c r="I23" s="2" t="s">
        <v>41</v>
      </c>
      <c r="J23" s="8" t="s">
        <v>425</v>
      </c>
      <c r="K23" s="3"/>
      <c r="L23" s="3"/>
      <c r="M23" s="250"/>
    </row>
    <row r="24" spans="2:13" s="322" customFormat="1" ht="12.75" customHeight="1" x14ac:dyDescent="0.45">
      <c r="B24" s="370"/>
      <c r="C24" s="333" t="s">
        <v>746</v>
      </c>
      <c r="D24" s="299" t="s">
        <v>743</v>
      </c>
      <c r="E24" s="299" t="s">
        <v>657</v>
      </c>
      <c r="F24" s="331">
        <v>477300</v>
      </c>
      <c r="G24" s="332">
        <v>37664.778564814813</v>
      </c>
      <c r="I24" s="2"/>
      <c r="J24" s="3"/>
      <c r="K24" s="3"/>
      <c r="L24" s="3"/>
      <c r="M24" s="250"/>
    </row>
    <row r="25" spans="2:13" s="322" customFormat="1" ht="12.75" customHeight="1" x14ac:dyDescent="0.45">
      <c r="B25" s="370"/>
      <c r="C25" s="333" t="s">
        <v>747</v>
      </c>
      <c r="D25" s="299" t="s">
        <v>743</v>
      </c>
      <c r="E25" s="299" t="s">
        <v>658</v>
      </c>
      <c r="F25" s="331">
        <v>1041000</v>
      </c>
      <c r="G25" s="332">
        <v>37664.778564814813</v>
      </c>
      <c r="I25" s="2" t="s">
        <v>674</v>
      </c>
      <c r="J25" s="3"/>
      <c r="K25" s="3"/>
      <c r="L25" s="3"/>
      <c r="M25" s="250"/>
    </row>
    <row r="26" spans="2:13" s="322" customFormat="1" ht="12.75" customHeight="1" x14ac:dyDescent="0.45">
      <c r="I26" s="7" t="s">
        <v>47</v>
      </c>
      <c r="J26" s="8">
        <v>1.9E-3</v>
      </c>
      <c r="K26" s="3"/>
      <c r="L26" s="3"/>
      <c r="M26" s="250"/>
    </row>
    <row r="27" spans="2:13" s="322" customFormat="1" ht="12.75" customHeight="1" x14ac:dyDescent="0.45">
      <c r="B27" s="322" t="s">
        <v>753</v>
      </c>
      <c r="I27" s="2" t="s">
        <v>675</v>
      </c>
      <c r="J27" s="3" t="s">
        <v>676</v>
      </c>
      <c r="K27" s="3"/>
      <c r="L27" s="3"/>
      <c r="M27" s="250"/>
    </row>
    <row r="28" spans="2:13" s="322" customFormat="1" ht="12.75" customHeight="1" x14ac:dyDescent="0.45">
      <c r="B28" s="299"/>
      <c r="C28" s="299" t="s">
        <v>649</v>
      </c>
      <c r="D28" s="299" t="s">
        <v>650</v>
      </c>
      <c r="E28" s="299" t="s">
        <v>651</v>
      </c>
      <c r="F28" s="323" t="s">
        <v>1525</v>
      </c>
      <c r="G28" s="324" t="s">
        <v>652</v>
      </c>
      <c r="I28" s="7" t="s">
        <v>49</v>
      </c>
      <c r="J28" s="8" t="s">
        <v>146</v>
      </c>
      <c r="K28" s="3"/>
      <c r="L28" s="3"/>
      <c r="M28" s="250"/>
    </row>
    <row r="29" spans="2:13" s="322" customFormat="1" ht="12.75" customHeight="1" x14ac:dyDescent="0.45">
      <c r="B29" s="370" t="s">
        <v>759</v>
      </c>
      <c r="C29" s="333" t="s">
        <v>727</v>
      </c>
      <c r="D29" s="299" t="s">
        <v>748</v>
      </c>
      <c r="E29" s="299" t="s">
        <v>654</v>
      </c>
      <c r="F29" s="331">
        <v>207700000</v>
      </c>
      <c r="G29" s="332">
        <v>37672.885150462964</v>
      </c>
      <c r="I29" s="2" t="s">
        <v>677</v>
      </c>
      <c r="J29" s="3" t="s">
        <v>52</v>
      </c>
      <c r="K29" s="3"/>
      <c r="L29" s="3"/>
      <c r="M29" s="250"/>
    </row>
    <row r="30" spans="2:13" s="322" customFormat="1" ht="12.75" customHeight="1" x14ac:dyDescent="0.45">
      <c r="B30" s="370"/>
      <c r="C30" s="333" t="s">
        <v>127</v>
      </c>
      <c r="D30" s="299" t="s">
        <v>748</v>
      </c>
      <c r="E30" s="299" t="s">
        <v>655</v>
      </c>
      <c r="F30" s="331">
        <v>473800000</v>
      </c>
      <c r="G30" s="332">
        <v>37672.885150462964</v>
      </c>
      <c r="I30" s="2" t="s">
        <v>403</v>
      </c>
      <c r="J30" s="3">
        <v>4</v>
      </c>
      <c r="K30" s="3"/>
      <c r="L30" s="3"/>
      <c r="M30" s="250"/>
    </row>
    <row r="31" spans="2:13" s="322" customFormat="1" ht="12.75" customHeight="1" x14ac:dyDescent="0.45">
      <c r="B31" s="370"/>
      <c r="C31" s="333" t="s">
        <v>129</v>
      </c>
      <c r="D31" s="299" t="s">
        <v>748</v>
      </c>
      <c r="E31" s="299" t="s">
        <v>656</v>
      </c>
      <c r="F31" s="331">
        <v>337700000</v>
      </c>
      <c r="G31" s="332">
        <v>37672.885150462964</v>
      </c>
      <c r="I31" s="2" t="s">
        <v>678</v>
      </c>
      <c r="J31" s="3">
        <v>14.86</v>
      </c>
      <c r="K31" s="3"/>
      <c r="L31" s="3"/>
      <c r="M31" s="250"/>
    </row>
    <row r="32" spans="2:13" s="322" customFormat="1" ht="12.75" customHeight="1" x14ac:dyDescent="0.45">
      <c r="B32" s="370"/>
      <c r="C32" s="333" t="s">
        <v>130</v>
      </c>
      <c r="D32" s="299" t="s">
        <v>748</v>
      </c>
      <c r="E32" s="299" t="s">
        <v>657</v>
      </c>
      <c r="F32" s="331">
        <v>347900000</v>
      </c>
      <c r="G32" s="332">
        <v>37672.885150462964</v>
      </c>
      <c r="I32" s="2"/>
      <c r="J32" s="3"/>
      <c r="K32" s="3"/>
      <c r="L32" s="3"/>
      <c r="M32" s="250"/>
    </row>
    <row r="33" spans="2:13" s="322" customFormat="1" ht="12.75" customHeight="1" x14ac:dyDescent="0.45">
      <c r="B33" s="370"/>
      <c r="C33" s="333" t="s">
        <v>729</v>
      </c>
      <c r="D33" s="299" t="s">
        <v>748</v>
      </c>
      <c r="E33" s="299" t="s">
        <v>658</v>
      </c>
      <c r="F33" s="331">
        <v>340300000</v>
      </c>
      <c r="G33" s="332">
        <v>37672.885150462964</v>
      </c>
      <c r="I33" s="2" t="s">
        <v>679</v>
      </c>
      <c r="J33" s="3" t="s">
        <v>680</v>
      </c>
      <c r="K33" s="3" t="s">
        <v>417</v>
      </c>
      <c r="L33" s="3" t="s">
        <v>418</v>
      </c>
      <c r="M33" s="250"/>
    </row>
    <row r="34" spans="2:13" s="322" customFormat="1" ht="12.75" customHeight="1" x14ac:dyDescent="0.45">
      <c r="B34" s="370" t="s">
        <v>1529</v>
      </c>
      <c r="C34" s="333" t="s">
        <v>730</v>
      </c>
      <c r="D34" s="299" t="s">
        <v>749</v>
      </c>
      <c r="E34" s="299" t="s">
        <v>654</v>
      </c>
      <c r="F34" s="331">
        <v>102600000</v>
      </c>
      <c r="G34" s="332">
        <v>37672.889016203706</v>
      </c>
      <c r="I34" s="7" t="s">
        <v>681</v>
      </c>
      <c r="J34" s="8">
        <v>10.199999999999999</v>
      </c>
      <c r="K34" s="8" t="s">
        <v>52</v>
      </c>
      <c r="L34" s="8" t="s">
        <v>332</v>
      </c>
      <c r="M34" s="250"/>
    </row>
    <row r="35" spans="2:13" s="322" customFormat="1" ht="12.75" customHeight="1" x14ac:dyDescent="0.45">
      <c r="B35" s="370"/>
      <c r="C35" s="333" t="s">
        <v>732</v>
      </c>
      <c r="D35" s="299" t="s">
        <v>749</v>
      </c>
      <c r="E35" s="299" t="s">
        <v>655</v>
      </c>
      <c r="F35" s="331">
        <v>78430000</v>
      </c>
      <c r="G35" s="332">
        <v>37672.889016203706</v>
      </c>
      <c r="I35" s="2" t="s">
        <v>682</v>
      </c>
      <c r="J35" s="3">
        <v>2.2000000000000002</v>
      </c>
      <c r="K35" s="3" t="s">
        <v>204</v>
      </c>
      <c r="L35" s="3" t="s">
        <v>203</v>
      </c>
      <c r="M35" s="250"/>
    </row>
    <row r="36" spans="2:13" s="322" customFormat="1" ht="12.75" customHeight="1" x14ac:dyDescent="0.45">
      <c r="B36" s="370"/>
      <c r="C36" s="333" t="s">
        <v>733</v>
      </c>
      <c r="D36" s="299" t="s">
        <v>749</v>
      </c>
      <c r="E36" s="299" t="s">
        <v>656</v>
      </c>
      <c r="F36" s="331">
        <v>110900000</v>
      </c>
      <c r="G36" s="332">
        <v>37672.889016203706</v>
      </c>
      <c r="I36" s="2" t="s">
        <v>683</v>
      </c>
      <c r="J36" s="3">
        <v>12</v>
      </c>
      <c r="K36" s="3" t="s">
        <v>52</v>
      </c>
      <c r="L36" s="3" t="s">
        <v>146</v>
      </c>
      <c r="M36" s="250"/>
    </row>
    <row r="37" spans="2:13" s="322" customFormat="1" ht="12.75" customHeight="1" x14ac:dyDescent="0.25">
      <c r="B37" s="370"/>
      <c r="C37" s="333" t="s">
        <v>734</v>
      </c>
      <c r="D37" s="299" t="s">
        <v>749</v>
      </c>
      <c r="E37" s="299" t="s">
        <v>657</v>
      </c>
      <c r="F37" s="331">
        <v>105700000</v>
      </c>
      <c r="G37" s="332">
        <v>37672.889016203706</v>
      </c>
    </row>
    <row r="38" spans="2:13" s="322" customFormat="1" ht="12.75" customHeight="1" x14ac:dyDescent="0.25">
      <c r="B38" s="370"/>
      <c r="C38" s="333" t="s">
        <v>735</v>
      </c>
      <c r="D38" s="299" t="s">
        <v>749</v>
      </c>
      <c r="E38" s="299" t="s">
        <v>658</v>
      </c>
      <c r="F38" s="331">
        <v>150400000</v>
      </c>
      <c r="G38" s="332">
        <v>37672.889016203706</v>
      </c>
      <c r="I38" s="322" t="s">
        <v>761</v>
      </c>
    </row>
    <row r="39" spans="2:13" s="322" customFormat="1" ht="12.75" customHeight="1" x14ac:dyDescent="0.45">
      <c r="B39" s="370" t="s">
        <v>1530</v>
      </c>
      <c r="C39" s="333" t="s">
        <v>736</v>
      </c>
      <c r="D39" s="299" t="s">
        <v>750</v>
      </c>
      <c r="E39" s="299" t="s">
        <v>654</v>
      </c>
      <c r="F39" s="331">
        <v>442400000</v>
      </c>
      <c r="G39" s="332">
        <v>37672.895462962966</v>
      </c>
      <c r="I39" s="2" t="s">
        <v>41</v>
      </c>
      <c r="J39" s="8" t="s">
        <v>763</v>
      </c>
      <c r="K39" s="3"/>
      <c r="L39" s="3"/>
      <c r="M39" s="250"/>
    </row>
    <row r="40" spans="2:13" s="322" customFormat="1" ht="12.75" customHeight="1" x14ac:dyDescent="0.45">
      <c r="B40" s="370"/>
      <c r="C40" s="333" t="s">
        <v>738</v>
      </c>
      <c r="D40" s="299" t="s">
        <v>750</v>
      </c>
      <c r="E40" s="299" t="s">
        <v>655</v>
      </c>
      <c r="F40" s="331">
        <v>390400000</v>
      </c>
      <c r="G40" s="332">
        <v>37672.895462962966</v>
      </c>
      <c r="I40" s="2"/>
      <c r="J40" s="3"/>
      <c r="K40" s="3"/>
      <c r="L40" s="3"/>
      <c r="M40" s="250"/>
    </row>
    <row r="41" spans="2:13" s="322" customFormat="1" ht="12.75" customHeight="1" x14ac:dyDescent="0.45">
      <c r="B41" s="370"/>
      <c r="C41" s="333" t="s">
        <v>739</v>
      </c>
      <c r="D41" s="299" t="s">
        <v>750</v>
      </c>
      <c r="E41" s="299" t="s">
        <v>656</v>
      </c>
      <c r="F41" s="331">
        <v>388100000</v>
      </c>
      <c r="G41" s="332">
        <v>37672.895462962966</v>
      </c>
      <c r="I41" s="2" t="s">
        <v>674</v>
      </c>
      <c r="J41" s="3"/>
      <c r="K41" s="3"/>
      <c r="L41" s="3"/>
      <c r="M41" s="250"/>
    </row>
    <row r="42" spans="2:13" s="322" customFormat="1" ht="12.75" customHeight="1" x14ac:dyDescent="0.45">
      <c r="B42" s="370"/>
      <c r="C42" s="333" t="s">
        <v>740</v>
      </c>
      <c r="D42" s="299" t="s">
        <v>750</v>
      </c>
      <c r="E42" s="299" t="s">
        <v>657</v>
      </c>
      <c r="F42" s="331">
        <v>419700000</v>
      </c>
      <c r="G42" s="332">
        <v>37672.895462962966</v>
      </c>
      <c r="I42" s="7" t="s">
        <v>47</v>
      </c>
      <c r="J42" s="8">
        <v>1E-3</v>
      </c>
      <c r="K42" s="3"/>
      <c r="L42" s="3"/>
      <c r="M42" s="250"/>
    </row>
    <row r="43" spans="2:13" s="322" customFormat="1" ht="12.75" customHeight="1" x14ac:dyDescent="0.45">
      <c r="B43" s="370"/>
      <c r="C43" s="333" t="s">
        <v>741</v>
      </c>
      <c r="D43" s="299" t="s">
        <v>750</v>
      </c>
      <c r="E43" s="299" t="s">
        <v>658</v>
      </c>
      <c r="F43" s="331">
        <v>303800000</v>
      </c>
      <c r="G43" s="332">
        <v>37672.895462962966</v>
      </c>
      <c r="I43" s="2" t="s">
        <v>675</v>
      </c>
      <c r="J43" s="3" t="s">
        <v>676</v>
      </c>
      <c r="K43" s="3"/>
      <c r="L43" s="3"/>
      <c r="M43" s="250"/>
    </row>
    <row r="44" spans="2:13" s="322" customFormat="1" ht="12.75" customHeight="1" x14ac:dyDescent="0.45">
      <c r="B44" s="370" t="s">
        <v>1531</v>
      </c>
      <c r="C44" s="333" t="s">
        <v>742</v>
      </c>
      <c r="D44" s="299" t="s">
        <v>751</v>
      </c>
      <c r="E44" s="299" t="s">
        <v>654</v>
      </c>
      <c r="F44" s="331">
        <v>6201000</v>
      </c>
      <c r="G44" s="332">
        <v>37672.899247685185</v>
      </c>
      <c r="I44" s="7" t="s">
        <v>49</v>
      </c>
      <c r="J44" s="8" t="s">
        <v>50</v>
      </c>
      <c r="K44" s="3"/>
      <c r="L44" s="3"/>
      <c r="M44" s="250"/>
    </row>
    <row r="45" spans="2:13" s="322" customFormat="1" ht="12.75" customHeight="1" x14ac:dyDescent="0.45">
      <c r="B45" s="370"/>
      <c r="C45" s="333" t="s">
        <v>744</v>
      </c>
      <c r="D45" s="299" t="s">
        <v>751</v>
      </c>
      <c r="E45" s="299" t="s">
        <v>655</v>
      </c>
      <c r="F45" s="331">
        <v>2754000</v>
      </c>
      <c r="G45" s="332">
        <v>37672.899247685185</v>
      </c>
      <c r="I45" s="2" t="s">
        <v>677</v>
      </c>
      <c r="J45" s="3" t="s">
        <v>52</v>
      </c>
      <c r="K45" s="3"/>
      <c r="L45" s="3"/>
      <c r="M45" s="250"/>
    </row>
    <row r="46" spans="2:13" s="322" customFormat="1" ht="12.75" customHeight="1" x14ac:dyDescent="0.45">
      <c r="B46" s="370"/>
      <c r="C46" s="333" t="s">
        <v>745</v>
      </c>
      <c r="D46" s="299" t="s">
        <v>751</v>
      </c>
      <c r="E46" s="299" t="s">
        <v>656</v>
      </c>
      <c r="F46" s="331">
        <v>4111000</v>
      </c>
      <c r="G46" s="332">
        <v>37672.899247685185</v>
      </c>
      <c r="I46" s="2" t="s">
        <v>403</v>
      </c>
      <c r="J46" s="3">
        <v>4</v>
      </c>
      <c r="K46" s="3"/>
      <c r="L46" s="3"/>
      <c r="M46" s="250"/>
    </row>
    <row r="47" spans="2:13" s="322" customFormat="1" ht="12.75" customHeight="1" x14ac:dyDescent="0.45">
      <c r="B47" s="370"/>
      <c r="C47" s="333" t="s">
        <v>746</v>
      </c>
      <c r="D47" s="299" t="s">
        <v>751</v>
      </c>
      <c r="E47" s="299" t="s">
        <v>657</v>
      </c>
      <c r="F47" s="331">
        <v>5423000</v>
      </c>
      <c r="G47" s="332">
        <v>37672.899247685185</v>
      </c>
      <c r="I47" s="2" t="s">
        <v>678</v>
      </c>
      <c r="J47" s="3">
        <v>16.3</v>
      </c>
      <c r="K47" s="3"/>
      <c r="L47" s="3"/>
      <c r="M47" s="250"/>
    </row>
    <row r="48" spans="2:13" s="322" customFormat="1" ht="12.75" customHeight="1" x14ac:dyDescent="0.45">
      <c r="B48" s="370"/>
      <c r="C48" s="333" t="s">
        <v>747</v>
      </c>
      <c r="D48" s="299" t="s">
        <v>751</v>
      </c>
      <c r="E48" s="299" t="s">
        <v>658</v>
      </c>
      <c r="F48" s="331">
        <v>2291000</v>
      </c>
      <c r="G48" s="332">
        <v>37672.899247685185</v>
      </c>
      <c r="I48" s="2"/>
      <c r="J48" s="3"/>
      <c r="K48" s="3"/>
      <c r="L48" s="3"/>
      <c r="M48" s="250"/>
    </row>
    <row r="49" spans="2:13" s="322" customFormat="1" ht="12.75" customHeight="1" x14ac:dyDescent="0.45">
      <c r="I49" s="2" t="s">
        <v>679</v>
      </c>
      <c r="J49" s="3" t="s">
        <v>680</v>
      </c>
      <c r="K49" s="3" t="s">
        <v>417</v>
      </c>
      <c r="L49" s="3" t="s">
        <v>418</v>
      </c>
      <c r="M49" s="250"/>
    </row>
    <row r="50" spans="2:13" s="322" customFormat="1" ht="12.75" customHeight="1" x14ac:dyDescent="0.45">
      <c r="B50" s="322" t="s">
        <v>758</v>
      </c>
      <c r="I50" s="7" t="s">
        <v>681</v>
      </c>
      <c r="J50" s="8">
        <v>11.6</v>
      </c>
      <c r="K50" s="8" t="s">
        <v>52</v>
      </c>
      <c r="L50" s="8" t="s">
        <v>146</v>
      </c>
      <c r="M50" s="250"/>
    </row>
    <row r="51" spans="2:13" s="322" customFormat="1" ht="12.75" customHeight="1" x14ac:dyDescent="0.45">
      <c r="B51" s="299"/>
      <c r="C51" s="299" t="s">
        <v>649</v>
      </c>
      <c r="D51" s="299" t="s">
        <v>650</v>
      </c>
      <c r="E51" s="299" t="s">
        <v>651</v>
      </c>
      <c r="F51" s="323" t="s">
        <v>1525</v>
      </c>
      <c r="G51" s="324" t="s">
        <v>652</v>
      </c>
      <c r="I51" s="2" t="s">
        <v>682</v>
      </c>
      <c r="J51" s="3">
        <v>5</v>
      </c>
      <c r="K51" s="3" t="s">
        <v>204</v>
      </c>
      <c r="L51" s="3" t="s">
        <v>203</v>
      </c>
      <c r="M51" s="250"/>
    </row>
    <row r="52" spans="2:13" s="322" customFormat="1" ht="12.75" customHeight="1" x14ac:dyDescent="0.45">
      <c r="B52" s="370" t="s">
        <v>759</v>
      </c>
      <c r="C52" s="333" t="s">
        <v>727</v>
      </c>
      <c r="D52" s="299" t="s">
        <v>754</v>
      </c>
      <c r="E52" s="299" t="s">
        <v>654</v>
      </c>
      <c r="F52" s="331">
        <v>1317000000</v>
      </c>
      <c r="G52" s="332">
        <v>37679.834756944445</v>
      </c>
      <c r="I52" s="2" t="s">
        <v>683</v>
      </c>
      <c r="J52" s="3">
        <v>13.4</v>
      </c>
      <c r="K52" s="3" t="s">
        <v>52</v>
      </c>
      <c r="L52" s="3" t="s">
        <v>146</v>
      </c>
      <c r="M52" s="250"/>
    </row>
    <row r="53" spans="2:13" s="322" customFormat="1" ht="12.75" customHeight="1" x14ac:dyDescent="0.25">
      <c r="B53" s="370"/>
      <c r="C53" s="333" t="s">
        <v>127</v>
      </c>
      <c r="D53" s="299" t="s">
        <v>754</v>
      </c>
      <c r="E53" s="299" t="s">
        <v>655</v>
      </c>
      <c r="F53" s="331">
        <v>2193000000</v>
      </c>
      <c r="G53" s="332">
        <v>37679.834756944445</v>
      </c>
    </row>
    <row r="54" spans="2:13" s="322" customFormat="1" ht="12.75" customHeight="1" x14ac:dyDescent="0.25">
      <c r="B54" s="370"/>
      <c r="C54" s="333" t="s">
        <v>129</v>
      </c>
      <c r="D54" s="299" t="s">
        <v>754</v>
      </c>
      <c r="E54" s="299" t="s">
        <v>656</v>
      </c>
      <c r="F54" s="331">
        <v>1949000000</v>
      </c>
      <c r="G54" s="332">
        <v>37679.834756944445</v>
      </c>
      <c r="I54" s="322" t="s">
        <v>762</v>
      </c>
    </row>
    <row r="55" spans="2:13" s="322" customFormat="1" ht="12.75" customHeight="1" x14ac:dyDescent="0.45">
      <c r="B55" s="370"/>
      <c r="C55" s="333" t="s">
        <v>130</v>
      </c>
      <c r="D55" s="299" t="s">
        <v>754</v>
      </c>
      <c r="E55" s="299" t="s">
        <v>657</v>
      </c>
      <c r="F55" s="331">
        <v>1838000000</v>
      </c>
      <c r="G55" s="332">
        <v>37679.834756944445</v>
      </c>
      <c r="I55" s="2" t="s">
        <v>41</v>
      </c>
      <c r="J55" s="8" t="s">
        <v>764</v>
      </c>
      <c r="K55" s="3"/>
      <c r="L55" s="3"/>
      <c r="M55" s="250"/>
    </row>
    <row r="56" spans="2:13" s="322" customFormat="1" ht="12.75" customHeight="1" x14ac:dyDescent="0.45">
      <c r="B56" s="370"/>
      <c r="C56" s="333" t="s">
        <v>729</v>
      </c>
      <c r="D56" s="299" t="s">
        <v>754</v>
      </c>
      <c r="E56" s="299" t="s">
        <v>658</v>
      </c>
      <c r="F56" s="331">
        <v>1574000000</v>
      </c>
      <c r="G56" s="332">
        <v>37679.834756944445</v>
      </c>
      <c r="I56" s="2"/>
      <c r="J56" s="3"/>
      <c r="K56" s="3"/>
      <c r="L56" s="3"/>
      <c r="M56" s="250"/>
    </row>
    <row r="57" spans="2:13" s="322" customFormat="1" ht="12.75" customHeight="1" x14ac:dyDescent="0.45">
      <c r="B57" s="370" t="s">
        <v>1529</v>
      </c>
      <c r="C57" s="333" t="s">
        <v>730</v>
      </c>
      <c r="D57" s="299" t="s">
        <v>755</v>
      </c>
      <c r="E57" s="299" t="s">
        <v>654</v>
      </c>
      <c r="F57" s="331">
        <v>1686000000</v>
      </c>
      <c r="G57" s="332">
        <v>37679.838599537034</v>
      </c>
      <c r="I57" s="2" t="s">
        <v>674</v>
      </c>
      <c r="J57" s="3"/>
      <c r="K57" s="3"/>
      <c r="L57" s="3"/>
      <c r="M57" s="250"/>
    </row>
    <row r="58" spans="2:13" s="322" customFormat="1" ht="12.75" customHeight="1" x14ac:dyDescent="0.45">
      <c r="B58" s="370"/>
      <c r="C58" s="333" t="s">
        <v>732</v>
      </c>
      <c r="D58" s="299" t="s">
        <v>755</v>
      </c>
      <c r="E58" s="299" t="s">
        <v>655</v>
      </c>
      <c r="F58" s="331">
        <v>1576000000</v>
      </c>
      <c r="G58" s="332">
        <v>37679.838599537034</v>
      </c>
      <c r="I58" s="7" t="s">
        <v>47</v>
      </c>
      <c r="J58" s="8">
        <v>2.5000000000000001E-3</v>
      </c>
      <c r="K58" s="3"/>
      <c r="L58" s="3"/>
      <c r="M58" s="250"/>
    </row>
    <row r="59" spans="2:13" s="322" customFormat="1" ht="12.75" customHeight="1" x14ac:dyDescent="0.45">
      <c r="B59" s="370"/>
      <c r="C59" s="333" t="s">
        <v>733</v>
      </c>
      <c r="D59" s="299" t="s">
        <v>755</v>
      </c>
      <c r="E59" s="299" t="s">
        <v>656</v>
      </c>
      <c r="F59" s="331">
        <v>157900000</v>
      </c>
      <c r="G59" s="332">
        <v>37679.838599537034</v>
      </c>
      <c r="I59" s="2" t="s">
        <v>675</v>
      </c>
      <c r="J59" s="3" t="s">
        <v>676</v>
      </c>
      <c r="K59" s="3"/>
      <c r="L59" s="3"/>
      <c r="M59" s="250"/>
    </row>
    <row r="60" spans="2:13" s="322" customFormat="1" ht="12.75" customHeight="1" x14ac:dyDescent="0.45">
      <c r="B60" s="370"/>
      <c r="C60" s="333" t="s">
        <v>734</v>
      </c>
      <c r="D60" s="299" t="s">
        <v>755</v>
      </c>
      <c r="E60" s="299" t="s">
        <v>657</v>
      </c>
      <c r="F60" s="331">
        <v>1031000000</v>
      </c>
      <c r="G60" s="332">
        <v>37679.838599537034</v>
      </c>
      <c r="I60" s="7" t="s">
        <v>49</v>
      </c>
      <c r="J60" s="8" t="s">
        <v>146</v>
      </c>
      <c r="K60" s="3"/>
      <c r="L60" s="3"/>
      <c r="M60" s="250"/>
    </row>
    <row r="61" spans="2:13" s="322" customFormat="1" ht="12.75" customHeight="1" x14ac:dyDescent="0.45">
      <c r="B61" s="370"/>
      <c r="C61" s="333" t="s">
        <v>735</v>
      </c>
      <c r="D61" s="299" t="s">
        <v>755</v>
      </c>
      <c r="E61" s="299" t="s">
        <v>658</v>
      </c>
      <c r="F61" s="331">
        <v>2982000000</v>
      </c>
      <c r="G61" s="332">
        <v>37679.838599537034</v>
      </c>
      <c r="I61" s="2" t="s">
        <v>677</v>
      </c>
      <c r="J61" s="3" t="s">
        <v>52</v>
      </c>
      <c r="K61" s="3"/>
      <c r="L61" s="3"/>
      <c r="M61" s="250"/>
    </row>
    <row r="62" spans="2:13" s="322" customFormat="1" ht="12.75" customHeight="1" x14ac:dyDescent="0.45">
      <c r="B62" s="370" t="s">
        <v>1530</v>
      </c>
      <c r="C62" s="333" t="s">
        <v>736</v>
      </c>
      <c r="D62" s="299" t="s">
        <v>756</v>
      </c>
      <c r="E62" s="299" t="s">
        <v>654</v>
      </c>
      <c r="F62" s="331">
        <v>771500000</v>
      </c>
      <c r="G62" s="332">
        <v>37679.845000000001</v>
      </c>
      <c r="I62" s="2" t="s">
        <v>403</v>
      </c>
      <c r="J62" s="3">
        <v>4</v>
      </c>
      <c r="K62" s="3"/>
      <c r="L62" s="3"/>
      <c r="M62" s="250"/>
    </row>
    <row r="63" spans="2:13" s="322" customFormat="1" ht="12.75" customHeight="1" x14ac:dyDescent="0.45">
      <c r="B63" s="370"/>
      <c r="C63" s="333" t="s">
        <v>738</v>
      </c>
      <c r="D63" s="299" t="s">
        <v>756</v>
      </c>
      <c r="E63" s="299" t="s">
        <v>655</v>
      </c>
      <c r="F63" s="331">
        <v>825200000</v>
      </c>
      <c r="G63" s="332">
        <v>37679.845000000001</v>
      </c>
      <c r="I63" s="2" t="s">
        <v>678</v>
      </c>
      <c r="J63" s="3">
        <v>14.29</v>
      </c>
      <c r="K63" s="3"/>
      <c r="L63" s="3"/>
      <c r="M63" s="250"/>
    </row>
    <row r="64" spans="2:13" s="322" customFormat="1" ht="12.75" customHeight="1" x14ac:dyDescent="0.45">
      <c r="B64" s="370"/>
      <c r="C64" s="333" t="s">
        <v>739</v>
      </c>
      <c r="D64" s="299" t="s">
        <v>756</v>
      </c>
      <c r="E64" s="299" t="s">
        <v>656</v>
      </c>
      <c r="F64" s="331">
        <v>1185000000</v>
      </c>
      <c r="G64" s="332">
        <v>37679.845000000001</v>
      </c>
      <c r="I64" s="2"/>
      <c r="J64" s="3"/>
      <c r="K64" s="3"/>
      <c r="L64" s="3"/>
      <c r="M64" s="250"/>
    </row>
    <row r="65" spans="2:13" s="322" customFormat="1" ht="12.75" customHeight="1" x14ac:dyDescent="0.45">
      <c r="B65" s="370"/>
      <c r="C65" s="333" t="s">
        <v>740</v>
      </c>
      <c r="D65" s="299" t="s">
        <v>756</v>
      </c>
      <c r="E65" s="299" t="s">
        <v>657</v>
      </c>
      <c r="F65" s="331">
        <v>762900000</v>
      </c>
      <c r="G65" s="332">
        <v>37679.845000000001</v>
      </c>
      <c r="I65" s="2" t="s">
        <v>679</v>
      </c>
      <c r="J65" s="3" t="s">
        <v>680</v>
      </c>
      <c r="K65" s="3" t="s">
        <v>417</v>
      </c>
      <c r="L65" s="3" t="s">
        <v>418</v>
      </c>
      <c r="M65" s="250"/>
    </row>
    <row r="66" spans="2:13" s="322" customFormat="1" ht="12.75" customHeight="1" x14ac:dyDescent="0.45">
      <c r="B66" s="370"/>
      <c r="C66" s="333" t="s">
        <v>741</v>
      </c>
      <c r="D66" s="299" t="s">
        <v>756</v>
      </c>
      <c r="E66" s="299" t="s">
        <v>658</v>
      </c>
      <c r="F66" s="331">
        <v>974700000</v>
      </c>
      <c r="G66" s="332">
        <v>37679.845000000001</v>
      </c>
      <c r="I66" s="7" t="s">
        <v>681</v>
      </c>
      <c r="J66" s="8">
        <v>13.2</v>
      </c>
      <c r="K66" s="8" t="s">
        <v>52</v>
      </c>
      <c r="L66" s="8" t="s">
        <v>146</v>
      </c>
      <c r="M66" s="250"/>
    </row>
    <row r="67" spans="2:13" s="322" customFormat="1" ht="12.75" customHeight="1" x14ac:dyDescent="0.45">
      <c r="B67" s="370" t="s">
        <v>1531</v>
      </c>
      <c r="C67" s="333" t="s">
        <v>742</v>
      </c>
      <c r="D67" s="299" t="s">
        <v>757</v>
      </c>
      <c r="E67" s="299" t="s">
        <v>654</v>
      </c>
      <c r="F67" s="331">
        <v>12180000</v>
      </c>
      <c r="G67" s="332">
        <v>37679.849212962959</v>
      </c>
      <c r="I67" s="2" t="s">
        <v>682</v>
      </c>
      <c r="J67" s="3">
        <v>10.6</v>
      </c>
      <c r="K67" s="3" t="s">
        <v>52</v>
      </c>
      <c r="L67" s="3" t="s">
        <v>332</v>
      </c>
      <c r="M67" s="250"/>
    </row>
    <row r="68" spans="2:13" s="322" customFormat="1" ht="12.75" customHeight="1" x14ac:dyDescent="0.45">
      <c r="B68" s="370"/>
      <c r="C68" s="333" t="s">
        <v>744</v>
      </c>
      <c r="D68" s="299" t="s">
        <v>757</v>
      </c>
      <c r="E68" s="299" t="s">
        <v>655</v>
      </c>
      <c r="F68" s="331">
        <v>10690000</v>
      </c>
      <c r="G68" s="332">
        <v>37679.849212962959</v>
      </c>
      <c r="I68" s="2" t="s">
        <v>683</v>
      </c>
      <c r="J68" s="3">
        <v>6.2</v>
      </c>
      <c r="K68" s="3" t="s">
        <v>204</v>
      </c>
      <c r="L68" s="3" t="s">
        <v>203</v>
      </c>
      <c r="M68" s="250"/>
    </row>
    <row r="69" spans="2:13" s="322" customFormat="1" ht="12.75" customHeight="1" x14ac:dyDescent="0.25">
      <c r="B69" s="370"/>
      <c r="C69" s="333" t="s">
        <v>745</v>
      </c>
      <c r="D69" s="299" t="s">
        <v>757</v>
      </c>
      <c r="E69" s="299" t="s">
        <v>656</v>
      </c>
      <c r="F69" s="331">
        <v>2081000</v>
      </c>
      <c r="G69" s="332">
        <v>37679.849212962959</v>
      </c>
    </row>
    <row r="70" spans="2:13" s="322" customFormat="1" ht="12.75" customHeight="1" x14ac:dyDescent="0.25">
      <c r="B70" s="370"/>
      <c r="C70" s="333" t="s">
        <v>746</v>
      </c>
      <c r="D70" s="299" t="s">
        <v>757</v>
      </c>
      <c r="E70" s="299" t="s">
        <v>657</v>
      </c>
      <c r="F70" s="331">
        <v>3737000</v>
      </c>
      <c r="G70" s="332">
        <v>37679.849212962959</v>
      </c>
    </row>
    <row r="71" spans="2:13" s="322" customFormat="1" ht="12.75" customHeight="1" x14ac:dyDescent="0.25">
      <c r="B71" s="370"/>
      <c r="C71" s="333" t="s">
        <v>747</v>
      </c>
      <c r="D71" s="299" t="s">
        <v>757</v>
      </c>
      <c r="E71" s="299" t="s">
        <v>658</v>
      </c>
      <c r="F71" s="331">
        <v>2661000</v>
      </c>
      <c r="G71" s="332">
        <v>37679.849212962959</v>
      </c>
    </row>
    <row r="72" spans="2:13" s="322" customFormat="1" ht="12.75" customHeight="1" x14ac:dyDescent="0.25"/>
    <row r="73" spans="2:13" s="322" customFormat="1" ht="12.75" customHeight="1" x14ac:dyDescent="0.25"/>
    <row r="74" spans="2:13" s="322" customFormat="1" ht="12.75" customHeight="1" x14ac:dyDescent="0.25"/>
    <row r="75" spans="2:13" s="322" customFormat="1" ht="12.75" customHeight="1" x14ac:dyDescent="0.25"/>
  </sheetData>
  <mergeCells count="12">
    <mergeCell ref="B67:B71"/>
    <mergeCell ref="B6:B10"/>
    <mergeCell ref="B11:B15"/>
    <mergeCell ref="B16:B20"/>
    <mergeCell ref="B21:B25"/>
    <mergeCell ref="B29:B33"/>
    <mergeCell ref="B34:B38"/>
    <mergeCell ref="B39:B43"/>
    <mergeCell ref="B44:B48"/>
    <mergeCell ref="B52:B56"/>
    <mergeCell ref="B57:B61"/>
    <mergeCell ref="B62:B66"/>
  </mergeCells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CEF0C-4F2A-41D7-8C51-CAB14F7DF6E2}">
  <dimension ref="B2:X85"/>
  <sheetViews>
    <sheetView zoomScale="90" zoomScaleNormal="90" workbookViewId="0">
      <selection activeCell="M38" sqref="M38"/>
    </sheetView>
  </sheetViews>
  <sheetFormatPr defaultColWidth="9" defaultRowHeight="14" x14ac:dyDescent="0.45"/>
  <cols>
    <col min="1" max="1" width="6.25" style="14" customWidth="1"/>
    <col min="2" max="2" width="6.58203125" style="14" customWidth="1"/>
    <col min="3" max="3" width="9" style="13"/>
    <col min="4" max="4" width="13.58203125" style="23" customWidth="1"/>
    <col min="5" max="5" width="8.83203125" style="14" customWidth="1"/>
    <col min="6" max="6" width="11.25" style="14" bestFit="1" customWidth="1"/>
    <col min="7" max="7" width="16" style="14" bestFit="1" customWidth="1"/>
    <col min="8" max="8" width="24.5" style="14" customWidth="1"/>
    <col min="9" max="9" width="8.08203125" style="14" customWidth="1"/>
    <col min="10" max="10" width="16.5" style="14" bestFit="1" customWidth="1"/>
    <col min="11" max="11" width="24.5" style="14" customWidth="1"/>
    <col min="12" max="12" width="8.08203125" style="14" customWidth="1"/>
    <col min="13" max="13" width="13.25" style="14" bestFit="1" customWidth="1"/>
    <col min="14" max="14" width="23.58203125" style="14" customWidth="1"/>
    <col min="15" max="15" width="8.33203125" style="14" customWidth="1"/>
    <col min="16" max="16" width="3.25" style="14" customWidth="1"/>
    <col min="17" max="17" width="15.75" style="14" customWidth="1"/>
    <col min="18" max="18" width="7" style="14" customWidth="1"/>
    <col min="19" max="19" width="32.75" style="14" bestFit="1" customWidth="1"/>
    <col min="20" max="20" width="17.75" style="14" bestFit="1" customWidth="1"/>
    <col min="21" max="21" width="4.5" style="14" customWidth="1"/>
    <col min="22" max="22" width="32.75" style="14" bestFit="1" customWidth="1"/>
    <col min="23" max="23" width="17.25" style="14" bestFit="1" customWidth="1"/>
    <col min="24" max="16384" width="9" style="14"/>
  </cols>
  <sheetData>
    <row r="2" spans="2:24" s="101" customFormat="1" ht="13" x14ac:dyDescent="0.45">
      <c r="C2" s="13"/>
      <c r="D2" s="13"/>
      <c r="L2" s="13"/>
      <c r="O2" s="13"/>
    </row>
    <row r="3" spans="2:24" s="101" customFormat="1" ht="13" x14ac:dyDescent="0.45">
      <c r="C3" s="24" t="s">
        <v>1396</v>
      </c>
      <c r="E3" s="24"/>
      <c r="F3" s="24"/>
    </row>
    <row r="4" spans="2:24" s="101" customFormat="1" ht="13" x14ac:dyDescent="0.45">
      <c r="C4" s="13"/>
      <c r="D4" s="13"/>
    </row>
    <row r="5" spans="2:24" s="102" customFormat="1" ht="13" x14ac:dyDescent="0.45">
      <c r="C5" s="13"/>
      <c r="D5" s="13"/>
      <c r="E5" s="13" t="s">
        <v>765</v>
      </c>
      <c r="F5" s="13" t="s">
        <v>3</v>
      </c>
      <c r="G5" s="13" t="s">
        <v>766</v>
      </c>
      <c r="H5" s="13" t="s">
        <v>794</v>
      </c>
      <c r="I5" s="13" t="s">
        <v>5</v>
      </c>
      <c r="J5" s="13" t="s">
        <v>767</v>
      </c>
      <c r="K5" s="13" t="s">
        <v>795</v>
      </c>
      <c r="L5" s="13" t="s">
        <v>5</v>
      </c>
      <c r="M5" s="13" t="s">
        <v>768</v>
      </c>
      <c r="N5" s="13" t="s">
        <v>796</v>
      </c>
      <c r="O5" s="13" t="s">
        <v>5</v>
      </c>
    </row>
    <row r="6" spans="2:24" s="102" customFormat="1" ht="13" x14ac:dyDescent="0.45">
      <c r="B6" s="104"/>
      <c r="C6" s="19"/>
      <c r="D6" s="19"/>
      <c r="E6" s="19" t="s">
        <v>769</v>
      </c>
      <c r="F6" s="19"/>
      <c r="G6" s="19" t="s">
        <v>770</v>
      </c>
      <c r="H6" s="19" t="s">
        <v>797</v>
      </c>
      <c r="I6" s="104"/>
      <c r="J6" s="74" t="s">
        <v>771</v>
      </c>
      <c r="K6" s="19" t="s">
        <v>797</v>
      </c>
      <c r="L6" s="104"/>
      <c r="M6" s="75" t="s">
        <v>772</v>
      </c>
      <c r="N6" s="19" t="s">
        <v>797</v>
      </c>
      <c r="O6" s="104"/>
    </row>
    <row r="7" spans="2:24" s="101" customFormat="1" ht="13" x14ac:dyDescent="0.3">
      <c r="B7" s="373" t="s">
        <v>773</v>
      </c>
      <c r="C7" s="17"/>
      <c r="D7" s="236"/>
      <c r="E7" s="105" t="s">
        <v>774</v>
      </c>
      <c r="F7" s="106">
        <v>996</v>
      </c>
      <c r="G7" s="156">
        <v>8965</v>
      </c>
      <c r="H7" s="229">
        <f>10000*G7/F7</f>
        <v>90010.040160642573</v>
      </c>
      <c r="I7" s="336">
        <f>H7/90010*100</f>
        <v>100.00004461797865</v>
      </c>
      <c r="J7" s="106">
        <v>5838</v>
      </c>
      <c r="K7" s="108">
        <f t="shared" ref="K7:K24" si="0">10000*J7/F7</f>
        <v>58614.457831325301</v>
      </c>
      <c r="L7" s="229">
        <f>K7/58614*100</f>
        <v>100.00078109551525</v>
      </c>
      <c r="M7" s="156">
        <v>5732</v>
      </c>
      <c r="N7" s="229">
        <f t="shared" ref="N7:N24" si="1">10000*M7/F7</f>
        <v>57550.200803212851</v>
      </c>
      <c r="O7" s="339">
        <f>N7/57550*100</f>
        <v>100.00034891957054</v>
      </c>
      <c r="S7" s="103" t="s">
        <v>71</v>
      </c>
    </row>
    <row r="8" spans="2:24" s="101" customFormat="1" ht="13" x14ac:dyDescent="0.45">
      <c r="B8" s="351"/>
      <c r="C8" s="68" t="s">
        <v>7</v>
      </c>
      <c r="D8" s="244" t="s">
        <v>568</v>
      </c>
      <c r="E8" s="112" t="s">
        <v>775</v>
      </c>
      <c r="F8" s="101">
        <v>999</v>
      </c>
      <c r="G8" s="162">
        <v>10350</v>
      </c>
      <c r="H8" s="231">
        <f t="shared" ref="H8:H12" si="2">10000*G8/F8</f>
        <v>103603.60360360361</v>
      </c>
      <c r="I8" s="337">
        <f t="shared" ref="I8:I12" si="3">H8/90010*100</f>
        <v>115.10232596778536</v>
      </c>
      <c r="J8" s="101">
        <v>6554</v>
      </c>
      <c r="K8" s="114">
        <f t="shared" si="0"/>
        <v>65605.605605605611</v>
      </c>
      <c r="L8" s="231">
        <f t="shared" ref="L8:L12" si="4">K8/58614*100</f>
        <v>111.9282178414809</v>
      </c>
      <c r="M8" s="162">
        <v>6025</v>
      </c>
      <c r="N8" s="231">
        <f t="shared" si="1"/>
        <v>60310.310310310313</v>
      </c>
      <c r="O8" s="340">
        <f t="shared" ref="O8:O12" si="5">N8/57550*100</f>
        <v>104.79636891452704</v>
      </c>
    </row>
    <row r="9" spans="2:24" s="101" customFormat="1" ht="13" x14ac:dyDescent="0.25">
      <c r="B9" s="351"/>
      <c r="C9" s="68" t="s">
        <v>776</v>
      </c>
      <c r="D9" s="13" t="s">
        <v>16</v>
      </c>
      <c r="E9" s="112" t="s">
        <v>777</v>
      </c>
      <c r="F9" s="101">
        <v>997</v>
      </c>
      <c r="G9" s="162">
        <v>11102</v>
      </c>
      <c r="H9" s="231">
        <f t="shared" si="2"/>
        <v>111354.06218655968</v>
      </c>
      <c r="I9" s="337">
        <f t="shared" si="3"/>
        <v>123.7129898750802</v>
      </c>
      <c r="J9" s="101">
        <v>6915</v>
      </c>
      <c r="K9" s="114">
        <f t="shared" si="0"/>
        <v>69358.074222668001</v>
      </c>
      <c r="L9" s="231">
        <f t="shared" si="4"/>
        <v>118.3302184165353</v>
      </c>
      <c r="M9" s="162">
        <v>4257</v>
      </c>
      <c r="N9" s="231">
        <f t="shared" si="1"/>
        <v>42698.094282848542</v>
      </c>
      <c r="O9" s="340">
        <f t="shared" si="5"/>
        <v>74.193039587921021</v>
      </c>
      <c r="S9" s="2" t="s">
        <v>41</v>
      </c>
      <c r="T9" s="3" t="s">
        <v>42</v>
      </c>
      <c r="U9" s="95"/>
      <c r="V9" s="2" t="s">
        <v>41</v>
      </c>
      <c r="W9" s="3" t="s">
        <v>42</v>
      </c>
      <c r="X9" s="95"/>
    </row>
    <row r="10" spans="2:24" s="101" customFormat="1" ht="13" x14ac:dyDescent="0.3">
      <c r="B10" s="351"/>
      <c r="C10" s="371" t="s">
        <v>778</v>
      </c>
      <c r="D10" s="372" t="s">
        <v>786</v>
      </c>
      <c r="E10" s="112" t="s">
        <v>779</v>
      </c>
      <c r="F10" s="101">
        <v>998</v>
      </c>
      <c r="G10" s="162">
        <v>11948</v>
      </c>
      <c r="H10" s="231">
        <f t="shared" si="2"/>
        <v>119719.43887775551</v>
      </c>
      <c r="I10" s="337">
        <f t="shared" si="3"/>
        <v>133.00682021748196</v>
      </c>
      <c r="J10" s="101">
        <v>7216</v>
      </c>
      <c r="K10" s="114">
        <f t="shared" si="0"/>
        <v>72304.609218436875</v>
      </c>
      <c r="L10" s="231">
        <f t="shared" si="4"/>
        <v>123.35723413934704</v>
      </c>
      <c r="M10" s="162">
        <v>1230</v>
      </c>
      <c r="N10" s="231">
        <f t="shared" si="1"/>
        <v>12324.649298597195</v>
      </c>
      <c r="O10" s="340">
        <f t="shared" si="5"/>
        <v>21.415550475407809</v>
      </c>
      <c r="Q10" s="24" t="s">
        <v>787</v>
      </c>
      <c r="S10" s="7" t="s">
        <v>155</v>
      </c>
      <c r="T10" s="8" t="s">
        <v>798</v>
      </c>
      <c r="U10" s="95"/>
      <c r="V10" s="7" t="s">
        <v>830</v>
      </c>
      <c r="W10" s="8" t="s">
        <v>831</v>
      </c>
      <c r="X10" s="95"/>
    </row>
    <row r="11" spans="2:24" s="101" customFormat="1" ht="13" x14ac:dyDescent="0.3">
      <c r="B11" s="351"/>
      <c r="C11" s="371"/>
      <c r="D11" s="372"/>
      <c r="E11" s="112" t="s">
        <v>780</v>
      </c>
      <c r="F11" s="101">
        <v>1000</v>
      </c>
      <c r="G11" s="162">
        <v>11189</v>
      </c>
      <c r="H11" s="231">
        <f t="shared" si="2"/>
        <v>111890</v>
      </c>
      <c r="I11" s="337">
        <f t="shared" si="3"/>
        <v>124.30841017664704</v>
      </c>
      <c r="J11" s="101">
        <v>7465</v>
      </c>
      <c r="K11" s="114">
        <f t="shared" si="0"/>
        <v>74650</v>
      </c>
      <c r="L11" s="231">
        <f t="shared" si="4"/>
        <v>127.35865151670249</v>
      </c>
      <c r="M11" s="162">
        <v>416</v>
      </c>
      <c r="N11" s="231">
        <f t="shared" si="1"/>
        <v>4160</v>
      </c>
      <c r="O11" s="340">
        <f t="shared" si="5"/>
        <v>7.228496959165942</v>
      </c>
      <c r="Q11" s="304" t="s">
        <v>790</v>
      </c>
      <c r="S11" s="7" t="s">
        <v>44</v>
      </c>
      <c r="T11" s="8" t="s">
        <v>44</v>
      </c>
      <c r="U11" s="95"/>
      <c r="V11" s="7" t="s">
        <v>44</v>
      </c>
      <c r="W11" s="8" t="s">
        <v>44</v>
      </c>
      <c r="X11" s="95"/>
    </row>
    <row r="12" spans="2:24" s="101" customFormat="1" ht="13" x14ac:dyDescent="0.3">
      <c r="B12" s="351"/>
      <c r="C12" s="76"/>
      <c r="D12" s="13"/>
      <c r="E12" s="112" t="s">
        <v>781</v>
      </c>
      <c r="F12" s="101">
        <v>997</v>
      </c>
      <c r="G12" s="162">
        <v>9726</v>
      </c>
      <c r="H12" s="231">
        <f t="shared" si="2"/>
        <v>97552.65797392177</v>
      </c>
      <c r="I12" s="337">
        <f t="shared" si="3"/>
        <v>108.37979999324716</v>
      </c>
      <c r="J12" s="101">
        <v>7287</v>
      </c>
      <c r="K12" s="114">
        <f t="shared" si="0"/>
        <v>73089.267803410228</v>
      </c>
      <c r="L12" s="231">
        <f t="shared" si="4"/>
        <v>124.69592214046172</v>
      </c>
      <c r="M12" s="162">
        <v>544</v>
      </c>
      <c r="N12" s="231">
        <f t="shared" si="1"/>
        <v>5456.3691073219661</v>
      </c>
      <c r="O12" s="340">
        <f t="shared" si="5"/>
        <v>9.4810931491259183</v>
      </c>
      <c r="S12" s="7" t="s">
        <v>236</v>
      </c>
      <c r="T12" s="11" t="s">
        <v>799</v>
      </c>
      <c r="U12" s="95"/>
      <c r="V12" s="7" t="s">
        <v>832</v>
      </c>
      <c r="W12" s="11" t="s">
        <v>833</v>
      </c>
      <c r="X12" s="95"/>
    </row>
    <row r="13" spans="2:24" s="101" customFormat="1" ht="13" x14ac:dyDescent="0.25">
      <c r="B13" s="373" t="s">
        <v>782</v>
      </c>
      <c r="C13" s="17"/>
      <c r="D13" s="236"/>
      <c r="E13" s="105" t="s">
        <v>774</v>
      </c>
      <c r="F13" s="106">
        <v>996</v>
      </c>
      <c r="G13" s="156">
        <v>9406</v>
      </c>
      <c r="H13" s="229">
        <f t="shared" ref="H13:H18" si="6">10000*G13/F13</f>
        <v>94437.751004016071</v>
      </c>
      <c r="I13" s="336">
        <f>H13/94438*100</f>
        <v>99.999736339202514</v>
      </c>
      <c r="J13" s="106">
        <v>5813</v>
      </c>
      <c r="K13" s="108">
        <f t="shared" si="0"/>
        <v>58363.453815261048</v>
      </c>
      <c r="L13" s="229">
        <f>K13/58363*100</f>
        <v>100.00077757356725</v>
      </c>
      <c r="M13" s="156">
        <v>6147</v>
      </c>
      <c r="N13" s="229">
        <f t="shared" si="1"/>
        <v>61716.867469879515</v>
      </c>
      <c r="O13" s="339">
        <f>N13/61717*100</f>
        <v>99.999785261564099</v>
      </c>
      <c r="S13" s="2"/>
      <c r="T13" s="3"/>
      <c r="U13" s="95"/>
      <c r="V13" s="2"/>
      <c r="W13" s="3"/>
      <c r="X13" s="95"/>
    </row>
    <row r="14" spans="2:24" s="101" customFormat="1" ht="13" x14ac:dyDescent="0.25">
      <c r="B14" s="351"/>
      <c r="C14" s="68" t="s">
        <v>7</v>
      </c>
      <c r="D14" s="244" t="s">
        <v>568</v>
      </c>
      <c r="E14" s="112" t="s">
        <v>775</v>
      </c>
      <c r="F14" s="101">
        <v>996</v>
      </c>
      <c r="G14" s="162">
        <v>11249</v>
      </c>
      <c r="H14" s="231">
        <f t="shared" si="6"/>
        <v>112941.7670682731</v>
      </c>
      <c r="I14" s="337">
        <f t="shared" ref="I14:I18" si="7">H14/94438*100</f>
        <v>119.59356092703477</v>
      </c>
      <c r="J14" s="101">
        <v>6510</v>
      </c>
      <c r="K14" s="114">
        <f t="shared" si="0"/>
        <v>65361.445783132527</v>
      </c>
      <c r="L14" s="231">
        <f t="shared" ref="L14:L18" si="8">K14/58363*100</f>
        <v>111.99123722758002</v>
      </c>
      <c r="M14" s="162">
        <v>6593</v>
      </c>
      <c r="N14" s="231">
        <f t="shared" si="1"/>
        <v>66194.77911646587</v>
      </c>
      <c r="O14" s="340">
        <f t="shared" ref="O14:O18" si="9">N14/61717*100</f>
        <v>107.25534150471647</v>
      </c>
      <c r="S14" s="2" t="s">
        <v>46</v>
      </c>
      <c r="T14" s="3"/>
      <c r="U14" s="95"/>
      <c r="V14" s="2" t="s">
        <v>46</v>
      </c>
      <c r="W14" s="3"/>
      <c r="X14" s="95"/>
    </row>
    <row r="15" spans="2:24" s="101" customFormat="1" ht="13" x14ac:dyDescent="0.3">
      <c r="B15" s="351"/>
      <c r="C15" s="68" t="s">
        <v>776</v>
      </c>
      <c r="D15" s="13" t="s">
        <v>16</v>
      </c>
      <c r="E15" s="112" t="s">
        <v>777</v>
      </c>
      <c r="F15" s="101">
        <v>996</v>
      </c>
      <c r="G15" s="162">
        <v>11394</v>
      </c>
      <c r="H15" s="231">
        <f t="shared" si="6"/>
        <v>114397.59036144578</v>
      </c>
      <c r="I15" s="337">
        <f t="shared" si="7"/>
        <v>121.1351260736629</v>
      </c>
      <c r="J15" s="101">
        <v>6993</v>
      </c>
      <c r="K15" s="114">
        <f t="shared" si="0"/>
        <v>70210.843373493975</v>
      </c>
      <c r="L15" s="231">
        <f t="shared" si="8"/>
        <v>120.30026450575531</v>
      </c>
      <c r="M15" s="162">
        <v>4348</v>
      </c>
      <c r="N15" s="231">
        <f t="shared" si="1"/>
        <v>43654.618473895585</v>
      </c>
      <c r="O15" s="340">
        <f t="shared" si="9"/>
        <v>70.733539339072834</v>
      </c>
      <c r="S15" s="2" t="s">
        <v>47</v>
      </c>
      <c r="T15" s="3">
        <v>0.27529999999999999</v>
      </c>
      <c r="U15" s="95"/>
      <c r="V15" s="7" t="s">
        <v>47</v>
      </c>
      <c r="W15" s="8" t="s">
        <v>48</v>
      </c>
      <c r="X15" s="95"/>
    </row>
    <row r="16" spans="2:24" s="101" customFormat="1" ht="13" x14ac:dyDescent="0.3">
      <c r="B16" s="351"/>
      <c r="C16" s="371" t="s">
        <v>778</v>
      </c>
      <c r="D16" s="372" t="s">
        <v>786</v>
      </c>
      <c r="E16" s="112" t="s">
        <v>779</v>
      </c>
      <c r="F16" s="101">
        <v>999</v>
      </c>
      <c r="G16" s="162">
        <v>11142</v>
      </c>
      <c r="H16" s="231">
        <f t="shared" si="6"/>
        <v>111531.53153153154</v>
      </c>
      <c r="I16" s="337">
        <f t="shared" si="7"/>
        <v>118.10026846346973</v>
      </c>
      <c r="J16" s="101">
        <v>6572</v>
      </c>
      <c r="K16" s="114">
        <f t="shared" si="0"/>
        <v>65785.785785785789</v>
      </c>
      <c r="L16" s="231">
        <f t="shared" si="8"/>
        <v>112.71830746497918</v>
      </c>
      <c r="M16" s="162">
        <v>1324</v>
      </c>
      <c r="N16" s="231">
        <f t="shared" si="1"/>
        <v>13253.253253253253</v>
      </c>
      <c r="O16" s="340">
        <f t="shared" si="9"/>
        <v>21.474234413943083</v>
      </c>
      <c r="Q16" s="24" t="s">
        <v>788</v>
      </c>
      <c r="S16" s="2" t="s">
        <v>49</v>
      </c>
      <c r="T16" s="3" t="s">
        <v>203</v>
      </c>
      <c r="U16" s="95"/>
      <c r="V16" s="7" t="s">
        <v>49</v>
      </c>
      <c r="W16" s="8" t="s">
        <v>50</v>
      </c>
      <c r="X16" s="95"/>
    </row>
    <row r="17" spans="2:24" s="101" customFormat="1" ht="13" x14ac:dyDescent="0.25">
      <c r="B17" s="351"/>
      <c r="C17" s="371"/>
      <c r="D17" s="372"/>
      <c r="E17" s="112" t="s">
        <v>780</v>
      </c>
      <c r="F17" s="101">
        <v>998</v>
      </c>
      <c r="G17" s="162">
        <v>11731</v>
      </c>
      <c r="H17" s="231">
        <f t="shared" si="6"/>
        <v>117545.09018036073</v>
      </c>
      <c r="I17" s="337">
        <f t="shared" si="7"/>
        <v>124.46800036040653</v>
      </c>
      <c r="J17" s="101">
        <v>7602</v>
      </c>
      <c r="K17" s="114">
        <f t="shared" si="0"/>
        <v>76172.344689378762</v>
      </c>
      <c r="L17" s="231">
        <f t="shared" si="8"/>
        <v>130.5147862333649</v>
      </c>
      <c r="M17" s="162">
        <v>441</v>
      </c>
      <c r="N17" s="231">
        <f t="shared" si="1"/>
        <v>4418.8376753507018</v>
      </c>
      <c r="O17" s="340">
        <f t="shared" si="9"/>
        <v>7.1598387402995973</v>
      </c>
      <c r="Q17" s="304" t="s">
        <v>791</v>
      </c>
      <c r="S17" s="2" t="s">
        <v>51</v>
      </c>
      <c r="T17" s="3" t="s">
        <v>204</v>
      </c>
      <c r="U17" s="95"/>
      <c r="V17" s="2" t="s">
        <v>51</v>
      </c>
      <c r="W17" s="3" t="s">
        <v>52</v>
      </c>
      <c r="X17" s="95"/>
    </row>
    <row r="18" spans="2:24" s="101" customFormat="1" ht="13" x14ac:dyDescent="0.25">
      <c r="B18" s="374"/>
      <c r="C18" s="77"/>
      <c r="D18" s="13"/>
      <c r="E18" s="136" t="s">
        <v>781</v>
      </c>
      <c r="F18" s="137">
        <v>997</v>
      </c>
      <c r="G18" s="165">
        <v>9021</v>
      </c>
      <c r="H18" s="234">
        <f t="shared" si="6"/>
        <v>90481.444332999003</v>
      </c>
      <c r="I18" s="338">
        <f t="shared" si="7"/>
        <v>95.810419887120659</v>
      </c>
      <c r="J18" s="137">
        <v>6626</v>
      </c>
      <c r="K18" s="139">
        <f t="shared" si="0"/>
        <v>66459.378134403203</v>
      </c>
      <c r="L18" s="234">
        <f t="shared" si="8"/>
        <v>113.87245024142555</v>
      </c>
      <c r="M18" s="165">
        <v>537</v>
      </c>
      <c r="N18" s="234">
        <f t="shared" si="1"/>
        <v>5386.1584754262785</v>
      </c>
      <c r="O18" s="341">
        <f t="shared" si="9"/>
        <v>8.7271877690527386</v>
      </c>
      <c r="S18" s="2" t="s">
        <v>53</v>
      </c>
      <c r="T18" s="3" t="s">
        <v>54</v>
      </c>
      <c r="U18" s="95"/>
      <c r="V18" s="2" t="s">
        <v>53</v>
      </c>
      <c r="W18" s="3" t="s">
        <v>54</v>
      </c>
      <c r="X18" s="95"/>
    </row>
    <row r="19" spans="2:24" s="101" customFormat="1" ht="13" x14ac:dyDescent="0.25">
      <c r="B19" s="351" t="s">
        <v>783</v>
      </c>
      <c r="C19" s="68"/>
      <c r="D19" s="334"/>
      <c r="E19" s="112" t="s">
        <v>774</v>
      </c>
      <c r="F19" s="101">
        <v>997</v>
      </c>
      <c r="G19" s="162">
        <v>10659</v>
      </c>
      <c r="H19" s="231">
        <f t="shared" ref="H19:H24" si="10">10000*G19/F19</f>
        <v>106910.73219658977</v>
      </c>
      <c r="I19" s="337">
        <f>H19/106911*100</f>
        <v>99.999749508085955</v>
      </c>
      <c r="J19" s="101">
        <v>6589</v>
      </c>
      <c r="K19" s="114">
        <f t="shared" si="0"/>
        <v>66088.264794383154</v>
      </c>
      <c r="L19" s="231">
        <f>K19/66088*100</f>
        <v>100.000400669385</v>
      </c>
      <c r="M19" s="162">
        <v>6670</v>
      </c>
      <c r="N19" s="231">
        <f t="shared" si="1"/>
        <v>66900.70210631896</v>
      </c>
      <c r="O19" s="340">
        <f>N19/66901*100</f>
        <v>99.999554724621404</v>
      </c>
      <c r="S19" s="2" t="s">
        <v>55</v>
      </c>
      <c r="T19" s="3" t="s">
        <v>800</v>
      </c>
      <c r="U19" s="95"/>
      <c r="V19" s="2" t="s">
        <v>55</v>
      </c>
      <c r="W19" s="3" t="s">
        <v>834</v>
      </c>
      <c r="X19" s="95"/>
    </row>
    <row r="20" spans="2:24" s="101" customFormat="1" ht="13" x14ac:dyDescent="0.25">
      <c r="B20" s="351"/>
      <c r="C20" s="68" t="s">
        <v>7</v>
      </c>
      <c r="D20" s="335" t="s">
        <v>568</v>
      </c>
      <c r="E20" s="112" t="s">
        <v>775</v>
      </c>
      <c r="F20" s="101">
        <v>993</v>
      </c>
      <c r="G20" s="162">
        <v>10634</v>
      </c>
      <c r="H20" s="231">
        <f t="shared" si="10"/>
        <v>107089.62739174219</v>
      </c>
      <c r="I20" s="337">
        <f t="shared" ref="I20:I24" si="11">H20/106911*100</f>
        <v>100.16708046107713</v>
      </c>
      <c r="J20" s="101">
        <v>6691</v>
      </c>
      <c r="K20" s="114">
        <f t="shared" si="0"/>
        <v>67381.671701913394</v>
      </c>
      <c r="L20" s="231">
        <f t="shared" ref="L20:L24" si="12">K20/66088*100</f>
        <v>101.95749864107462</v>
      </c>
      <c r="M20" s="162">
        <v>6542</v>
      </c>
      <c r="N20" s="231">
        <f t="shared" si="1"/>
        <v>65881.168177240688</v>
      </c>
      <c r="O20" s="340">
        <f t="shared" ref="O20:O24" si="13">N20/66901*100</f>
        <v>98.475610494971207</v>
      </c>
      <c r="S20" s="2"/>
      <c r="T20" s="3"/>
      <c r="U20" s="95"/>
      <c r="V20" s="2"/>
      <c r="W20" s="3"/>
      <c r="X20" s="95"/>
    </row>
    <row r="21" spans="2:24" s="101" customFormat="1" ht="13" x14ac:dyDescent="0.25">
      <c r="B21" s="351"/>
      <c r="C21" s="68" t="s">
        <v>776</v>
      </c>
      <c r="D21" s="68" t="s">
        <v>16</v>
      </c>
      <c r="E21" s="112" t="s">
        <v>777</v>
      </c>
      <c r="F21" s="101">
        <v>997</v>
      </c>
      <c r="G21" s="162">
        <v>10597</v>
      </c>
      <c r="H21" s="231">
        <f t="shared" si="10"/>
        <v>106288.8665997994</v>
      </c>
      <c r="I21" s="337">
        <f t="shared" si="11"/>
        <v>99.418082891189314</v>
      </c>
      <c r="J21" s="101">
        <v>6446</v>
      </c>
      <c r="K21" s="114">
        <f t="shared" si="0"/>
        <v>64653.961885656972</v>
      </c>
      <c r="L21" s="231">
        <f t="shared" si="12"/>
        <v>97.830108167378299</v>
      </c>
      <c r="M21" s="162">
        <v>4287</v>
      </c>
      <c r="N21" s="231">
        <f t="shared" si="1"/>
        <v>42998.996990972919</v>
      </c>
      <c r="O21" s="340">
        <f t="shared" si="13"/>
        <v>64.272577376979299</v>
      </c>
      <c r="S21" s="2" t="s">
        <v>57</v>
      </c>
      <c r="T21" s="3"/>
      <c r="U21" s="95"/>
      <c r="V21" s="2" t="s">
        <v>57</v>
      </c>
      <c r="W21" s="3"/>
      <c r="X21" s="95"/>
    </row>
    <row r="22" spans="2:24" s="101" customFormat="1" ht="13" x14ac:dyDescent="0.25">
      <c r="B22" s="351"/>
      <c r="C22" s="371" t="s">
        <v>778</v>
      </c>
      <c r="D22" s="372" t="s">
        <v>786</v>
      </c>
      <c r="E22" s="112" t="s">
        <v>779</v>
      </c>
      <c r="F22" s="101">
        <v>997</v>
      </c>
      <c r="G22" s="162">
        <v>11265</v>
      </c>
      <c r="H22" s="231">
        <f t="shared" si="10"/>
        <v>112988.9669007021</v>
      </c>
      <c r="I22" s="337">
        <f t="shared" si="11"/>
        <v>105.68507160226928</v>
      </c>
      <c r="J22" s="101">
        <v>6749</v>
      </c>
      <c r="K22" s="114">
        <f t="shared" si="0"/>
        <v>67693.079237713144</v>
      </c>
      <c r="L22" s="231">
        <f t="shared" si="12"/>
        <v>102.42869997232953</v>
      </c>
      <c r="M22" s="162">
        <v>1294</v>
      </c>
      <c r="N22" s="231">
        <f t="shared" si="1"/>
        <v>12978.936810431294</v>
      </c>
      <c r="O22" s="340">
        <f t="shared" si="13"/>
        <v>19.400213465316355</v>
      </c>
      <c r="Q22" s="24" t="s">
        <v>789</v>
      </c>
      <c r="S22" s="2" t="s">
        <v>159</v>
      </c>
      <c r="T22" s="3" t="s">
        <v>801</v>
      </c>
      <c r="U22" s="95"/>
      <c r="V22" s="2" t="s">
        <v>835</v>
      </c>
      <c r="W22" s="3" t="s">
        <v>836</v>
      </c>
      <c r="X22" s="95"/>
    </row>
    <row r="23" spans="2:24" s="101" customFormat="1" ht="13" x14ac:dyDescent="0.25">
      <c r="B23" s="351"/>
      <c r="C23" s="371"/>
      <c r="D23" s="372"/>
      <c r="E23" s="112" t="s">
        <v>780</v>
      </c>
      <c r="F23" s="101">
        <v>997</v>
      </c>
      <c r="G23" s="162">
        <v>11706</v>
      </c>
      <c r="H23" s="231">
        <f t="shared" si="10"/>
        <v>117412.2367101304</v>
      </c>
      <c r="I23" s="337">
        <f t="shared" si="11"/>
        <v>109.82240995793735</v>
      </c>
      <c r="J23" s="101">
        <v>7931</v>
      </c>
      <c r="K23" s="114">
        <f t="shared" si="0"/>
        <v>79548.645937813446</v>
      </c>
      <c r="L23" s="231">
        <f t="shared" si="12"/>
        <v>120.36776107283235</v>
      </c>
      <c r="M23" s="162">
        <v>497</v>
      </c>
      <c r="N23" s="231">
        <f t="shared" si="1"/>
        <v>4984.9548645937812</v>
      </c>
      <c r="O23" s="340">
        <f t="shared" si="13"/>
        <v>7.4512411841284596</v>
      </c>
      <c r="Q23" s="304" t="s">
        <v>792</v>
      </c>
      <c r="S23" s="2" t="s">
        <v>239</v>
      </c>
      <c r="T23" s="3" t="s">
        <v>802</v>
      </c>
      <c r="U23" s="95"/>
      <c r="V23" s="2" t="s">
        <v>837</v>
      </c>
      <c r="W23" s="3" t="s">
        <v>838</v>
      </c>
      <c r="X23" s="95"/>
    </row>
    <row r="24" spans="2:24" s="101" customFormat="1" ht="13" x14ac:dyDescent="0.25">
      <c r="B24" s="374"/>
      <c r="C24" s="77"/>
      <c r="D24" s="20"/>
      <c r="E24" s="136" t="s">
        <v>781</v>
      </c>
      <c r="F24" s="137">
        <v>998</v>
      </c>
      <c r="G24" s="165">
        <v>9637</v>
      </c>
      <c r="H24" s="234">
        <f t="shared" si="10"/>
        <v>96563.126252505012</v>
      </c>
      <c r="I24" s="338">
        <f t="shared" si="11"/>
        <v>90.321039231234408</v>
      </c>
      <c r="J24" s="137">
        <v>7230</v>
      </c>
      <c r="K24" s="139">
        <f t="shared" si="0"/>
        <v>72444.889779559118</v>
      </c>
      <c r="L24" s="234">
        <f t="shared" si="12"/>
        <v>109.61882607971056</v>
      </c>
      <c r="M24" s="165">
        <v>456</v>
      </c>
      <c r="N24" s="234">
        <f t="shared" si="1"/>
        <v>4569.1382765531062</v>
      </c>
      <c r="O24" s="341">
        <f t="shared" si="13"/>
        <v>6.829701015759265</v>
      </c>
      <c r="S24" s="2" t="s">
        <v>62</v>
      </c>
      <c r="T24" s="3" t="s">
        <v>803</v>
      </c>
      <c r="U24" s="95"/>
      <c r="V24" s="2" t="s">
        <v>62</v>
      </c>
      <c r="W24" s="3" t="s">
        <v>839</v>
      </c>
      <c r="X24" s="95"/>
    </row>
    <row r="25" spans="2:24" s="101" customFormat="1" ht="13" x14ac:dyDescent="0.25">
      <c r="C25" s="13"/>
      <c r="D25" s="13"/>
      <c r="E25" s="259"/>
      <c r="S25" s="2" t="s">
        <v>64</v>
      </c>
      <c r="T25" s="3" t="s">
        <v>804</v>
      </c>
      <c r="U25" s="95"/>
      <c r="V25" s="2" t="s">
        <v>64</v>
      </c>
      <c r="W25" s="3" t="s">
        <v>840</v>
      </c>
      <c r="X25" s="95"/>
    </row>
    <row r="26" spans="2:24" s="101" customFormat="1" ht="13" x14ac:dyDescent="0.25">
      <c r="C26" s="13"/>
      <c r="D26" s="13"/>
      <c r="H26" s="24" t="s">
        <v>785</v>
      </c>
      <c r="N26" s="24"/>
      <c r="S26" s="2" t="s">
        <v>66</v>
      </c>
      <c r="T26" s="3">
        <v>0.28499999999999998</v>
      </c>
      <c r="U26" s="95"/>
      <c r="V26" s="2" t="s">
        <v>66</v>
      </c>
      <c r="W26" s="3">
        <v>0.99309999999999998</v>
      </c>
      <c r="X26" s="95"/>
    </row>
    <row r="27" spans="2:24" s="101" customFormat="1" ht="13" x14ac:dyDescent="0.25">
      <c r="C27" s="13"/>
      <c r="D27" s="13"/>
      <c r="S27" s="2"/>
      <c r="T27" s="3"/>
      <c r="U27" s="95"/>
      <c r="V27" s="2"/>
      <c r="W27" s="3"/>
      <c r="X27" s="95"/>
    </row>
    <row r="28" spans="2:24" s="101" customFormat="1" ht="13" x14ac:dyDescent="0.25">
      <c r="E28" s="101">
        <v>99.999799999999993</v>
      </c>
      <c r="F28" s="262">
        <v>1.0064E-4</v>
      </c>
      <c r="G28" s="24"/>
      <c r="H28" s="101">
        <v>100.00069999999999</v>
      </c>
      <c r="I28" s="262">
        <v>1.2622999999999999E-4</v>
      </c>
      <c r="J28" s="24"/>
      <c r="K28" s="101">
        <v>99.999899999999997</v>
      </c>
      <c r="L28" s="262">
        <v>2.3588999999999999E-4</v>
      </c>
      <c r="M28" s="24">
        <v>-4</v>
      </c>
      <c r="S28" s="2" t="s">
        <v>67</v>
      </c>
      <c r="T28" s="3"/>
      <c r="U28" s="95"/>
      <c r="V28" s="2" t="s">
        <v>67</v>
      </c>
      <c r="W28" s="3"/>
      <c r="X28" s="95"/>
    </row>
    <row r="29" spans="2:24" s="101" customFormat="1" ht="13" x14ac:dyDescent="0.25">
      <c r="C29" s="13"/>
      <c r="D29" s="13"/>
      <c r="E29" s="101">
        <v>111.621</v>
      </c>
      <c r="F29" s="101">
        <v>5.8719000000000001</v>
      </c>
      <c r="H29" s="101">
        <v>108.62569999999999</v>
      </c>
      <c r="I29" s="101">
        <v>3.3340999999999998</v>
      </c>
      <c r="K29" s="101">
        <v>103.5091</v>
      </c>
      <c r="L29" s="101">
        <v>2.6149</v>
      </c>
      <c r="M29" s="101">
        <v>-3</v>
      </c>
      <c r="O29" s="24" t="s">
        <v>784</v>
      </c>
      <c r="S29" s="2" t="s">
        <v>68</v>
      </c>
      <c r="T29" s="3" t="s">
        <v>805</v>
      </c>
      <c r="U29" s="95"/>
      <c r="V29" s="2" t="s">
        <v>68</v>
      </c>
      <c r="W29" s="3" t="s">
        <v>841</v>
      </c>
      <c r="X29" s="95"/>
    </row>
    <row r="30" spans="2:24" s="101" customFormat="1" ht="13" x14ac:dyDescent="0.25">
      <c r="C30" s="13"/>
      <c r="D30" s="13"/>
      <c r="E30" s="101">
        <v>114.75539999999999</v>
      </c>
      <c r="F30" s="101">
        <v>7.7046999999999999</v>
      </c>
      <c r="H30" s="101">
        <v>112.15349999999999</v>
      </c>
      <c r="I30" s="101">
        <v>7.1843000000000004</v>
      </c>
      <c r="K30" s="101">
        <v>69.733099999999993</v>
      </c>
      <c r="L30" s="101">
        <v>2.9072</v>
      </c>
      <c r="M30" s="101">
        <v>-2</v>
      </c>
      <c r="S30" s="2" t="s">
        <v>47</v>
      </c>
      <c r="T30" s="3">
        <v>0.34179999999999999</v>
      </c>
      <c r="U30" s="95"/>
      <c r="V30" s="2" t="s">
        <v>47</v>
      </c>
      <c r="W30" s="3">
        <v>1.0200000000000001E-2</v>
      </c>
      <c r="X30" s="95"/>
    </row>
    <row r="31" spans="2:24" s="101" customFormat="1" ht="13" x14ac:dyDescent="0.25">
      <c r="C31" s="13"/>
      <c r="D31" s="13"/>
      <c r="E31" s="101">
        <v>118.9307</v>
      </c>
      <c r="F31" s="101">
        <v>7.8979999999999997</v>
      </c>
      <c r="H31" s="101">
        <v>112.8347</v>
      </c>
      <c r="I31" s="101">
        <v>6.0418000000000003</v>
      </c>
      <c r="K31" s="101">
        <v>20.763300000000001</v>
      </c>
      <c r="L31" s="101">
        <v>0.68179999999999996</v>
      </c>
      <c r="M31" s="101">
        <v>-1</v>
      </c>
      <c r="O31" s="307" t="s">
        <v>793</v>
      </c>
      <c r="S31" s="2" t="s">
        <v>49</v>
      </c>
      <c r="T31" s="3" t="s">
        <v>203</v>
      </c>
      <c r="U31" s="95"/>
      <c r="V31" s="2" t="s">
        <v>49</v>
      </c>
      <c r="W31" s="3" t="s">
        <v>332</v>
      </c>
      <c r="X31" s="95"/>
    </row>
    <row r="32" spans="2:24" s="101" customFormat="1" ht="13" x14ac:dyDescent="0.25">
      <c r="C32" s="13"/>
      <c r="D32" s="13"/>
      <c r="E32" s="101">
        <v>119.5329</v>
      </c>
      <c r="F32" s="101">
        <v>4.8555000000000001</v>
      </c>
      <c r="H32" s="101">
        <v>126.0804</v>
      </c>
      <c r="I32" s="101">
        <v>2.9981</v>
      </c>
      <c r="K32" s="101">
        <v>7.2798999999999996</v>
      </c>
      <c r="L32" s="101">
        <v>8.7999999999999995E-2</v>
      </c>
      <c r="M32" s="101">
        <v>0</v>
      </c>
      <c r="S32" s="2" t="s">
        <v>70</v>
      </c>
      <c r="T32" s="3" t="s">
        <v>204</v>
      </c>
      <c r="U32" s="95"/>
      <c r="V32" s="2" t="s">
        <v>70</v>
      </c>
      <c r="W32" s="3" t="s">
        <v>52</v>
      </c>
      <c r="X32" s="95"/>
    </row>
    <row r="33" spans="3:24" s="101" customFormat="1" ht="13" x14ac:dyDescent="0.45">
      <c r="C33" s="13"/>
      <c r="D33" s="13"/>
      <c r="E33" s="101">
        <v>98.170400000000001</v>
      </c>
      <c r="F33" s="101">
        <v>5.3449999999999998</v>
      </c>
      <c r="H33" s="101">
        <v>116.0624</v>
      </c>
      <c r="I33" s="101">
        <v>4.4880000000000004</v>
      </c>
      <c r="K33" s="101">
        <v>8.3460000000000001</v>
      </c>
      <c r="L33" s="101">
        <v>0.78879999999999995</v>
      </c>
      <c r="M33" s="101">
        <v>1</v>
      </c>
    </row>
    <row r="34" spans="3:24" s="101" customFormat="1" ht="13" x14ac:dyDescent="0.25">
      <c r="C34" s="13"/>
      <c r="D34" s="13"/>
      <c r="S34" s="2" t="s">
        <v>41</v>
      </c>
      <c r="T34" s="3" t="s">
        <v>42</v>
      </c>
      <c r="U34" s="95"/>
      <c r="V34" s="2" t="s">
        <v>41</v>
      </c>
      <c r="W34" s="3" t="s">
        <v>42</v>
      </c>
      <c r="X34" s="95"/>
    </row>
    <row r="35" spans="3:24" s="101" customFormat="1" ht="13" x14ac:dyDescent="0.3">
      <c r="C35" s="13"/>
      <c r="D35" s="13"/>
      <c r="S35" s="7" t="s">
        <v>806</v>
      </c>
      <c r="T35" s="8" t="s">
        <v>807</v>
      </c>
      <c r="U35" s="95"/>
      <c r="V35" s="7" t="s">
        <v>842</v>
      </c>
      <c r="W35" s="8" t="s">
        <v>843</v>
      </c>
      <c r="X35" s="95"/>
    </row>
    <row r="36" spans="3:24" s="101" customFormat="1" ht="13" x14ac:dyDescent="0.3">
      <c r="C36" s="13"/>
      <c r="D36" s="13"/>
      <c r="S36" s="7" t="s">
        <v>44</v>
      </c>
      <c r="T36" s="8" t="s">
        <v>44</v>
      </c>
      <c r="U36" s="95"/>
      <c r="V36" s="7" t="s">
        <v>44</v>
      </c>
      <c r="W36" s="8" t="s">
        <v>44</v>
      </c>
      <c r="X36" s="95"/>
    </row>
    <row r="37" spans="3:24" s="101" customFormat="1" ht="13" x14ac:dyDescent="0.3">
      <c r="C37" s="13"/>
      <c r="D37" s="13"/>
      <c r="S37" s="7" t="s">
        <v>808</v>
      </c>
      <c r="T37" s="11" t="s">
        <v>809</v>
      </c>
      <c r="U37" s="95"/>
      <c r="V37" s="7" t="s">
        <v>844</v>
      </c>
      <c r="W37" s="11" t="s">
        <v>845</v>
      </c>
      <c r="X37" s="95"/>
    </row>
    <row r="38" spans="3:24" s="101" customFormat="1" ht="13" x14ac:dyDescent="0.25">
      <c r="C38" s="13"/>
      <c r="D38" s="13"/>
      <c r="K38" s="262"/>
      <c r="N38" s="262"/>
      <c r="S38" s="2"/>
      <c r="T38" s="3"/>
      <c r="U38" s="95"/>
      <c r="V38" s="2"/>
      <c r="W38" s="3"/>
      <c r="X38" s="95"/>
    </row>
    <row r="39" spans="3:24" s="101" customFormat="1" ht="13" x14ac:dyDescent="0.25">
      <c r="C39" s="13"/>
      <c r="D39" s="13"/>
      <c r="S39" s="2" t="s">
        <v>46</v>
      </c>
      <c r="T39" s="3"/>
      <c r="U39" s="95"/>
      <c r="V39" s="2" t="s">
        <v>46</v>
      </c>
      <c r="W39" s="3"/>
      <c r="X39" s="95"/>
    </row>
    <row r="40" spans="3:24" s="101" customFormat="1" ht="13" x14ac:dyDescent="0.3">
      <c r="C40" s="13"/>
      <c r="D40" s="13"/>
      <c r="S40" s="7" t="s">
        <v>47</v>
      </c>
      <c r="T40" s="8">
        <v>5.8999999999999999E-3</v>
      </c>
      <c r="U40" s="95"/>
      <c r="V40" s="7" t="s">
        <v>47</v>
      </c>
      <c r="W40" s="8" t="s">
        <v>48</v>
      </c>
      <c r="X40" s="95"/>
    </row>
    <row r="41" spans="3:24" s="101" customFormat="1" ht="13" x14ac:dyDescent="0.3">
      <c r="C41" s="13"/>
      <c r="D41" s="13"/>
      <c r="S41" s="7" t="s">
        <v>49</v>
      </c>
      <c r="T41" s="8" t="s">
        <v>146</v>
      </c>
      <c r="U41" s="95"/>
      <c r="V41" s="7" t="s">
        <v>49</v>
      </c>
      <c r="W41" s="8" t="s">
        <v>50</v>
      </c>
      <c r="X41" s="95"/>
    </row>
    <row r="42" spans="3:24" s="101" customFormat="1" ht="13" x14ac:dyDescent="0.25">
      <c r="C42" s="13"/>
      <c r="D42" s="13"/>
      <c r="S42" s="2" t="s">
        <v>51</v>
      </c>
      <c r="T42" s="3" t="s">
        <v>52</v>
      </c>
      <c r="U42" s="95"/>
      <c r="V42" s="2" t="s">
        <v>51</v>
      </c>
      <c r="W42" s="3" t="s">
        <v>52</v>
      </c>
      <c r="X42" s="95"/>
    </row>
    <row r="43" spans="3:24" s="101" customFormat="1" ht="12.5" x14ac:dyDescent="0.25">
      <c r="S43" s="2" t="s">
        <v>53</v>
      </c>
      <c r="T43" s="3" t="s">
        <v>54</v>
      </c>
      <c r="U43" s="95"/>
      <c r="V43" s="2" t="s">
        <v>53</v>
      </c>
      <c r="W43" s="3" t="s">
        <v>54</v>
      </c>
      <c r="X43" s="95"/>
    </row>
    <row r="44" spans="3:24" s="101" customFormat="1" ht="12.5" x14ac:dyDescent="0.25">
      <c r="S44" s="2" t="s">
        <v>55</v>
      </c>
      <c r="T44" s="3" t="s">
        <v>810</v>
      </c>
      <c r="U44" s="95"/>
      <c r="V44" s="2" t="s">
        <v>55</v>
      </c>
      <c r="W44" s="3" t="s">
        <v>846</v>
      </c>
      <c r="X44" s="95"/>
    </row>
    <row r="45" spans="3:24" s="101" customFormat="1" ht="12.5" x14ac:dyDescent="0.25">
      <c r="S45" s="2"/>
      <c r="T45" s="3"/>
      <c r="U45" s="95"/>
      <c r="V45" s="2"/>
      <c r="W45" s="3"/>
      <c r="X45" s="95"/>
    </row>
    <row r="46" spans="3:24" s="101" customFormat="1" ht="13" x14ac:dyDescent="0.25">
      <c r="C46" s="13"/>
      <c r="D46" s="13"/>
      <c r="S46" s="2" t="s">
        <v>57</v>
      </c>
      <c r="T46" s="3"/>
      <c r="U46" s="95"/>
      <c r="V46" s="2" t="s">
        <v>57</v>
      </c>
      <c r="W46" s="3"/>
      <c r="X46" s="95"/>
    </row>
    <row r="47" spans="3:24" s="101" customFormat="1" ht="12.5" x14ac:dyDescent="0.25">
      <c r="S47" s="2" t="s">
        <v>811</v>
      </c>
      <c r="T47" s="3" t="s">
        <v>812</v>
      </c>
      <c r="U47" s="95"/>
      <c r="V47" s="2" t="s">
        <v>847</v>
      </c>
      <c r="W47" s="3" t="s">
        <v>848</v>
      </c>
      <c r="X47" s="95"/>
    </row>
    <row r="48" spans="3:24" s="101" customFormat="1" ht="13" x14ac:dyDescent="0.25">
      <c r="C48" s="13"/>
      <c r="D48" s="13"/>
      <c r="S48" s="2" t="s">
        <v>813</v>
      </c>
      <c r="T48" s="3" t="s">
        <v>814</v>
      </c>
      <c r="U48" s="95"/>
      <c r="V48" s="2" t="s">
        <v>849</v>
      </c>
      <c r="W48" s="3" t="s">
        <v>850</v>
      </c>
      <c r="X48" s="95"/>
    </row>
    <row r="49" spans="3:24" s="101" customFormat="1" ht="13" x14ac:dyDescent="0.25">
      <c r="C49" s="13"/>
      <c r="D49" s="13"/>
      <c r="S49" s="2" t="s">
        <v>62</v>
      </c>
      <c r="T49" s="3" t="s">
        <v>815</v>
      </c>
      <c r="U49" s="95"/>
      <c r="V49" s="2" t="s">
        <v>62</v>
      </c>
      <c r="W49" s="3" t="s">
        <v>851</v>
      </c>
      <c r="X49" s="95"/>
    </row>
    <row r="50" spans="3:24" s="101" customFormat="1" ht="13" x14ac:dyDescent="0.25">
      <c r="C50" s="13"/>
      <c r="D50" s="13"/>
      <c r="S50" s="2" t="s">
        <v>64</v>
      </c>
      <c r="T50" s="3" t="s">
        <v>816</v>
      </c>
      <c r="U50" s="95"/>
      <c r="V50" s="2" t="s">
        <v>64</v>
      </c>
      <c r="W50" s="3" t="s">
        <v>852</v>
      </c>
      <c r="X50" s="95"/>
    </row>
    <row r="51" spans="3:24" s="101" customFormat="1" ht="13" x14ac:dyDescent="0.25">
      <c r="C51" s="13"/>
      <c r="D51" s="13"/>
      <c r="S51" s="2" t="s">
        <v>66</v>
      </c>
      <c r="T51" s="3">
        <v>0.87719999999999998</v>
      </c>
      <c r="U51" s="95"/>
      <c r="V51" s="2" t="s">
        <v>66</v>
      </c>
      <c r="W51" s="3">
        <v>0.98599999999999999</v>
      </c>
      <c r="X51" s="95"/>
    </row>
    <row r="52" spans="3:24" s="101" customFormat="1" ht="13" x14ac:dyDescent="0.25">
      <c r="C52" s="13"/>
      <c r="D52" s="13"/>
      <c r="S52" s="2"/>
      <c r="T52" s="3"/>
      <c r="U52" s="95"/>
      <c r="V52" s="2"/>
      <c r="W52" s="3"/>
      <c r="X52" s="95"/>
    </row>
    <row r="53" spans="3:24" s="101" customFormat="1" ht="13" x14ac:dyDescent="0.25">
      <c r="C53" s="13"/>
      <c r="D53" s="13"/>
      <c r="S53" s="2" t="s">
        <v>67</v>
      </c>
      <c r="T53" s="3"/>
      <c r="U53" s="95"/>
      <c r="V53" s="2" t="s">
        <v>67</v>
      </c>
      <c r="W53" s="3"/>
      <c r="X53" s="95"/>
    </row>
    <row r="54" spans="3:24" s="101" customFormat="1" ht="13" x14ac:dyDescent="0.25">
      <c r="C54" s="13"/>
      <c r="D54" s="13"/>
      <c r="S54" s="2" t="s">
        <v>68</v>
      </c>
      <c r="T54" s="3" t="s">
        <v>817</v>
      </c>
      <c r="U54" s="95"/>
      <c r="V54" s="2" t="s">
        <v>68</v>
      </c>
      <c r="W54" s="3" t="s">
        <v>853</v>
      </c>
      <c r="X54" s="95"/>
    </row>
    <row r="55" spans="3:24" s="101" customFormat="1" ht="13" x14ac:dyDescent="0.25">
      <c r="C55" s="13"/>
      <c r="D55" s="13"/>
      <c r="S55" s="2" t="s">
        <v>47</v>
      </c>
      <c r="T55" s="3">
        <v>0.24759999999999999</v>
      </c>
      <c r="U55" s="95"/>
      <c r="V55" s="2" t="s">
        <v>47</v>
      </c>
      <c r="W55" s="3">
        <v>3.1199999999999999E-2</v>
      </c>
      <c r="X55" s="95"/>
    </row>
    <row r="56" spans="3:24" s="101" customFormat="1" ht="13" x14ac:dyDescent="0.25">
      <c r="C56" s="13"/>
      <c r="D56" s="13"/>
      <c r="S56" s="2" t="s">
        <v>49</v>
      </c>
      <c r="T56" s="3" t="s">
        <v>203</v>
      </c>
      <c r="U56" s="95"/>
      <c r="V56" s="2" t="s">
        <v>49</v>
      </c>
      <c r="W56" s="3" t="s">
        <v>332</v>
      </c>
      <c r="X56" s="95"/>
    </row>
    <row r="57" spans="3:24" s="101" customFormat="1" ht="13" x14ac:dyDescent="0.25">
      <c r="C57" s="13"/>
      <c r="D57" s="13"/>
      <c r="S57" s="2" t="s">
        <v>70</v>
      </c>
      <c r="T57" s="3" t="s">
        <v>204</v>
      </c>
      <c r="U57" s="95"/>
      <c r="V57" s="2" t="s">
        <v>70</v>
      </c>
      <c r="W57" s="3" t="s">
        <v>52</v>
      </c>
      <c r="X57" s="95"/>
    </row>
    <row r="58" spans="3:24" s="101" customFormat="1" ht="13" x14ac:dyDescent="0.45">
      <c r="C58" s="13"/>
      <c r="D58" s="13"/>
    </row>
    <row r="59" spans="3:24" s="101" customFormat="1" ht="13" x14ac:dyDescent="0.25">
      <c r="C59" s="13"/>
      <c r="D59" s="13"/>
      <c r="S59" s="2" t="s">
        <v>41</v>
      </c>
      <c r="T59" s="3" t="s">
        <v>42</v>
      </c>
      <c r="U59" s="95"/>
    </row>
    <row r="60" spans="3:24" s="101" customFormat="1" ht="13" x14ac:dyDescent="0.3">
      <c r="C60" s="13"/>
      <c r="D60" s="13"/>
      <c r="S60" s="7" t="s">
        <v>818</v>
      </c>
      <c r="T60" s="8" t="s">
        <v>819</v>
      </c>
      <c r="U60" s="95"/>
    </row>
    <row r="61" spans="3:24" s="101" customFormat="1" ht="13" x14ac:dyDescent="0.3">
      <c r="C61" s="13"/>
      <c r="D61" s="13"/>
      <c r="S61" s="7" t="s">
        <v>44</v>
      </c>
      <c r="T61" s="8" t="s">
        <v>44</v>
      </c>
      <c r="U61" s="95"/>
    </row>
    <row r="62" spans="3:24" s="101" customFormat="1" ht="13" x14ac:dyDescent="0.3">
      <c r="C62" s="13"/>
      <c r="D62" s="13"/>
      <c r="S62" s="7" t="s">
        <v>820</v>
      </c>
      <c r="T62" s="11" t="s">
        <v>821</v>
      </c>
      <c r="U62" s="95"/>
    </row>
    <row r="63" spans="3:24" s="101" customFormat="1" ht="13" x14ac:dyDescent="0.25">
      <c r="C63" s="13"/>
      <c r="D63" s="13"/>
      <c r="S63" s="2"/>
      <c r="T63" s="3"/>
      <c r="U63" s="95"/>
    </row>
    <row r="64" spans="3:24" s="101" customFormat="1" ht="13" x14ac:dyDescent="0.25">
      <c r="C64" s="13"/>
      <c r="D64" s="13"/>
      <c r="S64" s="2" t="s">
        <v>46</v>
      </c>
      <c r="T64" s="3"/>
      <c r="U64" s="95"/>
    </row>
    <row r="65" spans="3:21" s="101" customFormat="1" ht="13" x14ac:dyDescent="0.3">
      <c r="C65" s="13"/>
      <c r="D65" s="13"/>
      <c r="S65" s="7" t="s">
        <v>47</v>
      </c>
      <c r="T65" s="8">
        <v>2.0000000000000001E-4</v>
      </c>
      <c r="U65" s="95"/>
    </row>
    <row r="66" spans="3:21" s="101" customFormat="1" ht="13" x14ac:dyDescent="0.3">
      <c r="C66" s="13"/>
      <c r="D66" s="13"/>
      <c r="S66" s="7" t="s">
        <v>49</v>
      </c>
      <c r="T66" s="8" t="s">
        <v>50</v>
      </c>
      <c r="U66" s="95"/>
    </row>
    <row r="67" spans="3:21" s="101" customFormat="1" ht="13" x14ac:dyDescent="0.25">
      <c r="C67" s="13"/>
      <c r="D67" s="13"/>
      <c r="S67" s="2" t="s">
        <v>51</v>
      </c>
      <c r="T67" s="3" t="s">
        <v>52</v>
      </c>
      <c r="U67" s="95"/>
    </row>
    <row r="68" spans="3:21" s="101" customFormat="1" ht="13" x14ac:dyDescent="0.25">
      <c r="C68" s="13"/>
      <c r="D68" s="13"/>
      <c r="S68" s="2" t="s">
        <v>53</v>
      </c>
      <c r="T68" s="3" t="s">
        <v>54</v>
      </c>
      <c r="U68" s="95"/>
    </row>
    <row r="69" spans="3:21" s="101" customFormat="1" ht="13" x14ac:dyDescent="0.25">
      <c r="C69" s="13"/>
      <c r="D69" s="13"/>
      <c r="S69" s="2" t="s">
        <v>55</v>
      </c>
      <c r="T69" s="3" t="s">
        <v>822</v>
      </c>
      <c r="U69" s="95"/>
    </row>
    <row r="70" spans="3:21" s="101" customFormat="1" ht="13" x14ac:dyDescent="0.25">
      <c r="C70" s="13"/>
      <c r="D70" s="13"/>
      <c r="S70" s="2"/>
      <c r="T70" s="3"/>
      <c r="U70" s="95"/>
    </row>
    <row r="71" spans="3:21" s="101" customFormat="1" ht="13" x14ac:dyDescent="0.25">
      <c r="C71" s="13"/>
      <c r="D71" s="13"/>
      <c r="S71" s="2" t="s">
        <v>57</v>
      </c>
      <c r="T71" s="3"/>
      <c r="U71" s="95"/>
    </row>
    <row r="72" spans="3:21" s="101" customFormat="1" ht="13" x14ac:dyDescent="0.25">
      <c r="C72" s="13"/>
      <c r="D72" s="13"/>
      <c r="S72" s="2" t="s">
        <v>823</v>
      </c>
      <c r="T72" s="3" t="s">
        <v>824</v>
      </c>
      <c r="U72" s="95"/>
    </row>
    <row r="73" spans="3:21" s="101" customFormat="1" ht="13" x14ac:dyDescent="0.25">
      <c r="C73" s="13"/>
      <c r="D73" s="13"/>
      <c r="S73" s="2" t="s">
        <v>825</v>
      </c>
      <c r="T73" s="3" t="s">
        <v>826</v>
      </c>
      <c r="U73" s="95"/>
    </row>
    <row r="74" spans="3:21" s="101" customFormat="1" ht="13" x14ac:dyDescent="0.25">
      <c r="C74" s="13"/>
      <c r="D74" s="13"/>
      <c r="S74" s="2" t="s">
        <v>62</v>
      </c>
      <c r="T74" s="3" t="s">
        <v>827</v>
      </c>
      <c r="U74" s="95"/>
    </row>
    <row r="75" spans="3:21" s="101" customFormat="1" ht="13" x14ac:dyDescent="0.25">
      <c r="C75" s="13"/>
      <c r="D75" s="13"/>
      <c r="S75" s="2" t="s">
        <v>64</v>
      </c>
      <c r="T75" s="3" t="s">
        <v>828</v>
      </c>
      <c r="U75" s="95"/>
    </row>
    <row r="76" spans="3:21" s="101" customFormat="1" ht="13" x14ac:dyDescent="0.25">
      <c r="C76" s="13"/>
      <c r="D76" s="13"/>
      <c r="S76" s="2" t="s">
        <v>66</v>
      </c>
      <c r="T76" s="3">
        <v>0.97540000000000004</v>
      </c>
      <c r="U76" s="95"/>
    </row>
    <row r="77" spans="3:21" s="101" customFormat="1" ht="13" x14ac:dyDescent="0.25">
      <c r="C77" s="13"/>
      <c r="D77" s="13"/>
      <c r="S77" s="2"/>
      <c r="T77" s="3"/>
      <c r="U77" s="95"/>
    </row>
    <row r="78" spans="3:21" s="101" customFormat="1" ht="13" x14ac:dyDescent="0.25">
      <c r="C78" s="13"/>
      <c r="D78" s="13"/>
      <c r="S78" s="2" t="s">
        <v>67</v>
      </c>
      <c r="T78" s="3"/>
      <c r="U78" s="95"/>
    </row>
    <row r="79" spans="3:21" s="101" customFormat="1" ht="13" x14ac:dyDescent="0.25">
      <c r="C79" s="13"/>
      <c r="D79" s="13"/>
      <c r="S79" s="2" t="s">
        <v>68</v>
      </c>
      <c r="T79" s="3" t="s">
        <v>829</v>
      </c>
      <c r="U79" s="95"/>
    </row>
    <row r="80" spans="3:21" s="101" customFormat="1" ht="13" x14ac:dyDescent="0.25">
      <c r="C80" s="13"/>
      <c r="D80" s="13"/>
      <c r="S80" s="2" t="s">
        <v>47</v>
      </c>
      <c r="T80" s="3">
        <v>1.4500000000000001E-2</v>
      </c>
      <c r="U80" s="95"/>
    </row>
    <row r="81" spans="3:21" s="101" customFormat="1" ht="13" x14ac:dyDescent="0.25">
      <c r="C81" s="13"/>
      <c r="D81" s="13"/>
      <c r="S81" s="2" t="s">
        <v>49</v>
      </c>
      <c r="T81" s="3" t="s">
        <v>332</v>
      </c>
      <c r="U81" s="95"/>
    </row>
    <row r="82" spans="3:21" s="101" customFormat="1" ht="13" x14ac:dyDescent="0.25">
      <c r="C82" s="13"/>
      <c r="D82" s="13"/>
      <c r="S82" s="2" t="s">
        <v>70</v>
      </c>
      <c r="T82" s="3" t="s">
        <v>52</v>
      </c>
      <c r="U82" s="95"/>
    </row>
    <row r="83" spans="3:21" s="101" customFormat="1" ht="13" x14ac:dyDescent="0.45">
      <c r="C83" s="13"/>
      <c r="D83" s="13"/>
    </row>
    <row r="84" spans="3:21" s="101" customFormat="1" ht="13" x14ac:dyDescent="0.45">
      <c r="C84" s="13"/>
      <c r="D84" s="13"/>
    </row>
    <row r="85" spans="3:21" s="101" customFormat="1" ht="13" x14ac:dyDescent="0.45">
      <c r="C85" s="13"/>
      <c r="D85" s="13"/>
    </row>
  </sheetData>
  <mergeCells count="9">
    <mergeCell ref="D10:D11"/>
    <mergeCell ref="D16:D17"/>
    <mergeCell ref="D22:D23"/>
    <mergeCell ref="B7:B12"/>
    <mergeCell ref="C10:C11"/>
    <mergeCell ref="B13:B18"/>
    <mergeCell ref="C16:C17"/>
    <mergeCell ref="B19:B24"/>
    <mergeCell ref="C22:C2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9E4B-5724-4E91-A03B-C6F24843B6B1}">
  <dimension ref="B2:T25"/>
  <sheetViews>
    <sheetView zoomScale="90" zoomScaleNormal="90" workbookViewId="0">
      <selection activeCell="I29" sqref="I29"/>
    </sheetView>
  </sheetViews>
  <sheetFormatPr defaultColWidth="9" defaultRowHeight="14" x14ac:dyDescent="0.3"/>
  <cols>
    <col min="1" max="1" width="9" style="25"/>
    <col min="2" max="2" width="17.25" style="37" customWidth="1"/>
    <col min="3" max="3" width="6.33203125" style="35" customWidth="1"/>
    <col min="4" max="5" width="6.5" style="36" customWidth="1"/>
    <col min="6" max="6" width="7.58203125" style="36" customWidth="1"/>
    <col min="7" max="7" width="6" style="25" bestFit="1" customWidth="1"/>
    <col min="8" max="8" width="6.75" style="25" customWidth="1"/>
    <col min="9" max="9" width="6" style="25" bestFit="1" customWidth="1"/>
    <col min="10" max="10" width="6.75" style="25" customWidth="1"/>
    <col min="11" max="11" width="6" style="25" bestFit="1" customWidth="1"/>
    <col min="12" max="12" width="6.75" style="25" customWidth="1"/>
    <col min="13" max="13" width="6" style="25" bestFit="1" customWidth="1"/>
    <col min="14" max="14" width="6.75" style="25" customWidth="1"/>
    <col min="15" max="15" width="6" style="25" bestFit="1" customWidth="1"/>
    <col min="16" max="16" width="6.75" style="25" customWidth="1"/>
    <col min="17" max="17" width="6" style="25" bestFit="1" customWidth="1"/>
    <col min="18" max="18" width="6.75" style="25" customWidth="1"/>
    <col min="19" max="19" width="5.75" style="25" customWidth="1"/>
    <col min="20" max="20" width="8.33203125" style="25" customWidth="1"/>
    <col min="21" max="16384" width="9" style="25"/>
  </cols>
  <sheetData>
    <row r="2" spans="2:20" s="95" customFormat="1" ht="13" x14ac:dyDescent="0.25">
      <c r="C2" s="100" t="s">
        <v>108</v>
      </c>
      <c r="D2" s="101"/>
      <c r="E2" s="101"/>
    </row>
    <row r="3" spans="2:20" s="95" customFormat="1" ht="13" x14ac:dyDescent="0.25">
      <c r="C3" s="100"/>
      <c r="D3" s="101"/>
      <c r="E3" s="101"/>
    </row>
    <row r="4" spans="2:20" s="95" customFormat="1" ht="12.5" x14ac:dyDescent="0.25">
      <c r="B4" s="317"/>
      <c r="C4" s="317" t="s">
        <v>72</v>
      </c>
      <c r="D4" s="317" t="s">
        <v>101</v>
      </c>
      <c r="E4" s="355" t="s">
        <v>102</v>
      </c>
      <c r="F4" s="356"/>
      <c r="G4" s="355" t="s">
        <v>103</v>
      </c>
      <c r="H4" s="356"/>
      <c r="I4" s="355" t="s">
        <v>73</v>
      </c>
      <c r="J4" s="356"/>
      <c r="K4" s="355" t="s">
        <v>74</v>
      </c>
      <c r="L4" s="356"/>
      <c r="M4" s="355" t="s">
        <v>104</v>
      </c>
      <c r="N4" s="356"/>
      <c r="O4" s="355" t="s">
        <v>105</v>
      </c>
      <c r="P4" s="356"/>
      <c r="Q4" s="355" t="s">
        <v>106</v>
      </c>
      <c r="R4" s="356"/>
      <c r="S4" s="1"/>
      <c r="T4" s="1"/>
    </row>
    <row r="5" spans="2:20" s="95" customFormat="1" ht="12.5" x14ac:dyDescent="0.25">
      <c r="B5" s="317"/>
      <c r="C5" s="317"/>
      <c r="D5" s="317"/>
      <c r="E5" s="317"/>
      <c r="F5" s="4"/>
      <c r="G5" s="317"/>
      <c r="H5" s="4"/>
      <c r="I5" s="317"/>
      <c r="J5" s="4"/>
      <c r="K5" s="317"/>
      <c r="L5" s="4"/>
      <c r="M5" s="317"/>
      <c r="N5" s="4"/>
      <c r="O5" s="317"/>
      <c r="P5" s="4"/>
      <c r="Q5" s="317"/>
      <c r="R5" s="4"/>
      <c r="S5" s="1"/>
      <c r="T5" s="1"/>
    </row>
    <row r="6" spans="2:20" s="95" customFormat="1" ht="13" x14ac:dyDescent="0.25">
      <c r="B6" s="354" t="s">
        <v>99</v>
      </c>
      <c r="C6" s="29" t="s">
        <v>76</v>
      </c>
      <c r="D6" s="30">
        <v>18.73</v>
      </c>
      <c r="E6" s="31">
        <v>18.7</v>
      </c>
      <c r="F6" s="32">
        <f>E6/D6*100</f>
        <v>99.839829151094492</v>
      </c>
      <c r="G6" s="31">
        <v>19.25</v>
      </c>
      <c r="H6" s="32">
        <f>G6/D6*100</f>
        <v>102.77629471436198</v>
      </c>
      <c r="I6" s="31">
        <v>19.07</v>
      </c>
      <c r="J6" s="32">
        <f>I6/D6*100</f>
        <v>101.815269620929</v>
      </c>
      <c r="K6" s="31">
        <v>19.8</v>
      </c>
      <c r="L6" s="32">
        <f>K6/D6*100</f>
        <v>105.71276027762949</v>
      </c>
      <c r="M6" s="31">
        <v>20.78</v>
      </c>
      <c r="N6" s="32">
        <f>M6/D6*100</f>
        <v>110.94500800854246</v>
      </c>
      <c r="O6" s="31">
        <v>21</v>
      </c>
      <c r="P6" s="32">
        <f>O6/D6*100</f>
        <v>112.11959423384943</v>
      </c>
      <c r="Q6" s="31">
        <v>19.05</v>
      </c>
      <c r="R6" s="32">
        <f>Q6/D6*100</f>
        <v>101.70848905499199</v>
      </c>
      <c r="S6" s="352" t="s">
        <v>77</v>
      </c>
      <c r="T6" s="353"/>
    </row>
    <row r="7" spans="2:20" s="95" customFormat="1" ht="13" x14ac:dyDescent="0.25">
      <c r="B7" s="354"/>
      <c r="C7" s="29" t="s">
        <v>78</v>
      </c>
      <c r="D7" s="30">
        <v>17.579999999999998</v>
      </c>
      <c r="E7" s="31">
        <v>17.53</v>
      </c>
      <c r="F7" s="32">
        <f t="shared" ref="F7:F20" si="0">E7/D7*100</f>
        <v>99.715585893060307</v>
      </c>
      <c r="G7" s="31">
        <v>17.899999999999999</v>
      </c>
      <c r="H7" s="32">
        <f t="shared" ref="H7:H20" si="1">G7/D7*100</f>
        <v>101.8202502844141</v>
      </c>
      <c r="I7" s="31">
        <v>18.010000000000002</v>
      </c>
      <c r="J7" s="32">
        <f t="shared" ref="J7:J17" si="2">I7/D7*100</f>
        <v>102.44596131968147</v>
      </c>
      <c r="K7" s="31">
        <v>18.940000000000001</v>
      </c>
      <c r="L7" s="32">
        <f t="shared" ref="L7:L15" si="3">K7/D7*100</f>
        <v>107.73606370875997</v>
      </c>
      <c r="M7" s="33">
        <v>16.38</v>
      </c>
      <c r="N7" s="32">
        <f t="shared" ref="N7:N15" si="4">M7/D7*100</f>
        <v>93.174061433447093</v>
      </c>
      <c r="O7" s="33">
        <v>16.16</v>
      </c>
      <c r="P7" s="32">
        <f t="shared" ref="P7:P15" si="5">O7/D7*100</f>
        <v>91.922639362912406</v>
      </c>
      <c r="Q7" s="33">
        <v>16.16</v>
      </c>
      <c r="R7" s="32">
        <f t="shared" ref="R7:R15" si="6">Q7/D7*100</f>
        <v>91.922639362912406</v>
      </c>
      <c r="S7" s="352" t="s">
        <v>79</v>
      </c>
      <c r="T7" s="353"/>
    </row>
    <row r="8" spans="2:20" s="95" customFormat="1" ht="13" x14ac:dyDescent="0.25">
      <c r="B8" s="354"/>
      <c r="C8" s="29" t="s">
        <v>80</v>
      </c>
      <c r="D8" s="30">
        <v>18.48</v>
      </c>
      <c r="E8" s="31">
        <v>18.7</v>
      </c>
      <c r="F8" s="32">
        <f t="shared" si="0"/>
        <v>101.19047619047619</v>
      </c>
      <c r="G8" s="31">
        <v>18.75</v>
      </c>
      <c r="H8" s="32">
        <f t="shared" si="1"/>
        <v>101.46103896103895</v>
      </c>
      <c r="I8" s="31">
        <v>19.100000000000001</v>
      </c>
      <c r="J8" s="32">
        <f t="shared" si="2"/>
        <v>103.35497835497836</v>
      </c>
      <c r="K8" s="31">
        <v>19.47</v>
      </c>
      <c r="L8" s="32">
        <f t="shared" si="3"/>
        <v>105.35714285714283</v>
      </c>
      <c r="M8" s="33">
        <v>16.55</v>
      </c>
      <c r="N8" s="32">
        <f t="shared" si="4"/>
        <v>89.556277056277054</v>
      </c>
      <c r="O8" s="31">
        <v>17.100000000000001</v>
      </c>
      <c r="P8" s="32">
        <f t="shared" si="5"/>
        <v>92.532467532467535</v>
      </c>
      <c r="Q8" s="31">
        <v>18.11</v>
      </c>
      <c r="R8" s="32">
        <f t="shared" si="6"/>
        <v>97.997835497835496</v>
      </c>
      <c r="S8" s="352" t="s">
        <v>81</v>
      </c>
      <c r="T8" s="353"/>
    </row>
    <row r="9" spans="2:20" s="95" customFormat="1" ht="13" x14ac:dyDescent="0.25">
      <c r="B9" s="354"/>
      <c r="C9" s="29" t="s">
        <v>82</v>
      </c>
      <c r="D9" s="30">
        <v>18.82</v>
      </c>
      <c r="E9" s="31">
        <v>18.079999999999998</v>
      </c>
      <c r="F9" s="32">
        <f t="shared" si="0"/>
        <v>96.06801275239107</v>
      </c>
      <c r="G9" s="31">
        <v>18.57</v>
      </c>
      <c r="H9" s="32">
        <f t="shared" si="1"/>
        <v>98.671625929861847</v>
      </c>
      <c r="I9" s="31">
        <v>18.600000000000001</v>
      </c>
      <c r="J9" s="32">
        <f t="shared" si="2"/>
        <v>98.831030818278435</v>
      </c>
      <c r="K9" s="31">
        <v>19.22</v>
      </c>
      <c r="L9" s="32">
        <f t="shared" si="3"/>
        <v>102.12539851222104</v>
      </c>
      <c r="M9" s="33">
        <v>15.72</v>
      </c>
      <c r="N9" s="32">
        <f t="shared" si="4"/>
        <v>83.528161530286923</v>
      </c>
      <c r="O9" s="33">
        <v>14.95</v>
      </c>
      <c r="P9" s="34">
        <f t="shared" si="5"/>
        <v>79.436769394261418</v>
      </c>
      <c r="Q9" s="33">
        <v>14.02</v>
      </c>
      <c r="R9" s="34">
        <f t="shared" si="6"/>
        <v>74.495217853347498</v>
      </c>
      <c r="S9" s="352" t="s">
        <v>77</v>
      </c>
      <c r="T9" s="353"/>
    </row>
    <row r="10" spans="2:20" s="95" customFormat="1" ht="13" x14ac:dyDescent="0.25">
      <c r="B10" s="354"/>
      <c r="C10" s="29" t="s">
        <v>83</v>
      </c>
      <c r="D10" s="30">
        <v>18.91</v>
      </c>
      <c r="E10" s="31">
        <v>18.760000000000002</v>
      </c>
      <c r="F10" s="32">
        <f t="shared" si="0"/>
        <v>99.206768905341093</v>
      </c>
      <c r="G10" s="31">
        <v>19.45</v>
      </c>
      <c r="H10" s="32">
        <f t="shared" si="1"/>
        <v>102.85563194077207</v>
      </c>
      <c r="I10" s="31">
        <v>19.22</v>
      </c>
      <c r="J10" s="32">
        <f t="shared" si="2"/>
        <v>101.63934426229508</v>
      </c>
      <c r="K10" s="31">
        <v>20.28</v>
      </c>
      <c r="L10" s="32">
        <f t="shared" si="3"/>
        <v>107.24484399788471</v>
      </c>
      <c r="M10" s="31">
        <v>21.17</v>
      </c>
      <c r="N10" s="32">
        <f t="shared" si="4"/>
        <v>111.95134849286093</v>
      </c>
      <c r="O10" s="31">
        <v>19.829999999999998</v>
      </c>
      <c r="P10" s="32">
        <f t="shared" si="5"/>
        <v>104.86515071390798</v>
      </c>
      <c r="Q10" s="31">
        <v>18.309999999999999</v>
      </c>
      <c r="R10" s="32">
        <f t="shared" si="6"/>
        <v>96.827075621364344</v>
      </c>
      <c r="S10" s="352" t="s">
        <v>81</v>
      </c>
      <c r="T10" s="353"/>
    </row>
    <row r="11" spans="2:20" s="95" customFormat="1" ht="13" x14ac:dyDescent="0.25">
      <c r="B11" s="354" t="s">
        <v>100</v>
      </c>
      <c r="C11" s="29" t="s">
        <v>84</v>
      </c>
      <c r="D11" s="30">
        <v>18.2</v>
      </c>
      <c r="E11" s="31">
        <v>18.04</v>
      </c>
      <c r="F11" s="32">
        <f t="shared" si="0"/>
        <v>99.120879120879124</v>
      </c>
      <c r="G11" s="31">
        <v>18.399999999999999</v>
      </c>
      <c r="H11" s="32">
        <f t="shared" si="1"/>
        <v>101.09890109890109</v>
      </c>
      <c r="I11" s="31">
        <v>18.75</v>
      </c>
      <c r="J11" s="32">
        <f t="shared" si="2"/>
        <v>103.02197802197803</v>
      </c>
      <c r="K11" s="31">
        <v>19.46</v>
      </c>
      <c r="L11" s="32">
        <f t="shared" si="3"/>
        <v>106.92307692307695</v>
      </c>
      <c r="M11" s="33">
        <v>16.77</v>
      </c>
      <c r="N11" s="32">
        <f t="shared" si="4"/>
        <v>92.142857142857153</v>
      </c>
      <c r="O11" s="33">
        <v>16.77</v>
      </c>
      <c r="P11" s="32">
        <f t="shared" si="5"/>
        <v>92.142857142857153</v>
      </c>
      <c r="Q11" s="31">
        <v>17.64</v>
      </c>
      <c r="R11" s="32">
        <f t="shared" si="6"/>
        <v>96.923076923076934</v>
      </c>
      <c r="S11" s="352" t="s">
        <v>77</v>
      </c>
      <c r="T11" s="353"/>
    </row>
    <row r="12" spans="2:20" s="95" customFormat="1" ht="13" x14ac:dyDescent="0.25">
      <c r="B12" s="354"/>
      <c r="C12" s="29" t="s">
        <v>85</v>
      </c>
      <c r="D12" s="30">
        <v>18.600000000000001</v>
      </c>
      <c r="E12" s="31">
        <v>18.52</v>
      </c>
      <c r="F12" s="32">
        <f t="shared" si="0"/>
        <v>99.569892473118273</v>
      </c>
      <c r="G12" s="31">
        <v>19.350000000000001</v>
      </c>
      <c r="H12" s="32">
        <f t="shared" si="1"/>
        <v>104.03225806451613</v>
      </c>
      <c r="I12" s="31">
        <v>19.46</v>
      </c>
      <c r="J12" s="32">
        <f t="shared" si="2"/>
        <v>104.62365591397848</v>
      </c>
      <c r="K12" s="31">
        <v>20.02</v>
      </c>
      <c r="L12" s="32">
        <f t="shared" si="3"/>
        <v>107.63440860215053</v>
      </c>
      <c r="M12" s="31">
        <v>17.899999999999999</v>
      </c>
      <c r="N12" s="32">
        <f t="shared" si="4"/>
        <v>96.23655913978493</v>
      </c>
      <c r="O12" s="33">
        <v>15.81</v>
      </c>
      <c r="P12" s="32">
        <f t="shared" si="5"/>
        <v>85</v>
      </c>
      <c r="Q12" s="33">
        <v>15.47</v>
      </c>
      <c r="R12" s="32">
        <f t="shared" si="6"/>
        <v>83.172043010752688</v>
      </c>
      <c r="S12" s="352" t="s">
        <v>81</v>
      </c>
      <c r="T12" s="353"/>
    </row>
    <row r="13" spans="2:20" s="95" customFormat="1" ht="13" x14ac:dyDescent="0.25">
      <c r="B13" s="354"/>
      <c r="C13" s="29" t="s">
        <v>86</v>
      </c>
      <c r="D13" s="30">
        <v>19.04</v>
      </c>
      <c r="E13" s="31">
        <v>19.86</v>
      </c>
      <c r="F13" s="32">
        <f t="shared" si="0"/>
        <v>104.30672268907564</v>
      </c>
      <c r="G13" s="31">
        <v>19.52</v>
      </c>
      <c r="H13" s="32">
        <f t="shared" si="1"/>
        <v>102.52100840336136</v>
      </c>
      <c r="I13" s="31">
        <v>20.22</v>
      </c>
      <c r="J13" s="32">
        <f t="shared" si="2"/>
        <v>106.19747899159664</v>
      </c>
      <c r="K13" s="31">
        <v>20.77</v>
      </c>
      <c r="L13" s="32">
        <f t="shared" si="3"/>
        <v>109.08613445378153</v>
      </c>
      <c r="M13" s="31">
        <v>21.58</v>
      </c>
      <c r="N13" s="32">
        <f t="shared" si="4"/>
        <v>113.34033613445378</v>
      </c>
      <c r="O13" s="31">
        <v>21.75</v>
      </c>
      <c r="P13" s="32">
        <f t="shared" si="5"/>
        <v>114.23319327731095</v>
      </c>
      <c r="Q13" s="31">
        <v>20.53</v>
      </c>
      <c r="R13" s="32">
        <f t="shared" si="6"/>
        <v>107.82563025210085</v>
      </c>
      <c r="S13" s="352" t="s">
        <v>79</v>
      </c>
      <c r="T13" s="353"/>
    </row>
    <row r="14" spans="2:20" s="95" customFormat="1" ht="13" x14ac:dyDescent="0.25">
      <c r="B14" s="354"/>
      <c r="C14" s="29" t="s">
        <v>87</v>
      </c>
      <c r="D14" s="30">
        <v>18.77</v>
      </c>
      <c r="E14" s="31">
        <v>18.36</v>
      </c>
      <c r="F14" s="32">
        <f t="shared" si="0"/>
        <v>97.815663292488011</v>
      </c>
      <c r="G14" s="31">
        <v>18.05</v>
      </c>
      <c r="H14" s="32">
        <f t="shared" si="1"/>
        <v>96.164091635588704</v>
      </c>
      <c r="I14" s="31">
        <v>18.34</v>
      </c>
      <c r="J14" s="32">
        <f t="shared" si="2"/>
        <v>97.709110282365472</v>
      </c>
      <c r="K14" s="31">
        <v>19.329999999999998</v>
      </c>
      <c r="L14" s="32">
        <f t="shared" si="3"/>
        <v>102.98348428343101</v>
      </c>
      <c r="M14" s="31">
        <v>17.84</v>
      </c>
      <c r="N14" s="32">
        <f t="shared" si="4"/>
        <v>95.045285029302079</v>
      </c>
      <c r="O14" s="33">
        <v>15</v>
      </c>
      <c r="P14" s="34">
        <f t="shared" si="5"/>
        <v>79.914757591901974</v>
      </c>
      <c r="Q14" s="33">
        <v>12.08</v>
      </c>
      <c r="R14" s="34">
        <f t="shared" si="6"/>
        <v>64.358018114011728</v>
      </c>
      <c r="S14" s="352" t="s">
        <v>79</v>
      </c>
      <c r="T14" s="353"/>
    </row>
    <row r="15" spans="2:20" s="95" customFormat="1" ht="13" x14ac:dyDescent="0.25">
      <c r="B15" s="354"/>
      <c r="C15" s="29" t="s">
        <v>88</v>
      </c>
      <c r="D15" s="30">
        <v>19.190000000000001</v>
      </c>
      <c r="E15" s="31">
        <v>18.55</v>
      </c>
      <c r="F15" s="32">
        <f t="shared" si="0"/>
        <v>96.664929650859818</v>
      </c>
      <c r="G15" s="31">
        <v>18.989999999999998</v>
      </c>
      <c r="H15" s="32">
        <f t="shared" si="1"/>
        <v>98.957790515893691</v>
      </c>
      <c r="I15" s="31">
        <v>19.23</v>
      </c>
      <c r="J15" s="32">
        <f t="shared" si="2"/>
        <v>100.20844189682126</v>
      </c>
      <c r="K15" s="31">
        <v>19.7</v>
      </c>
      <c r="L15" s="32">
        <f t="shared" si="3"/>
        <v>102.65763418447106</v>
      </c>
      <c r="M15" s="31">
        <v>20.13</v>
      </c>
      <c r="N15" s="32">
        <f t="shared" si="4"/>
        <v>104.89838457529963</v>
      </c>
      <c r="O15" s="31">
        <v>19.95</v>
      </c>
      <c r="P15" s="32">
        <f t="shared" si="5"/>
        <v>103.96039603960394</v>
      </c>
      <c r="Q15" s="31">
        <v>17.43</v>
      </c>
      <c r="R15" s="32">
        <f t="shared" si="6"/>
        <v>90.828556539864508</v>
      </c>
      <c r="S15" s="352" t="s">
        <v>89</v>
      </c>
      <c r="T15" s="353"/>
    </row>
    <row r="16" spans="2:20" s="95" customFormat="1" ht="13" x14ac:dyDescent="0.25">
      <c r="B16" s="354" t="s">
        <v>856</v>
      </c>
      <c r="C16" s="29" t="s">
        <v>90</v>
      </c>
      <c r="D16" s="30">
        <v>18.84</v>
      </c>
      <c r="E16" s="33">
        <v>16.72</v>
      </c>
      <c r="F16" s="32">
        <f t="shared" si="0"/>
        <v>88.747346072186829</v>
      </c>
      <c r="G16" s="33">
        <v>13.83</v>
      </c>
      <c r="H16" s="34">
        <f t="shared" si="1"/>
        <v>73.407643312101911</v>
      </c>
      <c r="I16" s="33">
        <v>14.9</v>
      </c>
      <c r="J16" s="34">
        <f t="shared" si="2"/>
        <v>79.087048832271762</v>
      </c>
      <c r="K16" s="352" t="s">
        <v>91</v>
      </c>
      <c r="L16" s="353"/>
      <c r="M16" s="352"/>
      <c r="N16" s="353"/>
      <c r="O16" s="352"/>
      <c r="P16" s="353"/>
      <c r="Q16" s="352"/>
      <c r="R16" s="353"/>
      <c r="S16" s="1"/>
      <c r="T16" s="1"/>
    </row>
    <row r="17" spans="2:20" s="95" customFormat="1" ht="13" x14ac:dyDescent="0.25">
      <c r="B17" s="354"/>
      <c r="C17" s="29" t="s">
        <v>92</v>
      </c>
      <c r="D17" s="30">
        <v>18.91</v>
      </c>
      <c r="E17" s="31">
        <v>17.03</v>
      </c>
      <c r="F17" s="32">
        <f t="shared" si="0"/>
        <v>90.058170280274993</v>
      </c>
      <c r="G17" s="33">
        <v>14.81</v>
      </c>
      <c r="H17" s="34">
        <f t="shared" si="1"/>
        <v>78.31835007932311</v>
      </c>
      <c r="I17" s="33">
        <v>15.54</v>
      </c>
      <c r="J17" s="32">
        <f t="shared" si="2"/>
        <v>82.178741406663136</v>
      </c>
      <c r="K17" s="352" t="s">
        <v>91</v>
      </c>
      <c r="L17" s="353"/>
      <c r="M17" s="352"/>
      <c r="N17" s="353"/>
      <c r="O17" s="352"/>
      <c r="P17" s="353"/>
      <c r="Q17" s="352"/>
      <c r="R17" s="353"/>
      <c r="S17" s="1"/>
      <c r="T17" s="1"/>
    </row>
    <row r="18" spans="2:20" s="95" customFormat="1" ht="13" x14ac:dyDescent="0.25">
      <c r="B18" s="354"/>
      <c r="C18" s="29" t="s">
        <v>93</v>
      </c>
      <c r="D18" s="30">
        <v>17.43</v>
      </c>
      <c r="E18" s="33">
        <v>15.44</v>
      </c>
      <c r="F18" s="32">
        <f t="shared" si="0"/>
        <v>88.582903040734365</v>
      </c>
      <c r="G18" s="33">
        <v>13.67</v>
      </c>
      <c r="H18" s="34">
        <f t="shared" si="1"/>
        <v>78.427997705106151</v>
      </c>
      <c r="I18" s="352" t="s">
        <v>94</v>
      </c>
      <c r="J18" s="353"/>
      <c r="K18" s="352"/>
      <c r="L18" s="353"/>
      <c r="M18" s="352"/>
      <c r="N18" s="353"/>
      <c r="O18" s="352"/>
      <c r="P18" s="353"/>
      <c r="Q18" s="352"/>
      <c r="R18" s="353"/>
      <c r="S18" s="1"/>
      <c r="T18" s="1"/>
    </row>
    <row r="19" spans="2:20" s="95" customFormat="1" ht="13" x14ac:dyDescent="0.25">
      <c r="B19" s="354"/>
      <c r="C19" s="29" t="s">
        <v>95</v>
      </c>
      <c r="D19" s="30">
        <v>18.54</v>
      </c>
      <c r="E19" s="33">
        <v>16.46</v>
      </c>
      <c r="F19" s="32">
        <f t="shared" si="0"/>
        <v>88.781014023732467</v>
      </c>
      <c r="G19" s="33">
        <v>14.31</v>
      </c>
      <c r="H19" s="34">
        <f t="shared" si="1"/>
        <v>77.184466019417485</v>
      </c>
      <c r="I19" s="33">
        <v>14.53</v>
      </c>
      <c r="J19" s="34">
        <f>I19/D19*100</f>
        <v>78.371089536138086</v>
      </c>
      <c r="K19" s="352" t="s">
        <v>91</v>
      </c>
      <c r="L19" s="353"/>
      <c r="M19" s="352"/>
      <c r="N19" s="353"/>
      <c r="O19" s="352"/>
      <c r="P19" s="353"/>
      <c r="Q19" s="352"/>
      <c r="R19" s="353"/>
      <c r="S19" s="1"/>
      <c r="T19" s="1"/>
    </row>
    <row r="20" spans="2:20" s="95" customFormat="1" ht="13" x14ac:dyDescent="0.25">
      <c r="B20" s="354"/>
      <c r="C20" s="29" t="s">
        <v>96</v>
      </c>
      <c r="D20" s="30">
        <v>18.899999999999999</v>
      </c>
      <c r="E20" s="33">
        <v>16.3</v>
      </c>
      <c r="F20" s="32">
        <f t="shared" si="0"/>
        <v>86.243386243386254</v>
      </c>
      <c r="G20" s="33">
        <v>15.2</v>
      </c>
      <c r="H20" s="32">
        <f t="shared" si="1"/>
        <v>80.423280423280431</v>
      </c>
      <c r="I20" s="352" t="s">
        <v>97</v>
      </c>
      <c r="J20" s="353"/>
      <c r="K20" s="352"/>
      <c r="L20" s="353"/>
      <c r="M20" s="352"/>
      <c r="N20" s="353"/>
      <c r="O20" s="352"/>
      <c r="P20" s="353"/>
      <c r="Q20" s="352"/>
      <c r="R20" s="353"/>
      <c r="S20" s="1"/>
      <c r="T20" s="1"/>
    </row>
    <row r="21" spans="2:20" s="95" customFormat="1" ht="13" x14ac:dyDescent="0.3">
      <c r="B21" s="1"/>
      <c r="C21" s="96"/>
      <c r="D21" s="97" t="s">
        <v>13</v>
      </c>
      <c r="E21" s="98"/>
      <c r="F21" s="98"/>
    </row>
    <row r="22" spans="2:20" s="95" customFormat="1" ht="13" x14ac:dyDescent="0.3">
      <c r="C22" s="96"/>
      <c r="D22" s="26" t="s">
        <v>107</v>
      </c>
      <c r="E22" s="98"/>
      <c r="F22" s="98"/>
    </row>
    <row r="23" spans="2:20" s="95" customFormat="1" ht="12.5" x14ac:dyDescent="0.25">
      <c r="C23" s="96"/>
      <c r="D23" s="98"/>
      <c r="E23" s="98"/>
      <c r="F23" s="98"/>
    </row>
    <row r="24" spans="2:20" s="95" customFormat="1" ht="12.5" x14ac:dyDescent="0.25">
      <c r="B24" s="5"/>
      <c r="C24" s="96"/>
      <c r="D24" s="98"/>
      <c r="E24" s="98"/>
      <c r="F24" s="98"/>
    </row>
    <row r="25" spans="2:20" s="95" customFormat="1" ht="12.5" x14ac:dyDescent="0.25">
      <c r="B25" s="5"/>
      <c r="C25" s="96"/>
      <c r="D25" s="98"/>
      <c r="E25" s="98"/>
      <c r="F25" s="98"/>
    </row>
  </sheetData>
  <mergeCells count="42">
    <mergeCell ref="O4:P4"/>
    <mergeCell ref="Q4:R4"/>
    <mergeCell ref="E4:F4"/>
    <mergeCell ref="G4:H4"/>
    <mergeCell ref="I4:J4"/>
    <mergeCell ref="K4:L4"/>
    <mergeCell ref="M4:N4"/>
    <mergeCell ref="B6:B10"/>
    <mergeCell ref="S6:T6"/>
    <mergeCell ref="S7:T7"/>
    <mergeCell ref="S8:T8"/>
    <mergeCell ref="S9:T9"/>
    <mergeCell ref="S10:T10"/>
    <mergeCell ref="B11:B15"/>
    <mergeCell ref="S11:T11"/>
    <mergeCell ref="S12:T12"/>
    <mergeCell ref="S13:T13"/>
    <mergeCell ref="S14:T14"/>
    <mergeCell ref="S15:T15"/>
    <mergeCell ref="B16:B20"/>
    <mergeCell ref="K16:L16"/>
    <mergeCell ref="M16:N16"/>
    <mergeCell ref="O16:P16"/>
    <mergeCell ref="I18:J18"/>
    <mergeCell ref="K18:L18"/>
    <mergeCell ref="M18:N18"/>
    <mergeCell ref="O18:P18"/>
    <mergeCell ref="I20:J20"/>
    <mergeCell ref="K20:L20"/>
    <mergeCell ref="M20:N20"/>
    <mergeCell ref="O20:P20"/>
    <mergeCell ref="Q16:R16"/>
    <mergeCell ref="K17:L17"/>
    <mergeCell ref="M17:N17"/>
    <mergeCell ref="O17:P17"/>
    <mergeCell ref="Q17:R17"/>
    <mergeCell ref="Q20:R20"/>
    <mergeCell ref="Q18:R18"/>
    <mergeCell ref="K19:L19"/>
    <mergeCell ref="M19:N19"/>
    <mergeCell ref="O19:P19"/>
    <mergeCell ref="Q19:R19"/>
  </mergeCells>
  <phoneticPr fontId="3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3594D-53D1-4BE0-BE17-7125440BBFA8}">
  <dimension ref="B2:P112"/>
  <sheetViews>
    <sheetView zoomScale="90" zoomScaleNormal="90" workbookViewId="0">
      <selection activeCell="A8" sqref="A8"/>
    </sheetView>
  </sheetViews>
  <sheetFormatPr defaultColWidth="9" defaultRowHeight="13" x14ac:dyDescent="0.45"/>
  <cols>
    <col min="1" max="1" width="9" style="101"/>
    <col min="2" max="2" width="8.83203125" style="101" customWidth="1"/>
    <col min="3" max="3" width="20.08203125" style="13" customWidth="1"/>
    <col min="4" max="4" width="6.75" style="101" customWidth="1"/>
    <col min="5" max="5" width="11.5" style="101" customWidth="1"/>
    <col min="6" max="6" width="21.33203125" style="101" customWidth="1"/>
    <col min="7" max="7" width="39.58203125" style="101" customWidth="1"/>
    <col min="8" max="8" width="26.83203125" style="101" customWidth="1"/>
    <col min="9" max="9" width="9.58203125" style="101" customWidth="1"/>
    <col min="10" max="10" width="34" style="101" bestFit="1" customWidth="1"/>
    <col min="11" max="11" width="9.08203125" style="101" bestFit="1" customWidth="1"/>
    <col min="12" max="12" width="6.5" style="101" bestFit="1" customWidth="1"/>
    <col min="13" max="13" width="19.08203125" style="101" bestFit="1" customWidth="1"/>
    <col min="14" max="14" width="9" style="101"/>
    <col min="15" max="15" width="12.75" style="101" bestFit="1" customWidth="1"/>
    <col min="16" max="16384" width="9" style="101"/>
  </cols>
  <sheetData>
    <row r="2" spans="2:16" x14ac:dyDescent="0.45">
      <c r="G2" s="13"/>
      <c r="H2" s="13"/>
      <c r="I2" s="24"/>
    </row>
    <row r="3" spans="2:16" x14ac:dyDescent="0.45">
      <c r="C3" s="24" t="s">
        <v>895</v>
      </c>
    </row>
    <row r="4" spans="2:16" ht="12.75" customHeight="1" x14ac:dyDescent="0.45">
      <c r="C4" s="24"/>
    </row>
    <row r="5" spans="2:16" ht="12.75" customHeight="1" x14ac:dyDescent="0.3">
      <c r="C5" s="24" t="s">
        <v>897</v>
      </c>
      <c r="J5" s="103" t="s">
        <v>71</v>
      </c>
    </row>
    <row r="6" spans="2:16" s="102" customFormat="1" ht="12.75" customHeight="1" x14ac:dyDescent="0.45">
      <c r="B6" s="177"/>
      <c r="C6" s="17"/>
      <c r="D6" s="178"/>
      <c r="E6" s="17" t="s">
        <v>3</v>
      </c>
      <c r="F6" s="16" t="s">
        <v>877</v>
      </c>
      <c r="G6" s="17" t="s">
        <v>896</v>
      </c>
      <c r="H6" s="13"/>
    </row>
    <row r="7" spans="2:16" s="102" customFormat="1" ht="12.75" customHeight="1" x14ac:dyDescent="0.3">
      <c r="B7" s="179"/>
      <c r="C7" s="68"/>
      <c r="E7" s="68"/>
      <c r="F7" s="13"/>
      <c r="G7" s="68" t="s">
        <v>797</v>
      </c>
      <c r="H7" s="13"/>
      <c r="J7" s="2" t="s">
        <v>41</v>
      </c>
      <c r="K7" s="8" t="s">
        <v>902</v>
      </c>
      <c r="L7" s="3"/>
      <c r="M7" s="3"/>
      <c r="N7" s="3"/>
      <c r="O7" s="3"/>
      <c r="P7" s="95"/>
    </row>
    <row r="8" spans="2:16" ht="12.75" customHeight="1" x14ac:dyDescent="0.25">
      <c r="B8" s="375" t="s">
        <v>878</v>
      </c>
      <c r="C8" s="378" t="s">
        <v>917</v>
      </c>
      <c r="D8" s="58" t="s">
        <v>282</v>
      </c>
      <c r="E8" s="67">
        <v>2036</v>
      </c>
      <c r="F8" s="67">
        <v>62</v>
      </c>
      <c r="G8" s="180">
        <f t="shared" ref="G8:G22" si="0">10000*F8/E8/35*1000/10000</f>
        <v>0.87005332584900374</v>
      </c>
      <c r="H8" s="181"/>
      <c r="J8" s="2"/>
      <c r="K8" s="3"/>
      <c r="L8" s="3"/>
      <c r="M8" s="3"/>
      <c r="N8" s="3"/>
      <c r="O8" s="3"/>
      <c r="P8" s="95"/>
    </row>
    <row r="9" spans="2:16" ht="12.75" customHeight="1" x14ac:dyDescent="0.25">
      <c r="B9" s="376"/>
      <c r="C9" s="379"/>
      <c r="D9" s="58" t="s">
        <v>879</v>
      </c>
      <c r="E9" s="67">
        <v>2035</v>
      </c>
      <c r="F9" s="67">
        <v>414</v>
      </c>
      <c r="G9" s="180">
        <f t="shared" si="0"/>
        <v>5.8125658125658131</v>
      </c>
      <c r="H9" s="181"/>
      <c r="J9" s="2" t="s">
        <v>402</v>
      </c>
      <c r="K9" s="3"/>
      <c r="L9" s="3"/>
      <c r="M9" s="3"/>
      <c r="N9" s="3"/>
      <c r="O9" s="3"/>
      <c r="P9" s="95"/>
    </row>
    <row r="10" spans="2:16" ht="12.75" customHeight="1" x14ac:dyDescent="0.3">
      <c r="B10" s="376"/>
      <c r="C10" s="379"/>
      <c r="D10" s="58" t="s">
        <v>880</v>
      </c>
      <c r="E10" s="67">
        <v>2030</v>
      </c>
      <c r="F10" s="67">
        <v>2</v>
      </c>
      <c r="G10" s="180">
        <f t="shared" si="0"/>
        <v>2.8149190710767068E-2</v>
      </c>
      <c r="H10" s="181"/>
      <c r="J10" s="7" t="s">
        <v>47</v>
      </c>
      <c r="K10" s="8">
        <v>1.1000000000000001E-3</v>
      </c>
      <c r="L10" s="3"/>
      <c r="M10" s="3"/>
      <c r="N10" s="3"/>
      <c r="O10" s="3"/>
      <c r="P10" s="95"/>
    </row>
    <row r="11" spans="2:16" ht="12.75" customHeight="1" x14ac:dyDescent="0.3">
      <c r="B11" s="376"/>
      <c r="C11" s="379"/>
      <c r="D11" s="58" t="s">
        <v>881</v>
      </c>
      <c r="E11" s="67">
        <v>2042</v>
      </c>
      <c r="F11" s="67">
        <v>142</v>
      </c>
      <c r="G11" s="180">
        <f t="shared" si="0"/>
        <v>1.9868476283755419</v>
      </c>
      <c r="H11" s="182"/>
      <c r="J11" s="7" t="s">
        <v>49</v>
      </c>
      <c r="K11" s="8" t="s">
        <v>146</v>
      </c>
      <c r="L11" s="3"/>
      <c r="M11" s="3"/>
      <c r="N11" s="3"/>
      <c r="O11" s="3"/>
      <c r="P11" s="95"/>
    </row>
    <row r="12" spans="2:16" ht="12.75" customHeight="1" x14ac:dyDescent="0.25">
      <c r="B12" s="377"/>
      <c r="C12" s="380"/>
      <c r="D12" s="58" t="s">
        <v>882</v>
      </c>
      <c r="E12" s="67">
        <v>2036</v>
      </c>
      <c r="F12" s="67">
        <v>151</v>
      </c>
      <c r="G12" s="180">
        <f t="shared" si="0"/>
        <v>2.1190008419870896</v>
      </c>
      <c r="H12" s="181"/>
      <c r="J12" s="2" t="s">
        <v>51</v>
      </c>
      <c r="K12" s="3" t="s">
        <v>52</v>
      </c>
      <c r="L12" s="3"/>
      <c r="M12" s="3"/>
      <c r="N12" s="3"/>
      <c r="O12" s="3"/>
      <c r="P12" s="95"/>
    </row>
    <row r="13" spans="2:16" ht="12.75" customHeight="1" x14ac:dyDescent="0.25">
      <c r="B13" s="376" t="s">
        <v>883</v>
      </c>
      <c r="C13" s="381" t="s">
        <v>919</v>
      </c>
      <c r="D13" s="58" t="s">
        <v>884</v>
      </c>
      <c r="E13" s="67">
        <v>2032</v>
      </c>
      <c r="F13" s="67">
        <v>156</v>
      </c>
      <c r="G13" s="180">
        <f t="shared" si="0"/>
        <v>2.1934758155230591</v>
      </c>
      <c r="H13" s="181"/>
      <c r="J13" s="2" t="s">
        <v>403</v>
      </c>
      <c r="K13" s="3">
        <v>3</v>
      </c>
      <c r="L13" s="3"/>
      <c r="M13" s="3"/>
      <c r="N13" s="3"/>
      <c r="O13" s="3"/>
      <c r="P13" s="95"/>
    </row>
    <row r="14" spans="2:16" ht="12.75" customHeight="1" x14ac:dyDescent="0.25">
      <c r="B14" s="376"/>
      <c r="C14" s="379"/>
      <c r="D14" s="58" t="s">
        <v>885</v>
      </c>
      <c r="E14" s="67">
        <v>2043</v>
      </c>
      <c r="F14" s="67">
        <v>224</v>
      </c>
      <c r="G14" s="180">
        <f t="shared" si="0"/>
        <v>3.1326480665687715</v>
      </c>
      <c r="H14" s="181"/>
      <c r="J14" s="2" t="s">
        <v>404</v>
      </c>
      <c r="K14" s="3">
        <v>12.62</v>
      </c>
      <c r="L14" s="3"/>
      <c r="M14" s="3"/>
      <c r="N14" s="3"/>
      <c r="O14" s="3"/>
      <c r="P14" s="95"/>
    </row>
    <row r="15" spans="2:16" ht="12.75" customHeight="1" x14ac:dyDescent="0.25">
      <c r="B15" s="376"/>
      <c r="C15" s="379"/>
      <c r="D15" s="58" t="s">
        <v>886</v>
      </c>
      <c r="E15" s="67">
        <v>2042</v>
      </c>
      <c r="F15" s="67">
        <v>149</v>
      </c>
      <c r="G15" s="180">
        <f t="shared" si="0"/>
        <v>2.0847908213236321</v>
      </c>
      <c r="H15" s="181"/>
      <c r="J15" s="2" t="s">
        <v>66</v>
      </c>
      <c r="K15" s="3">
        <v>0.67779999999999996</v>
      </c>
      <c r="L15" s="3"/>
      <c r="M15" s="3"/>
      <c r="N15" s="3"/>
      <c r="O15" s="3"/>
      <c r="P15" s="95"/>
    </row>
    <row r="16" spans="2:16" ht="12.75" customHeight="1" x14ac:dyDescent="0.25">
      <c r="B16" s="376"/>
      <c r="C16" s="379"/>
      <c r="D16" s="58" t="s">
        <v>887</v>
      </c>
      <c r="E16" s="67">
        <v>2045</v>
      </c>
      <c r="F16" s="67">
        <v>105</v>
      </c>
      <c r="G16" s="180">
        <f t="shared" si="0"/>
        <v>1.4669926650366749</v>
      </c>
      <c r="H16" s="181"/>
      <c r="J16" s="2"/>
      <c r="K16" s="3"/>
      <c r="L16" s="3"/>
      <c r="M16" s="3"/>
      <c r="N16" s="3"/>
      <c r="O16" s="3"/>
      <c r="P16" s="95"/>
    </row>
    <row r="17" spans="2:16" ht="12.75" customHeight="1" x14ac:dyDescent="0.25">
      <c r="B17" s="376"/>
      <c r="C17" s="379"/>
      <c r="D17" s="58" t="s">
        <v>888</v>
      </c>
      <c r="E17" s="67">
        <v>2045</v>
      </c>
      <c r="F17" s="67">
        <v>149</v>
      </c>
      <c r="G17" s="180">
        <f t="shared" si="0"/>
        <v>2.081732448480615</v>
      </c>
      <c r="H17" s="181"/>
      <c r="J17" s="2" t="s">
        <v>405</v>
      </c>
      <c r="K17" s="3"/>
      <c r="L17" s="3"/>
      <c r="M17" s="3"/>
      <c r="N17" s="3"/>
      <c r="O17" s="3"/>
      <c r="P17" s="95"/>
    </row>
    <row r="18" spans="2:16" ht="12.75" customHeight="1" x14ac:dyDescent="0.25">
      <c r="B18" s="375" t="s">
        <v>889</v>
      </c>
      <c r="C18" s="378" t="s">
        <v>918</v>
      </c>
      <c r="D18" s="58" t="s">
        <v>890</v>
      </c>
      <c r="E18" s="67">
        <v>2039</v>
      </c>
      <c r="F18" s="67">
        <v>135</v>
      </c>
      <c r="G18" s="180">
        <f t="shared" si="0"/>
        <v>1.8916835984025784</v>
      </c>
      <c r="H18" s="181"/>
      <c r="J18" s="2" t="s">
        <v>406</v>
      </c>
      <c r="K18" s="3">
        <v>19.18</v>
      </c>
      <c r="L18" s="3"/>
      <c r="M18" s="3"/>
      <c r="N18" s="3"/>
      <c r="O18" s="3"/>
      <c r="P18" s="95"/>
    </row>
    <row r="19" spans="2:16" ht="12.75" customHeight="1" x14ac:dyDescent="0.25">
      <c r="B19" s="376"/>
      <c r="C19" s="379"/>
      <c r="D19" s="58" t="s">
        <v>891</v>
      </c>
      <c r="E19" s="67">
        <v>2050</v>
      </c>
      <c r="F19" s="67">
        <v>215</v>
      </c>
      <c r="G19" s="180">
        <f t="shared" si="0"/>
        <v>2.996515679442509</v>
      </c>
      <c r="H19" s="181"/>
      <c r="J19" s="2" t="s">
        <v>47</v>
      </c>
      <c r="K19" s="3" t="s">
        <v>48</v>
      </c>
      <c r="L19" s="3"/>
      <c r="M19" s="3"/>
      <c r="N19" s="3"/>
      <c r="O19" s="3"/>
      <c r="P19" s="95"/>
    </row>
    <row r="20" spans="2:16" ht="12.75" customHeight="1" x14ac:dyDescent="0.25">
      <c r="B20" s="376"/>
      <c r="C20" s="379"/>
      <c r="D20" s="58" t="s">
        <v>892</v>
      </c>
      <c r="E20" s="67">
        <v>2038</v>
      </c>
      <c r="F20" s="67">
        <v>206</v>
      </c>
      <c r="G20" s="180">
        <f t="shared" si="0"/>
        <v>2.8879854198794335</v>
      </c>
      <c r="H20" s="181"/>
      <c r="J20" s="2" t="s">
        <v>49</v>
      </c>
      <c r="K20" s="3" t="s">
        <v>50</v>
      </c>
      <c r="L20" s="3"/>
      <c r="M20" s="3"/>
      <c r="N20" s="3"/>
      <c r="O20" s="3"/>
      <c r="P20" s="95"/>
    </row>
    <row r="21" spans="2:16" ht="12.75" customHeight="1" x14ac:dyDescent="0.25">
      <c r="B21" s="376"/>
      <c r="C21" s="379"/>
      <c r="D21" s="58" t="s">
        <v>893</v>
      </c>
      <c r="E21" s="67">
        <v>2034</v>
      </c>
      <c r="F21" s="67">
        <v>139</v>
      </c>
      <c r="G21" s="180">
        <f t="shared" si="0"/>
        <v>1.9525214215479705</v>
      </c>
      <c r="H21" s="181"/>
      <c r="J21" s="2" t="s">
        <v>407</v>
      </c>
      <c r="K21" s="3" t="s">
        <v>52</v>
      </c>
      <c r="L21" s="3"/>
      <c r="M21" s="3"/>
      <c r="N21" s="3"/>
      <c r="O21" s="3"/>
      <c r="P21" s="95"/>
    </row>
    <row r="22" spans="2:16" ht="12.75" customHeight="1" x14ac:dyDescent="0.25">
      <c r="B22" s="377"/>
      <c r="C22" s="380"/>
      <c r="D22" s="58" t="s">
        <v>894</v>
      </c>
      <c r="E22" s="67">
        <v>2040</v>
      </c>
      <c r="F22" s="67">
        <v>97</v>
      </c>
      <c r="G22" s="180">
        <f t="shared" si="0"/>
        <v>1.3585434173669468</v>
      </c>
      <c r="H22" s="181"/>
      <c r="J22" s="2"/>
      <c r="K22" s="3"/>
      <c r="L22" s="3"/>
      <c r="M22" s="3"/>
      <c r="N22" s="3"/>
      <c r="O22" s="3"/>
      <c r="P22" s="95"/>
    </row>
    <row r="23" spans="2:16" ht="12.75" customHeight="1" x14ac:dyDescent="0.25">
      <c r="C23" s="101"/>
      <c r="J23" s="2" t="s">
        <v>408</v>
      </c>
      <c r="K23" s="3" t="s">
        <v>409</v>
      </c>
      <c r="L23" s="3" t="s">
        <v>143</v>
      </c>
      <c r="M23" s="3" t="s">
        <v>410</v>
      </c>
      <c r="N23" s="3"/>
      <c r="O23" s="3"/>
      <c r="P23" s="95"/>
    </row>
    <row r="24" spans="2:16" ht="12.75" customHeight="1" x14ac:dyDescent="0.25">
      <c r="C24" s="24" t="s">
        <v>898</v>
      </c>
      <c r="J24" s="2" t="s">
        <v>411</v>
      </c>
      <c r="K24" s="3">
        <v>549700</v>
      </c>
      <c r="L24" s="3">
        <v>2</v>
      </c>
      <c r="M24" s="3">
        <v>274800</v>
      </c>
      <c r="N24" s="3"/>
      <c r="O24" s="3"/>
      <c r="P24" s="95"/>
    </row>
    <row r="25" spans="2:16" s="102" customFormat="1" ht="12.75" customHeight="1" x14ac:dyDescent="0.25">
      <c r="B25" s="177"/>
      <c r="C25" s="17"/>
      <c r="D25" s="178"/>
      <c r="E25" s="17" t="s">
        <v>3</v>
      </c>
      <c r="F25" s="16" t="s">
        <v>877</v>
      </c>
      <c r="G25" s="17" t="s">
        <v>896</v>
      </c>
      <c r="H25" s="17" t="s">
        <v>907</v>
      </c>
      <c r="J25" s="2" t="s">
        <v>412</v>
      </c>
      <c r="K25" s="3">
        <v>261300</v>
      </c>
      <c r="L25" s="3">
        <v>12</v>
      </c>
      <c r="M25" s="3">
        <v>21780</v>
      </c>
      <c r="N25" s="3"/>
      <c r="O25" s="3"/>
      <c r="P25" s="95"/>
    </row>
    <row r="26" spans="2:16" s="102" customFormat="1" ht="12.75" customHeight="1" x14ac:dyDescent="0.25">
      <c r="B26" s="179"/>
      <c r="C26" s="68"/>
      <c r="E26" s="68"/>
      <c r="F26" s="13"/>
      <c r="G26" s="68" t="s">
        <v>797</v>
      </c>
      <c r="H26" s="20" t="s">
        <v>1397</v>
      </c>
      <c r="J26" s="2" t="s">
        <v>413</v>
      </c>
      <c r="K26" s="3">
        <v>811000</v>
      </c>
      <c r="L26" s="3">
        <v>14</v>
      </c>
      <c r="M26" s="3"/>
      <c r="N26" s="3"/>
      <c r="O26" s="3"/>
      <c r="P26" s="95"/>
    </row>
    <row r="27" spans="2:16" ht="12.75" customHeight="1" x14ac:dyDescent="0.25">
      <c r="B27" s="375" t="s">
        <v>878</v>
      </c>
      <c r="C27" s="378" t="s">
        <v>917</v>
      </c>
      <c r="D27" s="44" t="s">
        <v>282</v>
      </c>
      <c r="E27" s="67">
        <v>2049</v>
      </c>
      <c r="F27" s="67">
        <v>248</v>
      </c>
      <c r="G27" s="180">
        <f t="shared" ref="G27:G41" si="1">10000*F27/E27/35*1000/10000</f>
        <v>3.458132887122638</v>
      </c>
      <c r="H27" s="180">
        <f>G27/G8*100</f>
        <v>397.46217667154701</v>
      </c>
      <c r="J27" s="2"/>
      <c r="K27" s="3"/>
      <c r="L27" s="3"/>
      <c r="M27" s="3"/>
      <c r="N27" s="3"/>
      <c r="O27" s="3"/>
      <c r="P27" s="95"/>
    </row>
    <row r="28" spans="2:16" ht="12.75" customHeight="1" x14ac:dyDescent="0.25">
      <c r="B28" s="376"/>
      <c r="C28" s="379"/>
      <c r="D28" s="44" t="s">
        <v>879</v>
      </c>
      <c r="E28" s="67">
        <v>2056</v>
      </c>
      <c r="F28" s="67">
        <v>2918</v>
      </c>
      <c r="G28" s="180">
        <f t="shared" si="1"/>
        <v>40.550305725403</v>
      </c>
      <c r="H28" s="180">
        <f t="shared" ref="H28:H41" si="2">G28/G9*100</f>
        <v>697.63176939416144</v>
      </c>
      <c r="J28" s="2" t="s">
        <v>414</v>
      </c>
      <c r="K28" s="3" t="s">
        <v>415</v>
      </c>
      <c r="L28" s="3" t="s">
        <v>416</v>
      </c>
      <c r="M28" s="3" t="s">
        <v>417</v>
      </c>
      <c r="N28" s="3" t="s">
        <v>418</v>
      </c>
      <c r="O28" s="3" t="s">
        <v>419</v>
      </c>
      <c r="P28" s="95"/>
    </row>
    <row r="29" spans="2:16" ht="12.75" customHeight="1" x14ac:dyDescent="0.3">
      <c r="B29" s="376"/>
      <c r="C29" s="379"/>
      <c r="D29" s="44" t="s">
        <v>880</v>
      </c>
      <c r="E29" s="67">
        <v>2035</v>
      </c>
      <c r="F29" s="67">
        <v>6</v>
      </c>
      <c r="G29" s="180">
        <f t="shared" si="1"/>
        <v>8.4240084240084237E-2</v>
      </c>
      <c r="H29" s="180">
        <f t="shared" si="2"/>
        <v>299.26289926289923</v>
      </c>
      <c r="J29" s="7" t="s">
        <v>903</v>
      </c>
      <c r="K29" s="8">
        <v>417.5</v>
      </c>
      <c r="L29" s="8">
        <v>4.4729999999999999</v>
      </c>
      <c r="M29" s="8" t="s">
        <v>52</v>
      </c>
      <c r="N29" s="8" t="s">
        <v>146</v>
      </c>
      <c r="O29" s="8" t="s">
        <v>904</v>
      </c>
      <c r="P29" s="95"/>
    </row>
    <row r="30" spans="2:16" ht="12.75" customHeight="1" x14ac:dyDescent="0.3">
      <c r="B30" s="376"/>
      <c r="C30" s="379"/>
      <c r="D30" s="44" t="s">
        <v>881</v>
      </c>
      <c r="E30" s="67">
        <v>2046</v>
      </c>
      <c r="F30" s="67">
        <v>336</v>
      </c>
      <c r="G30" s="180">
        <f t="shared" si="1"/>
        <v>4.6920821114369504</v>
      </c>
      <c r="H30" s="180">
        <f t="shared" si="2"/>
        <v>236.15711866506962</v>
      </c>
      <c r="J30" s="7" t="s">
        <v>905</v>
      </c>
      <c r="K30" s="8">
        <v>393.7</v>
      </c>
      <c r="L30" s="8">
        <v>4.218</v>
      </c>
      <c r="M30" s="8" t="s">
        <v>52</v>
      </c>
      <c r="N30" s="8" t="s">
        <v>146</v>
      </c>
      <c r="O30" s="8" t="s">
        <v>906</v>
      </c>
      <c r="P30" s="95"/>
    </row>
    <row r="31" spans="2:16" ht="12.75" customHeight="1" x14ac:dyDescent="0.45">
      <c r="B31" s="377"/>
      <c r="C31" s="380"/>
      <c r="D31" s="44" t="s">
        <v>882</v>
      </c>
      <c r="E31" s="67">
        <v>2047</v>
      </c>
      <c r="F31" s="67">
        <v>1161</v>
      </c>
      <c r="G31" s="180">
        <f t="shared" si="1"/>
        <v>16.204899155558653</v>
      </c>
      <c r="H31" s="180">
        <f>G31/G12*100</f>
        <v>764.74245948682756</v>
      </c>
    </row>
    <row r="32" spans="2:16" ht="12.75" customHeight="1" x14ac:dyDescent="0.3">
      <c r="B32" s="376" t="s">
        <v>883</v>
      </c>
      <c r="C32" s="381" t="s">
        <v>919</v>
      </c>
      <c r="D32" s="44" t="s">
        <v>884</v>
      </c>
      <c r="E32" s="67">
        <v>2035</v>
      </c>
      <c r="F32" s="67">
        <v>106</v>
      </c>
      <c r="G32" s="180">
        <f t="shared" si="1"/>
        <v>1.4882414882414881</v>
      </c>
      <c r="H32" s="180">
        <f t="shared" si="2"/>
        <v>67.848547848547852</v>
      </c>
      <c r="J32" s="2" t="s">
        <v>41</v>
      </c>
      <c r="K32" s="8" t="s">
        <v>908</v>
      </c>
      <c r="L32" s="3"/>
      <c r="M32" s="3"/>
      <c r="N32" s="3"/>
      <c r="O32" s="3"/>
      <c r="P32" s="95"/>
    </row>
    <row r="33" spans="2:16" ht="12.75" customHeight="1" x14ac:dyDescent="0.25">
      <c r="B33" s="376"/>
      <c r="C33" s="379"/>
      <c r="D33" s="44" t="s">
        <v>885</v>
      </c>
      <c r="E33" s="67">
        <v>2046</v>
      </c>
      <c r="F33" s="67">
        <v>126</v>
      </c>
      <c r="G33" s="180">
        <f t="shared" si="1"/>
        <v>1.7595307917888563</v>
      </c>
      <c r="H33" s="180">
        <f t="shared" si="2"/>
        <v>56.167521994134894</v>
      </c>
      <c r="J33" s="2"/>
      <c r="K33" s="3"/>
      <c r="L33" s="3"/>
      <c r="M33" s="3"/>
      <c r="N33" s="3"/>
      <c r="O33" s="3"/>
      <c r="P33" s="95"/>
    </row>
    <row r="34" spans="2:16" ht="12.75" customHeight="1" x14ac:dyDescent="0.25">
      <c r="B34" s="376"/>
      <c r="C34" s="379"/>
      <c r="D34" s="44" t="s">
        <v>886</v>
      </c>
      <c r="E34" s="67">
        <v>2048</v>
      </c>
      <c r="F34" s="67">
        <v>57</v>
      </c>
      <c r="G34" s="180">
        <f t="shared" si="1"/>
        <v>0.79520089285714279</v>
      </c>
      <c r="H34" s="180">
        <f t="shared" si="2"/>
        <v>38.142958263422813</v>
      </c>
      <c r="J34" s="2" t="s">
        <v>402</v>
      </c>
      <c r="K34" s="3"/>
      <c r="L34" s="3"/>
      <c r="M34" s="3"/>
      <c r="N34" s="3"/>
      <c r="O34" s="3"/>
      <c r="P34" s="95"/>
    </row>
    <row r="35" spans="2:16" ht="12.75" customHeight="1" x14ac:dyDescent="0.3">
      <c r="B35" s="376"/>
      <c r="C35" s="379"/>
      <c r="D35" s="44" t="s">
        <v>887</v>
      </c>
      <c r="E35" s="67">
        <v>2055</v>
      </c>
      <c r="F35" s="67">
        <v>70</v>
      </c>
      <c r="G35" s="180">
        <f t="shared" si="1"/>
        <v>0.97323600973236002</v>
      </c>
      <c r="H35" s="180">
        <f t="shared" si="2"/>
        <v>66.342254663422537</v>
      </c>
      <c r="J35" s="7" t="s">
        <v>47</v>
      </c>
      <c r="K35" s="8">
        <v>1.2200000000000001E-2</v>
      </c>
      <c r="L35" s="3"/>
      <c r="M35" s="3"/>
      <c r="N35" s="3"/>
      <c r="O35" s="3"/>
      <c r="P35" s="95"/>
    </row>
    <row r="36" spans="2:16" ht="12.75" customHeight="1" x14ac:dyDescent="0.3">
      <c r="B36" s="376"/>
      <c r="C36" s="379"/>
      <c r="D36" s="44" t="s">
        <v>888</v>
      </c>
      <c r="E36" s="67">
        <v>2045</v>
      </c>
      <c r="F36" s="67">
        <v>69</v>
      </c>
      <c r="G36" s="180">
        <f t="shared" si="1"/>
        <v>0.96402375130981477</v>
      </c>
      <c r="H36" s="180">
        <f t="shared" si="2"/>
        <v>46.30872483221475</v>
      </c>
      <c r="J36" s="7" t="s">
        <v>49</v>
      </c>
      <c r="K36" s="8" t="s">
        <v>332</v>
      </c>
      <c r="L36" s="3"/>
      <c r="M36" s="3"/>
      <c r="N36" s="3"/>
      <c r="O36" s="3"/>
      <c r="P36" s="95"/>
    </row>
    <row r="37" spans="2:16" ht="12.75" customHeight="1" x14ac:dyDescent="0.25">
      <c r="B37" s="375" t="s">
        <v>889</v>
      </c>
      <c r="C37" s="378" t="s">
        <v>918</v>
      </c>
      <c r="D37" s="44" t="s">
        <v>890</v>
      </c>
      <c r="E37" s="67">
        <v>2068</v>
      </c>
      <c r="F37" s="67">
        <v>73</v>
      </c>
      <c r="G37" s="180">
        <f t="shared" si="1"/>
        <v>1.0085659021829234</v>
      </c>
      <c r="H37" s="180">
        <f t="shared" si="2"/>
        <v>53.315781932803205</v>
      </c>
      <c r="J37" s="2" t="s">
        <v>51</v>
      </c>
      <c r="K37" s="3" t="s">
        <v>52</v>
      </c>
      <c r="L37" s="3"/>
      <c r="M37" s="3"/>
      <c r="N37" s="3"/>
      <c r="O37" s="3"/>
      <c r="P37" s="95"/>
    </row>
    <row r="38" spans="2:16" ht="12.75" customHeight="1" x14ac:dyDescent="0.25">
      <c r="B38" s="376"/>
      <c r="C38" s="379"/>
      <c r="D38" s="44" t="s">
        <v>891</v>
      </c>
      <c r="E38" s="67">
        <v>2061</v>
      </c>
      <c r="F38" s="67">
        <v>66</v>
      </c>
      <c r="G38" s="180">
        <f t="shared" si="1"/>
        <v>0.91495113329174471</v>
      </c>
      <c r="H38" s="180">
        <f t="shared" si="2"/>
        <v>30.533834331945432</v>
      </c>
      <c r="J38" s="2" t="s">
        <v>403</v>
      </c>
      <c r="K38" s="3">
        <v>3</v>
      </c>
      <c r="L38" s="3"/>
      <c r="M38" s="3"/>
      <c r="N38" s="3"/>
      <c r="O38" s="3"/>
      <c r="P38" s="95"/>
    </row>
    <row r="39" spans="2:16" ht="12.75" customHeight="1" x14ac:dyDescent="0.25">
      <c r="B39" s="376"/>
      <c r="C39" s="379"/>
      <c r="D39" s="44" t="s">
        <v>892</v>
      </c>
      <c r="E39" s="67">
        <v>2044</v>
      </c>
      <c r="F39" s="67">
        <v>73</v>
      </c>
      <c r="G39" s="180">
        <f t="shared" si="1"/>
        <v>1.0204081632653061</v>
      </c>
      <c r="H39" s="180">
        <f t="shared" si="2"/>
        <v>35.332871012482663</v>
      </c>
      <c r="J39" s="2" t="s">
        <v>404</v>
      </c>
      <c r="K39" s="3">
        <v>6.5140000000000002</v>
      </c>
      <c r="L39" s="3"/>
      <c r="M39" s="3"/>
      <c r="N39" s="3"/>
      <c r="O39" s="3"/>
      <c r="P39" s="95"/>
    </row>
    <row r="40" spans="2:16" ht="12.75" customHeight="1" x14ac:dyDescent="0.25">
      <c r="B40" s="376"/>
      <c r="C40" s="379"/>
      <c r="D40" s="44" t="s">
        <v>893</v>
      </c>
      <c r="E40" s="67">
        <v>2058</v>
      </c>
      <c r="F40" s="67">
        <v>99</v>
      </c>
      <c r="G40" s="180">
        <f t="shared" si="1"/>
        <v>1.3744273219491878</v>
      </c>
      <c r="H40" s="180">
        <f t="shared" si="2"/>
        <v>70.392432409757305</v>
      </c>
      <c r="J40" s="2" t="s">
        <v>66</v>
      </c>
      <c r="K40" s="3">
        <v>0.52049999999999996</v>
      </c>
      <c r="L40" s="3"/>
      <c r="M40" s="3"/>
      <c r="N40" s="3"/>
      <c r="O40" s="3"/>
      <c r="P40" s="95"/>
    </row>
    <row r="41" spans="2:16" ht="12.75" customHeight="1" x14ac:dyDescent="0.25">
      <c r="B41" s="377"/>
      <c r="C41" s="380"/>
      <c r="D41" s="44" t="s">
        <v>894</v>
      </c>
      <c r="E41" s="67">
        <v>2076</v>
      </c>
      <c r="F41" s="67">
        <v>202</v>
      </c>
      <c r="G41" s="180">
        <f t="shared" si="1"/>
        <v>2.7800715661987336</v>
      </c>
      <c r="H41" s="180">
        <f t="shared" si="2"/>
        <v>204.63619569751503</v>
      </c>
      <c r="J41" s="2"/>
      <c r="K41" s="3"/>
      <c r="L41" s="3"/>
      <c r="M41" s="3"/>
      <c r="N41" s="3"/>
      <c r="O41" s="3"/>
      <c r="P41" s="95"/>
    </row>
    <row r="42" spans="2:16" ht="12.75" customHeight="1" x14ac:dyDescent="0.25">
      <c r="J42" s="2" t="s">
        <v>405</v>
      </c>
      <c r="K42" s="3"/>
      <c r="L42" s="3"/>
      <c r="M42" s="3"/>
      <c r="N42" s="3"/>
      <c r="O42" s="3"/>
      <c r="P42" s="95"/>
    </row>
    <row r="43" spans="2:16" ht="12.75" customHeight="1" x14ac:dyDescent="0.25">
      <c r="C43" s="24" t="s">
        <v>899</v>
      </c>
      <c r="J43" s="2" t="s">
        <v>406</v>
      </c>
      <c r="K43" s="3">
        <v>13.72</v>
      </c>
      <c r="L43" s="3"/>
      <c r="M43" s="3"/>
      <c r="N43" s="3"/>
      <c r="O43" s="3"/>
      <c r="P43" s="95"/>
    </row>
    <row r="44" spans="2:16" s="102" customFormat="1" ht="12.75" customHeight="1" x14ac:dyDescent="0.25">
      <c r="B44" s="177"/>
      <c r="C44" s="17"/>
      <c r="D44" s="178"/>
      <c r="E44" s="17" t="s">
        <v>3</v>
      </c>
      <c r="F44" s="16" t="s">
        <v>877</v>
      </c>
      <c r="G44" s="17" t="s">
        <v>896</v>
      </c>
      <c r="H44" s="17" t="s">
        <v>907</v>
      </c>
      <c r="J44" s="2" t="s">
        <v>47</v>
      </c>
      <c r="K44" s="3">
        <v>1.1000000000000001E-3</v>
      </c>
      <c r="L44" s="3"/>
      <c r="M44" s="3"/>
      <c r="N44" s="3"/>
      <c r="O44" s="3"/>
      <c r="P44" s="95"/>
    </row>
    <row r="45" spans="2:16" s="102" customFormat="1" ht="12.75" customHeight="1" x14ac:dyDescent="0.25">
      <c r="B45" s="179"/>
      <c r="C45" s="68"/>
      <c r="E45" s="68"/>
      <c r="F45" s="13"/>
      <c r="G45" s="68" t="s">
        <v>797</v>
      </c>
      <c r="H45" s="20" t="s">
        <v>1397</v>
      </c>
      <c r="J45" s="2" t="s">
        <v>49</v>
      </c>
      <c r="K45" s="3" t="s">
        <v>146</v>
      </c>
      <c r="L45" s="3"/>
      <c r="M45" s="3"/>
      <c r="N45" s="3"/>
      <c r="O45" s="3"/>
      <c r="P45" s="95"/>
    </row>
    <row r="46" spans="2:16" ht="12.75" customHeight="1" x14ac:dyDescent="0.25">
      <c r="B46" s="375" t="s">
        <v>878</v>
      </c>
      <c r="C46" s="378" t="s">
        <v>917</v>
      </c>
      <c r="D46" s="44" t="s">
        <v>282</v>
      </c>
      <c r="E46" s="67">
        <v>2046</v>
      </c>
      <c r="F46" s="67">
        <v>239</v>
      </c>
      <c r="G46" s="180">
        <f t="shared" ref="G46:G60" si="3">10000*F46/E46/35*1000/10000</f>
        <v>3.3375226923614019</v>
      </c>
      <c r="H46" s="180">
        <f>G46/G8*100</f>
        <v>383.59978557689271</v>
      </c>
      <c r="J46" s="2" t="s">
        <v>407</v>
      </c>
      <c r="K46" s="3" t="s">
        <v>52</v>
      </c>
      <c r="L46" s="3"/>
      <c r="M46" s="3"/>
      <c r="N46" s="3"/>
      <c r="O46" s="3"/>
      <c r="P46" s="95"/>
    </row>
    <row r="47" spans="2:16" ht="12.75" customHeight="1" x14ac:dyDescent="0.25">
      <c r="B47" s="376"/>
      <c r="C47" s="379"/>
      <c r="D47" s="44" t="s">
        <v>879</v>
      </c>
      <c r="E47" s="67">
        <v>2061</v>
      </c>
      <c r="F47" s="67">
        <v>2616</v>
      </c>
      <c r="G47" s="180">
        <f t="shared" si="3"/>
        <v>36.265335828654607</v>
      </c>
      <c r="H47" s="180">
        <f t="shared" ref="H47:H60" si="4">G47/G9*100</f>
        <v>623.91269188307342</v>
      </c>
      <c r="J47" s="2"/>
      <c r="K47" s="3"/>
      <c r="L47" s="3"/>
      <c r="M47" s="3"/>
      <c r="N47" s="3"/>
      <c r="O47" s="3"/>
      <c r="P47" s="95"/>
    </row>
    <row r="48" spans="2:16" ht="12.75" customHeight="1" x14ac:dyDescent="0.25">
      <c r="B48" s="376"/>
      <c r="C48" s="379"/>
      <c r="D48" s="44" t="s">
        <v>880</v>
      </c>
      <c r="E48" s="67">
        <v>2042</v>
      </c>
      <c r="F48" s="67">
        <v>0</v>
      </c>
      <c r="G48" s="180">
        <f t="shared" si="3"/>
        <v>0</v>
      </c>
      <c r="H48" s="180">
        <f t="shared" si="4"/>
        <v>0</v>
      </c>
      <c r="J48" s="2" t="s">
        <v>408</v>
      </c>
      <c r="K48" s="3" t="s">
        <v>409</v>
      </c>
      <c r="L48" s="3" t="s">
        <v>143</v>
      </c>
      <c r="M48" s="3" t="s">
        <v>410</v>
      </c>
      <c r="N48" s="3"/>
      <c r="O48" s="3"/>
      <c r="P48" s="95"/>
    </row>
    <row r="49" spans="2:16" ht="12.75" customHeight="1" x14ac:dyDescent="0.25">
      <c r="B49" s="376"/>
      <c r="C49" s="379"/>
      <c r="D49" s="44" t="s">
        <v>881</v>
      </c>
      <c r="E49" s="67">
        <v>2043</v>
      </c>
      <c r="F49" s="67">
        <v>320</v>
      </c>
      <c r="G49" s="180">
        <f t="shared" si="3"/>
        <v>4.4752115236696728</v>
      </c>
      <c r="H49" s="180">
        <f t="shared" si="4"/>
        <v>225.2418081666701</v>
      </c>
      <c r="J49" s="2" t="s">
        <v>411</v>
      </c>
      <c r="K49" s="3">
        <v>250900</v>
      </c>
      <c r="L49" s="3">
        <v>2</v>
      </c>
      <c r="M49" s="3">
        <v>125500</v>
      </c>
      <c r="N49" s="3"/>
      <c r="O49" s="3"/>
      <c r="P49" s="95"/>
    </row>
    <row r="50" spans="2:16" ht="12.75" customHeight="1" x14ac:dyDescent="0.25">
      <c r="B50" s="377"/>
      <c r="C50" s="380"/>
      <c r="D50" s="44" t="s">
        <v>882</v>
      </c>
      <c r="E50" s="67">
        <v>2048</v>
      </c>
      <c r="F50" s="67">
        <v>528</v>
      </c>
      <c r="G50" s="180">
        <f t="shared" si="3"/>
        <v>7.3660714285714288</v>
      </c>
      <c r="H50" s="180">
        <f t="shared" si="4"/>
        <v>347.62003311258275</v>
      </c>
      <c r="J50" s="2" t="s">
        <v>412</v>
      </c>
      <c r="K50" s="3">
        <v>231100</v>
      </c>
      <c r="L50" s="3">
        <v>12</v>
      </c>
      <c r="M50" s="3">
        <v>19260</v>
      </c>
      <c r="N50" s="3"/>
      <c r="O50" s="3"/>
      <c r="P50" s="95"/>
    </row>
    <row r="51" spans="2:16" ht="12.75" customHeight="1" x14ac:dyDescent="0.25">
      <c r="B51" s="376" t="s">
        <v>883</v>
      </c>
      <c r="C51" s="381" t="s">
        <v>919</v>
      </c>
      <c r="D51" s="44" t="s">
        <v>884</v>
      </c>
      <c r="E51" s="67">
        <v>2032</v>
      </c>
      <c r="F51" s="67">
        <v>58</v>
      </c>
      <c r="G51" s="180">
        <f t="shared" si="3"/>
        <v>0.81552305961754779</v>
      </c>
      <c r="H51" s="180">
        <f t="shared" si="4"/>
        <v>37.17948717948719</v>
      </c>
      <c r="J51" s="2" t="s">
        <v>413</v>
      </c>
      <c r="K51" s="3">
        <v>482100</v>
      </c>
      <c r="L51" s="3">
        <v>14</v>
      </c>
      <c r="M51" s="3"/>
      <c r="N51" s="3"/>
      <c r="O51" s="3"/>
      <c r="P51" s="95"/>
    </row>
    <row r="52" spans="2:16" ht="12.75" customHeight="1" x14ac:dyDescent="0.25">
      <c r="B52" s="376"/>
      <c r="C52" s="379"/>
      <c r="D52" s="44" t="s">
        <v>885</v>
      </c>
      <c r="E52" s="67">
        <v>2050</v>
      </c>
      <c r="F52" s="67">
        <v>37</v>
      </c>
      <c r="G52" s="180">
        <f t="shared" si="3"/>
        <v>0.51567944250871089</v>
      </c>
      <c r="H52" s="180">
        <f t="shared" si="4"/>
        <v>16.461454703832757</v>
      </c>
      <c r="J52" s="2"/>
      <c r="K52" s="3"/>
      <c r="L52" s="3"/>
      <c r="M52" s="3"/>
      <c r="N52" s="3"/>
      <c r="O52" s="3"/>
      <c r="P52" s="95"/>
    </row>
    <row r="53" spans="2:16" ht="12.75" customHeight="1" x14ac:dyDescent="0.25">
      <c r="B53" s="376"/>
      <c r="C53" s="379"/>
      <c r="D53" s="44" t="s">
        <v>886</v>
      </c>
      <c r="E53" s="67">
        <v>2041</v>
      </c>
      <c r="F53" s="67">
        <v>23</v>
      </c>
      <c r="G53" s="180">
        <f t="shared" si="3"/>
        <v>0.32197102260796528</v>
      </c>
      <c r="H53" s="180">
        <f t="shared" si="4"/>
        <v>15.443804688450523</v>
      </c>
      <c r="J53" s="2" t="s">
        <v>414</v>
      </c>
      <c r="K53" s="3" t="s">
        <v>415</v>
      </c>
      <c r="L53" s="3" t="s">
        <v>416</v>
      </c>
      <c r="M53" s="3" t="s">
        <v>417</v>
      </c>
      <c r="N53" s="3" t="s">
        <v>418</v>
      </c>
      <c r="O53" s="3" t="s">
        <v>419</v>
      </c>
      <c r="P53" s="95"/>
    </row>
    <row r="54" spans="2:16" ht="12.75" customHeight="1" x14ac:dyDescent="0.3">
      <c r="B54" s="376"/>
      <c r="C54" s="379"/>
      <c r="D54" s="44" t="s">
        <v>887</v>
      </c>
      <c r="E54" s="67">
        <v>2055</v>
      </c>
      <c r="F54" s="67">
        <v>75</v>
      </c>
      <c r="G54" s="180">
        <f t="shared" si="3"/>
        <v>1.0427528675703857</v>
      </c>
      <c r="H54" s="180">
        <f t="shared" si="4"/>
        <v>71.080987139381278</v>
      </c>
      <c r="J54" s="7" t="s">
        <v>903</v>
      </c>
      <c r="K54" s="8">
        <v>285.8</v>
      </c>
      <c r="L54" s="8">
        <v>3.2549999999999999</v>
      </c>
      <c r="M54" s="8" t="s">
        <v>52</v>
      </c>
      <c r="N54" s="8" t="s">
        <v>332</v>
      </c>
      <c r="O54" s="8" t="s">
        <v>909</v>
      </c>
      <c r="P54" s="95"/>
    </row>
    <row r="55" spans="2:16" ht="12.75" customHeight="1" x14ac:dyDescent="0.3">
      <c r="B55" s="376"/>
      <c r="C55" s="379"/>
      <c r="D55" s="44" t="s">
        <v>888</v>
      </c>
      <c r="E55" s="67">
        <v>2054</v>
      </c>
      <c r="F55" s="67">
        <v>18</v>
      </c>
      <c r="G55" s="180">
        <f t="shared" si="3"/>
        <v>0.25038252886354151</v>
      </c>
      <c r="H55" s="180">
        <f t="shared" si="4"/>
        <v>12.027603693562403</v>
      </c>
      <c r="J55" s="7" t="s">
        <v>905</v>
      </c>
      <c r="K55" s="8">
        <v>261.39999999999998</v>
      </c>
      <c r="L55" s="8">
        <v>2.9780000000000002</v>
      </c>
      <c r="M55" s="8" t="s">
        <v>52</v>
      </c>
      <c r="N55" s="8" t="s">
        <v>332</v>
      </c>
      <c r="O55" s="8" t="s">
        <v>910</v>
      </c>
      <c r="P55" s="95"/>
    </row>
    <row r="56" spans="2:16" ht="12.75" customHeight="1" x14ac:dyDescent="0.45">
      <c r="B56" s="375" t="s">
        <v>889</v>
      </c>
      <c r="C56" s="378" t="s">
        <v>918</v>
      </c>
      <c r="D56" s="44" t="s">
        <v>890</v>
      </c>
      <c r="E56" s="67">
        <v>2053</v>
      </c>
      <c r="F56" s="67">
        <v>16</v>
      </c>
      <c r="G56" s="180">
        <f t="shared" si="3"/>
        <v>0.22267065618258999</v>
      </c>
      <c r="H56" s="180">
        <f t="shared" si="4"/>
        <v>11.771030650718913</v>
      </c>
    </row>
    <row r="57" spans="2:16" ht="12.75" customHeight="1" x14ac:dyDescent="0.3">
      <c r="B57" s="376"/>
      <c r="C57" s="379"/>
      <c r="D57" s="44" t="s">
        <v>891</v>
      </c>
      <c r="E57" s="67">
        <v>2062</v>
      </c>
      <c r="F57" s="67">
        <v>17</v>
      </c>
      <c r="G57" s="180">
        <f t="shared" si="3"/>
        <v>0.23555493972564778</v>
      </c>
      <c r="H57" s="180">
        <f t="shared" si="4"/>
        <v>7.860961360611733</v>
      </c>
      <c r="J57" s="2" t="s">
        <v>41</v>
      </c>
      <c r="K57" s="8" t="s">
        <v>911</v>
      </c>
      <c r="L57" s="3"/>
      <c r="M57" s="3"/>
      <c r="N57" s="3"/>
      <c r="O57" s="3"/>
      <c r="P57" s="95"/>
    </row>
    <row r="58" spans="2:16" ht="12.75" customHeight="1" x14ac:dyDescent="0.25">
      <c r="B58" s="376"/>
      <c r="C58" s="379"/>
      <c r="D58" s="44" t="s">
        <v>892</v>
      </c>
      <c r="E58" s="67">
        <v>2068</v>
      </c>
      <c r="F58" s="67">
        <v>19</v>
      </c>
      <c r="G58" s="180">
        <f t="shared" si="3"/>
        <v>0.26250345399281572</v>
      </c>
      <c r="H58" s="180">
        <f t="shared" si="4"/>
        <v>9.0895006666541498</v>
      </c>
      <c r="J58" s="2"/>
      <c r="K58" s="3"/>
      <c r="L58" s="3"/>
      <c r="M58" s="3"/>
      <c r="N58" s="3"/>
      <c r="O58" s="3"/>
      <c r="P58" s="95"/>
    </row>
    <row r="59" spans="2:16" ht="12.75" customHeight="1" x14ac:dyDescent="0.25">
      <c r="B59" s="376"/>
      <c r="C59" s="379"/>
      <c r="D59" s="44" t="s">
        <v>893</v>
      </c>
      <c r="E59" s="67">
        <v>2058</v>
      </c>
      <c r="F59" s="67">
        <v>105</v>
      </c>
      <c r="G59" s="180">
        <f t="shared" si="3"/>
        <v>1.457725947521866</v>
      </c>
      <c r="H59" s="180">
        <f t="shared" si="4"/>
        <v>74.658640434591092</v>
      </c>
      <c r="J59" s="2" t="s">
        <v>402</v>
      </c>
      <c r="K59" s="3"/>
      <c r="L59" s="3"/>
      <c r="M59" s="3"/>
      <c r="N59" s="3"/>
      <c r="O59" s="3"/>
      <c r="P59" s="95"/>
    </row>
    <row r="60" spans="2:16" ht="12.75" customHeight="1" x14ac:dyDescent="0.3">
      <c r="B60" s="377"/>
      <c r="C60" s="380"/>
      <c r="D60" s="44" t="s">
        <v>894</v>
      </c>
      <c r="E60" s="67">
        <v>2053</v>
      </c>
      <c r="F60" s="67">
        <v>167</v>
      </c>
      <c r="G60" s="180">
        <f t="shared" si="3"/>
        <v>2.3241249739057825</v>
      </c>
      <c r="H60" s="180">
        <f t="shared" si="4"/>
        <v>171.07476612048748</v>
      </c>
      <c r="J60" s="7" t="s">
        <v>47</v>
      </c>
      <c r="K60" s="8" t="s">
        <v>48</v>
      </c>
      <c r="L60" s="3"/>
      <c r="M60" s="3"/>
      <c r="N60" s="3"/>
      <c r="O60" s="3"/>
      <c r="P60" s="95"/>
    </row>
    <row r="61" spans="2:16" ht="12.75" customHeight="1" x14ac:dyDescent="0.3">
      <c r="J61" s="7" t="s">
        <v>49</v>
      </c>
      <c r="K61" s="8" t="s">
        <v>50</v>
      </c>
      <c r="L61" s="3"/>
      <c r="M61" s="3"/>
      <c r="N61" s="3"/>
      <c r="O61" s="3"/>
      <c r="P61" s="95"/>
    </row>
    <row r="62" spans="2:16" ht="12.75" customHeight="1" x14ac:dyDescent="0.25">
      <c r="C62" s="24" t="s">
        <v>900</v>
      </c>
      <c r="J62" s="2" t="s">
        <v>51</v>
      </c>
      <c r="K62" s="3" t="s">
        <v>52</v>
      </c>
      <c r="L62" s="3"/>
      <c r="M62" s="3"/>
      <c r="N62" s="3"/>
      <c r="O62" s="3"/>
      <c r="P62" s="95"/>
    </row>
    <row r="63" spans="2:16" s="102" customFormat="1" ht="12.75" customHeight="1" x14ac:dyDescent="0.25">
      <c r="B63" s="177"/>
      <c r="C63" s="17"/>
      <c r="D63" s="178"/>
      <c r="E63" s="17" t="s">
        <v>3</v>
      </c>
      <c r="F63" s="16" t="s">
        <v>877</v>
      </c>
      <c r="G63" s="17" t="s">
        <v>896</v>
      </c>
      <c r="H63" s="17" t="s">
        <v>907</v>
      </c>
      <c r="J63" s="2" t="s">
        <v>403</v>
      </c>
      <c r="K63" s="3">
        <v>3</v>
      </c>
      <c r="L63" s="3"/>
      <c r="M63" s="3"/>
      <c r="N63" s="3"/>
      <c r="O63" s="3"/>
      <c r="P63" s="95"/>
    </row>
    <row r="64" spans="2:16" s="102" customFormat="1" ht="12.75" customHeight="1" x14ac:dyDescent="0.25">
      <c r="B64" s="179"/>
      <c r="C64" s="68"/>
      <c r="E64" s="68"/>
      <c r="F64" s="13"/>
      <c r="G64" s="68" t="s">
        <v>797</v>
      </c>
      <c r="H64" s="20" t="s">
        <v>1397</v>
      </c>
      <c r="J64" s="2" t="s">
        <v>404</v>
      </c>
      <c r="K64" s="3">
        <v>22.78</v>
      </c>
      <c r="L64" s="3"/>
      <c r="M64" s="3"/>
      <c r="N64" s="3"/>
      <c r="O64" s="3"/>
      <c r="P64" s="95"/>
    </row>
    <row r="65" spans="2:16" ht="12.75" customHeight="1" x14ac:dyDescent="0.25">
      <c r="B65" s="375" t="s">
        <v>878</v>
      </c>
      <c r="C65" s="378" t="s">
        <v>917</v>
      </c>
      <c r="D65" s="44" t="s">
        <v>282</v>
      </c>
      <c r="E65" s="67">
        <v>2051</v>
      </c>
      <c r="F65" s="67">
        <v>208</v>
      </c>
      <c r="G65" s="180">
        <f t="shared" ref="G65:G79" si="5">10000*F65/E65/35*1000/10000</f>
        <v>2.8975412690673541</v>
      </c>
      <c r="H65" s="180">
        <f>G65/G8*100</f>
        <v>333.03030779635424</v>
      </c>
      <c r="J65" s="2" t="s">
        <v>66</v>
      </c>
      <c r="K65" s="3">
        <v>0.79149999999999998</v>
      </c>
      <c r="L65" s="3"/>
      <c r="M65" s="3"/>
      <c r="N65" s="3"/>
      <c r="O65" s="3"/>
      <c r="P65" s="95"/>
    </row>
    <row r="66" spans="2:16" ht="12.75" customHeight="1" x14ac:dyDescent="0.25">
      <c r="B66" s="376"/>
      <c r="C66" s="379"/>
      <c r="D66" s="44" t="s">
        <v>879</v>
      </c>
      <c r="E66" s="67">
        <v>2069</v>
      </c>
      <c r="F66" s="67">
        <v>977</v>
      </c>
      <c r="G66" s="180">
        <f t="shared" si="5"/>
        <v>13.491679900573084</v>
      </c>
      <c r="H66" s="180">
        <f t="shared" ref="H66:H79" si="6">G66/G9*100</f>
        <v>232.11229490780622</v>
      </c>
      <c r="J66" s="2"/>
      <c r="K66" s="3"/>
      <c r="L66" s="3"/>
      <c r="M66" s="3"/>
      <c r="N66" s="3"/>
      <c r="O66" s="3"/>
      <c r="P66" s="95"/>
    </row>
    <row r="67" spans="2:16" ht="12.75" customHeight="1" x14ac:dyDescent="0.25">
      <c r="B67" s="376"/>
      <c r="C67" s="379"/>
      <c r="D67" s="44" t="s">
        <v>880</v>
      </c>
      <c r="E67" s="67">
        <v>2057</v>
      </c>
      <c r="F67" s="67">
        <v>2</v>
      </c>
      <c r="G67" s="180">
        <f t="shared" si="5"/>
        <v>2.7779706924091953E-2</v>
      </c>
      <c r="H67" s="180">
        <f t="shared" si="6"/>
        <v>98.68740884783665</v>
      </c>
      <c r="J67" s="2" t="s">
        <v>405</v>
      </c>
      <c r="K67" s="3"/>
      <c r="L67" s="3"/>
      <c r="M67" s="3"/>
      <c r="N67" s="3"/>
      <c r="O67" s="3"/>
      <c r="P67" s="95"/>
    </row>
    <row r="68" spans="2:16" ht="12.75" customHeight="1" x14ac:dyDescent="0.25">
      <c r="B68" s="376"/>
      <c r="C68" s="379"/>
      <c r="D68" s="44" t="s">
        <v>881</v>
      </c>
      <c r="E68" s="67">
        <v>2046</v>
      </c>
      <c r="F68" s="67">
        <v>257</v>
      </c>
      <c r="G68" s="180">
        <f t="shared" si="5"/>
        <v>3.5888842340455236</v>
      </c>
      <c r="H68" s="180">
        <f t="shared" si="6"/>
        <v>180.63208183608</v>
      </c>
      <c r="J68" s="2" t="s">
        <v>406</v>
      </c>
      <c r="K68" s="3">
        <v>25.57</v>
      </c>
      <c r="L68" s="3"/>
      <c r="M68" s="3"/>
      <c r="N68" s="3"/>
      <c r="O68" s="3"/>
      <c r="P68" s="95"/>
    </row>
    <row r="69" spans="2:16" ht="12.75" customHeight="1" x14ac:dyDescent="0.25">
      <c r="B69" s="377"/>
      <c r="C69" s="380"/>
      <c r="D69" s="44" t="s">
        <v>882</v>
      </c>
      <c r="E69" s="67">
        <v>2051</v>
      </c>
      <c r="F69" s="67">
        <v>489</v>
      </c>
      <c r="G69" s="180">
        <f t="shared" si="5"/>
        <v>6.8120080796823839</v>
      </c>
      <c r="H69" s="180">
        <f t="shared" si="6"/>
        <v>321.47264619746136</v>
      </c>
      <c r="J69" s="2" t="s">
        <v>47</v>
      </c>
      <c r="K69" s="3" t="s">
        <v>48</v>
      </c>
      <c r="L69" s="3"/>
      <c r="M69" s="3"/>
      <c r="N69" s="3"/>
      <c r="O69" s="3"/>
      <c r="P69" s="95"/>
    </row>
    <row r="70" spans="2:16" ht="12.75" customHeight="1" x14ac:dyDescent="0.25">
      <c r="B70" s="376" t="s">
        <v>883</v>
      </c>
      <c r="C70" s="381" t="s">
        <v>919</v>
      </c>
      <c r="D70" s="44" t="s">
        <v>884</v>
      </c>
      <c r="E70" s="67">
        <v>2052</v>
      </c>
      <c r="F70" s="67">
        <v>19</v>
      </c>
      <c r="G70" s="180">
        <f t="shared" si="5"/>
        <v>0.26455026455026454</v>
      </c>
      <c r="H70" s="180">
        <f t="shared" si="6"/>
        <v>12.060778727445395</v>
      </c>
      <c r="J70" s="2" t="s">
        <v>49</v>
      </c>
      <c r="K70" s="3" t="s">
        <v>50</v>
      </c>
      <c r="L70" s="3"/>
      <c r="M70" s="3"/>
      <c r="N70" s="3"/>
      <c r="O70" s="3"/>
      <c r="P70" s="95"/>
    </row>
    <row r="71" spans="2:16" ht="12.75" customHeight="1" x14ac:dyDescent="0.25">
      <c r="B71" s="376"/>
      <c r="C71" s="379"/>
      <c r="D71" s="44" t="s">
        <v>885</v>
      </c>
      <c r="E71" s="67">
        <v>2046</v>
      </c>
      <c r="F71" s="67">
        <v>23</v>
      </c>
      <c r="G71" s="180">
        <f t="shared" si="5"/>
        <v>0.32118419215193411</v>
      </c>
      <c r="H71" s="180">
        <f t="shared" si="6"/>
        <v>10.252801633850021</v>
      </c>
      <c r="J71" s="2" t="s">
        <v>407</v>
      </c>
      <c r="K71" s="3" t="s">
        <v>52</v>
      </c>
      <c r="L71" s="3"/>
      <c r="M71" s="3"/>
      <c r="N71" s="3"/>
      <c r="O71" s="3"/>
      <c r="P71" s="95"/>
    </row>
    <row r="72" spans="2:16" ht="12.75" customHeight="1" x14ac:dyDescent="0.25">
      <c r="B72" s="376"/>
      <c r="C72" s="379"/>
      <c r="D72" s="44" t="s">
        <v>886</v>
      </c>
      <c r="E72" s="67">
        <v>2049</v>
      </c>
      <c r="F72" s="67">
        <v>15</v>
      </c>
      <c r="G72" s="180">
        <f t="shared" si="5"/>
        <v>0.20916126333403054</v>
      </c>
      <c r="H72" s="180">
        <f t="shared" si="6"/>
        <v>10.032721805693399</v>
      </c>
      <c r="J72" s="2"/>
      <c r="K72" s="3"/>
      <c r="L72" s="3"/>
      <c r="M72" s="3"/>
      <c r="N72" s="3"/>
      <c r="O72" s="3"/>
      <c r="P72" s="95"/>
    </row>
    <row r="73" spans="2:16" ht="12.75" customHeight="1" x14ac:dyDescent="0.25">
      <c r="B73" s="376"/>
      <c r="C73" s="379"/>
      <c r="D73" s="44" t="s">
        <v>887</v>
      </c>
      <c r="E73" s="67">
        <v>2048</v>
      </c>
      <c r="F73" s="67">
        <v>7</v>
      </c>
      <c r="G73" s="180">
        <f t="shared" si="5"/>
        <v>9.765625E-2</v>
      </c>
      <c r="H73" s="180">
        <f t="shared" si="6"/>
        <v>6.6569010416666661</v>
      </c>
      <c r="J73" s="2" t="s">
        <v>408</v>
      </c>
      <c r="K73" s="3" t="s">
        <v>409</v>
      </c>
      <c r="L73" s="3" t="s">
        <v>143</v>
      </c>
      <c r="M73" s="3" t="s">
        <v>410</v>
      </c>
      <c r="N73" s="3"/>
      <c r="O73" s="3"/>
      <c r="P73" s="95"/>
    </row>
    <row r="74" spans="2:16" ht="12.75" customHeight="1" x14ac:dyDescent="0.25">
      <c r="B74" s="376"/>
      <c r="C74" s="379"/>
      <c r="D74" s="44" t="s">
        <v>888</v>
      </c>
      <c r="E74" s="67">
        <v>2049</v>
      </c>
      <c r="F74" s="67">
        <v>18</v>
      </c>
      <c r="G74" s="180">
        <f t="shared" si="5"/>
        <v>0.25099351600083658</v>
      </c>
      <c r="H74" s="180">
        <f t="shared" si="6"/>
        <v>12.056953629369044</v>
      </c>
      <c r="J74" s="2" t="s">
        <v>411</v>
      </c>
      <c r="K74" s="3">
        <v>157700</v>
      </c>
      <c r="L74" s="3">
        <v>2</v>
      </c>
      <c r="M74" s="3">
        <v>78870</v>
      </c>
      <c r="N74" s="3"/>
      <c r="O74" s="3"/>
      <c r="P74" s="95"/>
    </row>
    <row r="75" spans="2:16" ht="12.75" customHeight="1" x14ac:dyDescent="0.25">
      <c r="B75" s="375" t="s">
        <v>889</v>
      </c>
      <c r="C75" s="378" t="s">
        <v>918</v>
      </c>
      <c r="D75" s="44" t="s">
        <v>890</v>
      </c>
      <c r="E75" s="67">
        <v>2051</v>
      </c>
      <c r="F75" s="67">
        <v>14</v>
      </c>
      <c r="G75" s="180">
        <f t="shared" si="5"/>
        <v>0.19502681618722575</v>
      </c>
      <c r="H75" s="180">
        <f t="shared" si="6"/>
        <v>10.309695360889901</v>
      </c>
      <c r="J75" s="2" t="s">
        <v>412</v>
      </c>
      <c r="K75" s="3">
        <v>41550</v>
      </c>
      <c r="L75" s="3">
        <v>12</v>
      </c>
      <c r="M75" s="3">
        <v>3462</v>
      </c>
      <c r="N75" s="3"/>
      <c r="O75" s="3"/>
      <c r="P75" s="95"/>
    </row>
    <row r="76" spans="2:16" ht="12.75" customHeight="1" x14ac:dyDescent="0.25">
      <c r="B76" s="376"/>
      <c r="C76" s="379"/>
      <c r="D76" s="44" t="s">
        <v>891</v>
      </c>
      <c r="E76" s="67">
        <v>2069</v>
      </c>
      <c r="F76" s="67">
        <v>9</v>
      </c>
      <c r="G76" s="180">
        <f t="shared" si="5"/>
        <v>0.12428364289166609</v>
      </c>
      <c r="H76" s="180">
        <f t="shared" si="6"/>
        <v>4.1476052918497865</v>
      </c>
      <c r="J76" s="2" t="s">
        <v>413</v>
      </c>
      <c r="K76" s="3">
        <v>199300</v>
      </c>
      <c r="L76" s="3">
        <v>14</v>
      </c>
      <c r="M76" s="3"/>
      <c r="N76" s="3"/>
      <c r="O76" s="3"/>
      <c r="P76" s="95"/>
    </row>
    <row r="77" spans="2:16" ht="12.75" customHeight="1" x14ac:dyDescent="0.25">
      <c r="B77" s="376"/>
      <c r="C77" s="379"/>
      <c r="D77" s="44" t="s">
        <v>892</v>
      </c>
      <c r="E77" s="67">
        <v>2045</v>
      </c>
      <c r="F77" s="67">
        <v>1</v>
      </c>
      <c r="G77" s="180">
        <f t="shared" si="5"/>
        <v>1.3971358714635E-2</v>
      </c>
      <c r="H77" s="180">
        <f t="shared" si="6"/>
        <v>0.48377525102665753</v>
      </c>
      <c r="J77" s="2"/>
      <c r="K77" s="3"/>
      <c r="L77" s="3"/>
      <c r="M77" s="3"/>
      <c r="N77" s="3"/>
      <c r="O77" s="3"/>
      <c r="P77" s="95"/>
    </row>
    <row r="78" spans="2:16" ht="12.75" customHeight="1" x14ac:dyDescent="0.25">
      <c r="B78" s="376"/>
      <c r="C78" s="379"/>
      <c r="D78" s="44" t="s">
        <v>893</v>
      </c>
      <c r="E78" s="67">
        <v>2065</v>
      </c>
      <c r="F78" s="67">
        <v>36</v>
      </c>
      <c r="G78" s="180">
        <f t="shared" si="5"/>
        <v>0.49809754410238677</v>
      </c>
      <c r="H78" s="180">
        <f t="shared" si="6"/>
        <v>25.510477816294181</v>
      </c>
      <c r="J78" s="2" t="s">
        <v>414</v>
      </c>
      <c r="K78" s="3" t="s">
        <v>415</v>
      </c>
      <c r="L78" s="3" t="s">
        <v>416</v>
      </c>
      <c r="M78" s="3" t="s">
        <v>417</v>
      </c>
      <c r="N78" s="3" t="s">
        <v>418</v>
      </c>
      <c r="O78" s="3" t="s">
        <v>419</v>
      </c>
      <c r="P78" s="95"/>
    </row>
    <row r="79" spans="2:16" ht="12.75" customHeight="1" x14ac:dyDescent="0.3">
      <c r="B79" s="377"/>
      <c r="C79" s="380"/>
      <c r="D79" s="44" t="s">
        <v>894</v>
      </c>
      <c r="E79" s="67">
        <v>2067</v>
      </c>
      <c r="F79" s="67">
        <v>69</v>
      </c>
      <c r="G79" s="180">
        <f t="shared" si="5"/>
        <v>0.95376321791416141</v>
      </c>
      <c r="H79" s="180">
        <f t="shared" si="6"/>
        <v>70.204838926877443</v>
      </c>
      <c r="J79" s="7" t="s">
        <v>903</v>
      </c>
      <c r="K79" s="8">
        <v>223.2</v>
      </c>
      <c r="L79" s="8">
        <v>5.9980000000000002</v>
      </c>
      <c r="M79" s="8" t="s">
        <v>52</v>
      </c>
      <c r="N79" s="8" t="s">
        <v>50</v>
      </c>
      <c r="O79" s="8" t="s">
        <v>912</v>
      </c>
      <c r="P79" s="95"/>
    </row>
    <row r="80" spans="2:16" ht="12.75" customHeight="1" x14ac:dyDescent="0.3">
      <c r="J80" s="7" t="s">
        <v>905</v>
      </c>
      <c r="K80" s="8">
        <v>211.3</v>
      </c>
      <c r="L80" s="8">
        <v>5.6790000000000003</v>
      </c>
      <c r="M80" s="8" t="s">
        <v>52</v>
      </c>
      <c r="N80" s="8" t="s">
        <v>50</v>
      </c>
      <c r="O80" s="8" t="s">
        <v>913</v>
      </c>
      <c r="P80" s="95"/>
    </row>
    <row r="81" spans="2:16" ht="12.75" customHeight="1" x14ac:dyDescent="0.45">
      <c r="C81" s="24" t="s">
        <v>901</v>
      </c>
    </row>
    <row r="82" spans="2:16" s="102" customFormat="1" ht="12.75" customHeight="1" x14ac:dyDescent="0.3">
      <c r="B82" s="177"/>
      <c r="C82" s="17"/>
      <c r="D82" s="178"/>
      <c r="E82" s="17" t="s">
        <v>3</v>
      </c>
      <c r="F82" s="16" t="s">
        <v>877</v>
      </c>
      <c r="G82" s="17" t="s">
        <v>896</v>
      </c>
      <c r="H82" s="17" t="s">
        <v>907</v>
      </c>
      <c r="J82" s="2" t="s">
        <v>41</v>
      </c>
      <c r="K82" s="8" t="s">
        <v>914</v>
      </c>
      <c r="L82" s="3"/>
      <c r="M82" s="3"/>
      <c r="N82" s="3"/>
      <c r="O82" s="3"/>
      <c r="P82" s="95"/>
    </row>
    <row r="83" spans="2:16" s="102" customFormat="1" ht="12.75" customHeight="1" x14ac:dyDescent="0.25">
      <c r="B83" s="179"/>
      <c r="C83" s="68"/>
      <c r="E83" s="68"/>
      <c r="F83" s="13"/>
      <c r="G83" s="68" t="s">
        <v>797</v>
      </c>
      <c r="H83" s="20" t="s">
        <v>1397</v>
      </c>
      <c r="J83" s="2"/>
      <c r="K83" s="3"/>
      <c r="L83" s="3"/>
      <c r="M83" s="3"/>
      <c r="N83" s="3"/>
      <c r="O83" s="3"/>
      <c r="P83" s="95"/>
    </row>
    <row r="84" spans="2:16" ht="12.75" customHeight="1" x14ac:dyDescent="0.25">
      <c r="B84" s="375" t="s">
        <v>878</v>
      </c>
      <c r="C84" s="378" t="s">
        <v>917</v>
      </c>
      <c r="D84" s="44" t="s">
        <v>282</v>
      </c>
      <c r="E84" s="67">
        <v>2070</v>
      </c>
      <c r="F84" s="67">
        <v>132</v>
      </c>
      <c r="G84" s="180">
        <f t="shared" ref="G84:G98" si="7">10000*F84/E84/35*1000/10000</f>
        <v>1.8219461697722568</v>
      </c>
      <c r="H84" s="180">
        <f>G84/G8*100</f>
        <v>209.40626460963063</v>
      </c>
      <c r="J84" s="2" t="s">
        <v>402</v>
      </c>
      <c r="K84" s="3"/>
      <c r="L84" s="3"/>
      <c r="M84" s="3"/>
      <c r="N84" s="3"/>
      <c r="O84" s="3"/>
      <c r="P84" s="95"/>
    </row>
    <row r="85" spans="2:16" ht="12.75" customHeight="1" x14ac:dyDescent="0.3">
      <c r="B85" s="376"/>
      <c r="C85" s="379"/>
      <c r="D85" s="44" t="s">
        <v>879</v>
      </c>
      <c r="E85" s="67">
        <v>2060</v>
      </c>
      <c r="F85" s="67">
        <v>302</v>
      </c>
      <c r="G85" s="180">
        <f t="shared" si="7"/>
        <v>4.1886269070735089</v>
      </c>
      <c r="H85" s="180">
        <f t="shared" ref="H85:H98" si="8">G85/G9*100</f>
        <v>72.061582477369726</v>
      </c>
      <c r="J85" s="7" t="s">
        <v>47</v>
      </c>
      <c r="K85" s="8">
        <v>1.5E-3</v>
      </c>
      <c r="L85" s="3"/>
      <c r="M85" s="3"/>
      <c r="N85" s="3"/>
      <c r="O85" s="3"/>
      <c r="P85" s="95"/>
    </row>
    <row r="86" spans="2:16" ht="12.75" customHeight="1" x14ac:dyDescent="0.3">
      <c r="B86" s="376"/>
      <c r="C86" s="379"/>
      <c r="D86" s="44" t="s">
        <v>880</v>
      </c>
      <c r="E86" s="67">
        <v>2037</v>
      </c>
      <c r="F86" s="67">
        <v>1</v>
      </c>
      <c r="G86" s="180">
        <f t="shared" si="7"/>
        <v>1.4026229048320359E-2</v>
      </c>
      <c r="H86" s="180">
        <f t="shared" si="8"/>
        <v>49.828178694158069</v>
      </c>
      <c r="J86" s="7" t="s">
        <v>49</v>
      </c>
      <c r="K86" s="8" t="s">
        <v>146</v>
      </c>
      <c r="L86" s="3"/>
      <c r="M86" s="3"/>
      <c r="N86" s="3"/>
      <c r="O86" s="3"/>
      <c r="P86" s="95"/>
    </row>
    <row r="87" spans="2:16" ht="12.75" customHeight="1" x14ac:dyDescent="0.25">
      <c r="B87" s="376"/>
      <c r="C87" s="379"/>
      <c r="D87" s="44" t="s">
        <v>881</v>
      </c>
      <c r="E87" s="67">
        <v>2052</v>
      </c>
      <c r="F87" s="67">
        <v>221</v>
      </c>
      <c r="G87" s="180">
        <f t="shared" si="7"/>
        <v>3.0771372876636036</v>
      </c>
      <c r="H87" s="180">
        <f t="shared" si="8"/>
        <v>154.87535348543506</v>
      </c>
      <c r="J87" s="2" t="s">
        <v>51</v>
      </c>
      <c r="K87" s="3" t="s">
        <v>52</v>
      </c>
      <c r="L87" s="3"/>
      <c r="M87" s="3"/>
      <c r="N87" s="3"/>
      <c r="O87" s="3"/>
      <c r="P87" s="95"/>
    </row>
    <row r="88" spans="2:16" ht="12.75" customHeight="1" x14ac:dyDescent="0.25">
      <c r="B88" s="377"/>
      <c r="C88" s="380"/>
      <c r="D88" s="44" t="s">
        <v>882</v>
      </c>
      <c r="E88" s="67">
        <v>2064</v>
      </c>
      <c r="F88" s="67">
        <v>237</v>
      </c>
      <c r="G88" s="180">
        <f t="shared" si="7"/>
        <v>3.2807308970099673</v>
      </c>
      <c r="H88" s="180">
        <f t="shared" si="8"/>
        <v>154.82442630525185</v>
      </c>
      <c r="J88" s="2" t="s">
        <v>403</v>
      </c>
      <c r="K88" s="3">
        <v>3</v>
      </c>
      <c r="L88" s="3"/>
      <c r="M88" s="3"/>
      <c r="N88" s="3"/>
      <c r="O88" s="3"/>
      <c r="P88" s="95"/>
    </row>
    <row r="89" spans="2:16" ht="12.75" customHeight="1" x14ac:dyDescent="0.25">
      <c r="B89" s="376" t="s">
        <v>883</v>
      </c>
      <c r="C89" s="381" t="s">
        <v>919</v>
      </c>
      <c r="D89" s="44" t="s">
        <v>884</v>
      </c>
      <c r="E89" s="67">
        <v>2048</v>
      </c>
      <c r="F89" s="67">
        <v>18</v>
      </c>
      <c r="G89" s="180">
        <f t="shared" si="7"/>
        <v>0.2511160714285714</v>
      </c>
      <c r="H89" s="180">
        <f t="shared" si="8"/>
        <v>11.448317307692308</v>
      </c>
      <c r="J89" s="2" t="s">
        <v>404</v>
      </c>
      <c r="K89" s="3">
        <v>11.75</v>
      </c>
      <c r="L89" s="3"/>
      <c r="M89" s="3"/>
      <c r="N89" s="3"/>
      <c r="O89" s="3"/>
      <c r="P89" s="95"/>
    </row>
    <row r="90" spans="2:16" ht="12.75" customHeight="1" x14ac:dyDescent="0.25">
      <c r="B90" s="376"/>
      <c r="C90" s="379"/>
      <c r="D90" s="44" t="s">
        <v>885</v>
      </c>
      <c r="E90" s="67">
        <v>2048</v>
      </c>
      <c r="F90" s="67">
        <v>16</v>
      </c>
      <c r="G90" s="180">
        <f t="shared" si="7"/>
        <v>0.22321428571428573</v>
      </c>
      <c r="H90" s="180">
        <f t="shared" si="8"/>
        <v>7.1254185267857153</v>
      </c>
      <c r="J90" s="2" t="s">
        <v>66</v>
      </c>
      <c r="K90" s="3">
        <v>0.66190000000000004</v>
      </c>
      <c r="L90" s="3"/>
      <c r="M90" s="3"/>
      <c r="N90" s="3"/>
      <c r="O90" s="3"/>
      <c r="P90" s="95"/>
    </row>
    <row r="91" spans="2:16" ht="12.75" customHeight="1" x14ac:dyDescent="0.25">
      <c r="B91" s="376"/>
      <c r="C91" s="379"/>
      <c r="D91" s="44" t="s">
        <v>886</v>
      </c>
      <c r="E91" s="67">
        <v>2041</v>
      </c>
      <c r="F91" s="67">
        <v>13</v>
      </c>
      <c r="G91" s="180">
        <f t="shared" si="7"/>
        <v>0.18198362147406733</v>
      </c>
      <c r="H91" s="180">
        <f t="shared" si="8"/>
        <v>8.7291069978198603</v>
      </c>
      <c r="J91" s="2"/>
      <c r="K91" s="3"/>
      <c r="L91" s="3"/>
      <c r="M91" s="3"/>
      <c r="N91" s="3"/>
      <c r="O91" s="3"/>
      <c r="P91" s="95"/>
    </row>
    <row r="92" spans="2:16" ht="12.75" customHeight="1" x14ac:dyDescent="0.25">
      <c r="B92" s="376"/>
      <c r="C92" s="379"/>
      <c r="D92" s="44" t="s">
        <v>887</v>
      </c>
      <c r="E92" s="67">
        <v>2055</v>
      </c>
      <c r="F92" s="67">
        <v>3</v>
      </c>
      <c r="G92" s="180">
        <f t="shared" si="7"/>
        <v>4.1710114702815437E-2</v>
      </c>
      <c r="H92" s="180">
        <f t="shared" si="8"/>
        <v>2.8432394855752521</v>
      </c>
      <c r="J92" s="2" t="s">
        <v>405</v>
      </c>
      <c r="K92" s="3"/>
      <c r="L92" s="3"/>
      <c r="M92" s="3"/>
      <c r="N92" s="3"/>
      <c r="O92" s="3"/>
      <c r="P92" s="95"/>
    </row>
    <row r="93" spans="2:16" ht="12.75" customHeight="1" x14ac:dyDescent="0.25">
      <c r="B93" s="376"/>
      <c r="C93" s="379"/>
      <c r="D93" s="44" t="s">
        <v>888</v>
      </c>
      <c r="E93" s="67">
        <v>2043</v>
      </c>
      <c r="F93" s="67">
        <v>13</v>
      </c>
      <c r="G93" s="180">
        <f t="shared" si="7"/>
        <v>0.1818054681490805</v>
      </c>
      <c r="H93" s="180">
        <f t="shared" si="8"/>
        <v>8.7333734112553252</v>
      </c>
      <c r="J93" s="2" t="s">
        <v>406</v>
      </c>
      <c r="K93" s="3">
        <v>20.27</v>
      </c>
      <c r="L93" s="3"/>
      <c r="M93" s="3"/>
      <c r="N93" s="3"/>
      <c r="O93" s="3"/>
      <c r="P93" s="95"/>
    </row>
    <row r="94" spans="2:16" ht="12.75" customHeight="1" x14ac:dyDescent="0.25">
      <c r="B94" s="375" t="s">
        <v>889</v>
      </c>
      <c r="C94" s="378" t="s">
        <v>918</v>
      </c>
      <c r="D94" s="44" t="s">
        <v>890</v>
      </c>
      <c r="E94" s="67">
        <v>2053</v>
      </c>
      <c r="F94" s="67">
        <v>5</v>
      </c>
      <c r="G94" s="180">
        <f t="shared" si="7"/>
        <v>6.958458005705935E-2</v>
      </c>
      <c r="H94" s="180">
        <f t="shared" si="8"/>
        <v>3.6784470783496594</v>
      </c>
      <c r="J94" s="2" t="s">
        <v>47</v>
      </c>
      <c r="K94" s="3" t="s">
        <v>48</v>
      </c>
      <c r="L94" s="3"/>
      <c r="M94" s="3"/>
      <c r="N94" s="3"/>
      <c r="O94" s="3"/>
      <c r="P94" s="95"/>
    </row>
    <row r="95" spans="2:16" ht="12.75" customHeight="1" x14ac:dyDescent="0.25">
      <c r="B95" s="376"/>
      <c r="C95" s="379"/>
      <c r="D95" s="44" t="s">
        <v>891</v>
      </c>
      <c r="E95" s="67">
        <v>2079</v>
      </c>
      <c r="F95" s="67">
        <v>20</v>
      </c>
      <c r="G95" s="180">
        <f t="shared" si="7"/>
        <v>0.27485741771456057</v>
      </c>
      <c r="H95" s="180">
        <f t="shared" si="8"/>
        <v>9.1725673121021956</v>
      </c>
      <c r="J95" s="2" t="s">
        <v>49</v>
      </c>
      <c r="K95" s="3" t="s">
        <v>50</v>
      </c>
      <c r="L95" s="3"/>
      <c r="M95" s="3"/>
      <c r="N95" s="3"/>
      <c r="O95" s="3"/>
      <c r="P95" s="95"/>
    </row>
    <row r="96" spans="2:16" ht="12.75" customHeight="1" x14ac:dyDescent="0.25">
      <c r="B96" s="376"/>
      <c r="C96" s="379"/>
      <c r="D96" s="44" t="s">
        <v>892</v>
      </c>
      <c r="E96" s="67">
        <v>2053</v>
      </c>
      <c r="F96" s="67">
        <v>3</v>
      </c>
      <c r="G96" s="180">
        <f t="shared" si="7"/>
        <v>4.1750748034235612E-2</v>
      </c>
      <c r="H96" s="180">
        <f t="shared" si="8"/>
        <v>1.4456703190689448</v>
      </c>
      <c r="J96" s="2" t="s">
        <v>407</v>
      </c>
      <c r="K96" s="3" t="s">
        <v>52</v>
      </c>
      <c r="L96" s="3"/>
      <c r="M96" s="3"/>
      <c r="N96" s="3"/>
      <c r="O96" s="3"/>
      <c r="P96" s="95"/>
    </row>
    <row r="97" spans="2:16" ht="12.75" customHeight="1" x14ac:dyDescent="0.25">
      <c r="B97" s="376"/>
      <c r="C97" s="379"/>
      <c r="D97" s="44" t="s">
        <v>893</v>
      </c>
      <c r="E97" s="67">
        <v>2092</v>
      </c>
      <c r="F97" s="67">
        <v>23</v>
      </c>
      <c r="G97" s="180">
        <f t="shared" si="7"/>
        <v>0.31412182463807703</v>
      </c>
      <c r="H97" s="180">
        <f t="shared" si="8"/>
        <v>16.088009133801943</v>
      </c>
      <c r="J97" s="2"/>
      <c r="K97" s="3"/>
      <c r="L97" s="3"/>
      <c r="M97" s="3"/>
      <c r="N97" s="3"/>
      <c r="O97" s="3"/>
      <c r="P97" s="95"/>
    </row>
    <row r="98" spans="2:16" ht="12.75" customHeight="1" x14ac:dyDescent="0.25">
      <c r="B98" s="377"/>
      <c r="C98" s="380"/>
      <c r="D98" s="44" t="s">
        <v>894</v>
      </c>
      <c r="E98" s="67">
        <v>2071</v>
      </c>
      <c r="F98" s="67">
        <v>51</v>
      </c>
      <c r="G98" s="180">
        <f t="shared" si="7"/>
        <v>0.70359384700282812</v>
      </c>
      <c r="H98" s="180">
        <f t="shared" si="8"/>
        <v>51.790309975259717</v>
      </c>
      <c r="J98" s="2" t="s">
        <v>408</v>
      </c>
      <c r="K98" s="3" t="s">
        <v>409</v>
      </c>
      <c r="L98" s="3" t="s">
        <v>143</v>
      </c>
      <c r="M98" s="3" t="s">
        <v>410</v>
      </c>
      <c r="N98" s="3"/>
      <c r="O98" s="3"/>
      <c r="P98" s="95"/>
    </row>
    <row r="99" spans="2:16" ht="12.75" customHeight="1" x14ac:dyDescent="0.25">
      <c r="J99" s="2" t="s">
        <v>411</v>
      </c>
      <c r="K99" s="3">
        <v>42620</v>
      </c>
      <c r="L99" s="3">
        <v>2</v>
      </c>
      <c r="M99" s="3">
        <v>21310</v>
      </c>
      <c r="N99" s="3"/>
      <c r="O99" s="3"/>
      <c r="P99" s="95"/>
    </row>
    <row r="100" spans="2:16" ht="12.75" customHeight="1" x14ac:dyDescent="0.25">
      <c r="J100" s="2" t="s">
        <v>412</v>
      </c>
      <c r="K100" s="3">
        <v>21770</v>
      </c>
      <c r="L100" s="3">
        <v>12</v>
      </c>
      <c r="M100" s="3">
        <v>1814</v>
      </c>
      <c r="N100" s="3"/>
      <c r="O100" s="3"/>
      <c r="P100" s="95"/>
    </row>
    <row r="101" spans="2:16" ht="12.75" customHeight="1" x14ac:dyDescent="0.25">
      <c r="J101" s="2" t="s">
        <v>413</v>
      </c>
      <c r="K101" s="3">
        <v>64400</v>
      </c>
      <c r="L101" s="3">
        <v>14</v>
      </c>
      <c r="M101" s="3"/>
      <c r="N101" s="3"/>
      <c r="O101" s="3"/>
      <c r="P101" s="95"/>
    </row>
    <row r="102" spans="2:16" ht="12.75" customHeight="1" x14ac:dyDescent="0.25">
      <c r="J102" s="2"/>
      <c r="K102" s="3"/>
      <c r="L102" s="3"/>
      <c r="M102" s="3"/>
      <c r="N102" s="3"/>
      <c r="O102" s="3"/>
      <c r="P102" s="95"/>
    </row>
    <row r="103" spans="2:16" ht="12.75" customHeight="1" x14ac:dyDescent="0.25">
      <c r="J103" s="2" t="s">
        <v>414</v>
      </c>
      <c r="K103" s="3" t="s">
        <v>415</v>
      </c>
      <c r="L103" s="3" t="s">
        <v>416</v>
      </c>
      <c r="M103" s="3" t="s">
        <v>417</v>
      </c>
      <c r="N103" s="3" t="s">
        <v>418</v>
      </c>
      <c r="O103" s="3" t="s">
        <v>419</v>
      </c>
      <c r="P103" s="95"/>
    </row>
    <row r="104" spans="2:16" ht="12.75" customHeight="1" x14ac:dyDescent="0.3">
      <c r="J104" s="7" t="s">
        <v>903</v>
      </c>
      <c r="K104" s="8">
        <v>117.1</v>
      </c>
      <c r="L104" s="8">
        <v>4.3479999999999999</v>
      </c>
      <c r="M104" s="8" t="s">
        <v>52</v>
      </c>
      <c r="N104" s="8" t="s">
        <v>146</v>
      </c>
      <c r="O104" s="8" t="s">
        <v>915</v>
      </c>
      <c r="P104" s="95"/>
    </row>
    <row r="105" spans="2:16" ht="12.75" customHeight="1" x14ac:dyDescent="0.3">
      <c r="J105" s="7" t="s">
        <v>905</v>
      </c>
      <c r="K105" s="8">
        <v>108.5</v>
      </c>
      <c r="L105" s="8">
        <v>4.0289999999999999</v>
      </c>
      <c r="M105" s="8" t="s">
        <v>52</v>
      </c>
      <c r="N105" s="8" t="s">
        <v>146</v>
      </c>
      <c r="O105" s="8" t="s">
        <v>916</v>
      </c>
      <c r="P105" s="95"/>
    </row>
    <row r="106" spans="2:16" ht="12.75" customHeight="1" x14ac:dyDescent="0.45"/>
    <row r="107" spans="2:16" ht="12.75" customHeight="1" x14ac:dyDescent="0.45"/>
    <row r="108" spans="2:16" ht="12.75" customHeight="1" x14ac:dyDescent="0.45"/>
    <row r="109" spans="2:16" ht="12.75" customHeight="1" x14ac:dyDescent="0.45"/>
    <row r="110" spans="2:16" ht="12.75" customHeight="1" x14ac:dyDescent="0.45"/>
    <row r="111" spans="2:16" ht="12.75" customHeight="1" x14ac:dyDescent="0.45"/>
    <row r="112" spans="2:16" ht="12.75" customHeight="1" x14ac:dyDescent="0.45"/>
  </sheetData>
  <mergeCells count="30">
    <mergeCell ref="B84:B88"/>
    <mergeCell ref="C84:C88"/>
    <mergeCell ref="B89:B93"/>
    <mergeCell ref="C89:C93"/>
    <mergeCell ref="B94:B98"/>
    <mergeCell ref="C94:C98"/>
    <mergeCell ref="B65:B69"/>
    <mergeCell ref="C65:C69"/>
    <mergeCell ref="B70:B74"/>
    <mergeCell ref="C70:C74"/>
    <mergeCell ref="B75:B79"/>
    <mergeCell ref="C75:C79"/>
    <mergeCell ref="B46:B50"/>
    <mergeCell ref="C46:C50"/>
    <mergeCell ref="B51:B55"/>
    <mergeCell ref="C51:C55"/>
    <mergeCell ref="B56:B60"/>
    <mergeCell ref="C56:C60"/>
    <mergeCell ref="B27:B31"/>
    <mergeCell ref="C27:C31"/>
    <mergeCell ref="B32:B36"/>
    <mergeCell ref="C32:C36"/>
    <mergeCell ref="B37:B41"/>
    <mergeCell ref="C37:C41"/>
    <mergeCell ref="B8:B12"/>
    <mergeCell ref="C8:C12"/>
    <mergeCell ref="B13:B17"/>
    <mergeCell ref="C13:C17"/>
    <mergeCell ref="B18:B22"/>
    <mergeCell ref="C18:C22"/>
  </mergeCells>
  <phoneticPr fontId="3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3A68-92D8-4ADC-9AD6-53EE79444034}">
  <dimension ref="B2:AQ37"/>
  <sheetViews>
    <sheetView zoomScale="90" zoomScaleNormal="90" workbookViewId="0">
      <selection activeCell="H41" sqref="H41"/>
    </sheetView>
  </sheetViews>
  <sheetFormatPr defaultColWidth="9" defaultRowHeight="14" x14ac:dyDescent="0.3"/>
  <cols>
    <col min="1" max="1" width="9" style="25"/>
    <col min="2" max="2" width="6.5" style="25" customWidth="1"/>
    <col min="3" max="3" width="9.83203125" style="25" customWidth="1"/>
    <col min="4" max="4" width="28" style="25" customWidth="1"/>
    <col min="5" max="5" width="7.58203125" style="25" customWidth="1"/>
    <col min="6" max="6" width="29" style="25" bestFit="1" customWidth="1"/>
    <col min="7" max="7" width="11.33203125" style="25" customWidth="1"/>
    <col min="8" max="8" width="5.33203125" style="25" customWidth="1"/>
    <col min="9" max="9" width="13.25" style="37" customWidth="1"/>
    <col min="10" max="10" width="6.33203125" style="35" customWidth="1"/>
    <col min="11" max="12" width="6.5" style="36" customWidth="1"/>
    <col min="13" max="13" width="6" style="36" bestFit="1" customWidth="1"/>
    <col min="14" max="14" width="6.08203125" style="25" bestFit="1" customWidth="1"/>
    <col min="15" max="15" width="6" style="25" bestFit="1" customWidth="1"/>
    <col min="16" max="16" width="6.08203125" style="25" bestFit="1" customWidth="1"/>
    <col min="17" max="17" width="6" style="25" bestFit="1" customWidth="1"/>
    <col min="18" max="18" width="6.08203125" style="25" bestFit="1" customWidth="1"/>
    <col min="19" max="19" width="6.83203125" style="25" bestFit="1" customWidth="1"/>
    <col min="20" max="20" width="6.08203125" style="25" bestFit="1" customWidth="1"/>
    <col min="21" max="21" width="6.75" style="25" bestFit="1" customWidth="1"/>
    <col min="22" max="22" width="7.08203125" style="25" customWidth="1"/>
    <col min="23" max="23" width="6.75" style="25" customWidth="1"/>
    <col min="24" max="24" width="6.08203125" style="25" bestFit="1" customWidth="1"/>
    <col min="25" max="25" width="6.75" style="25" customWidth="1"/>
    <col min="26" max="26" width="5.75" style="25" customWidth="1"/>
    <col min="27" max="27" width="6.75" style="25" bestFit="1" customWidth="1"/>
    <col min="28" max="28" width="6.08203125" style="25" bestFit="1" customWidth="1"/>
    <col min="29" max="29" width="5.83203125" style="25" bestFit="1" customWidth="1"/>
    <col min="30" max="30" width="6.08203125" style="25" bestFit="1" customWidth="1"/>
    <col min="31" max="31" width="5.83203125" style="25" bestFit="1" customWidth="1"/>
    <col min="32" max="32" width="6.58203125" style="25" customWidth="1"/>
    <col min="33" max="33" width="5.83203125" style="25" bestFit="1" customWidth="1"/>
    <col min="34" max="34" width="6.33203125" style="25" customWidth="1"/>
    <col min="35" max="35" width="5.83203125" style="25" bestFit="1" customWidth="1"/>
    <col min="36" max="36" width="6.33203125" style="25" customWidth="1"/>
    <col min="37" max="37" width="5.83203125" style="25" bestFit="1" customWidth="1"/>
    <col min="38" max="38" width="7" style="25" customWidth="1"/>
    <col min="39" max="39" width="5.83203125" style="25" bestFit="1" customWidth="1"/>
    <col min="40" max="40" width="6.75" style="25" customWidth="1"/>
    <col min="41" max="41" width="5.83203125" style="25" bestFit="1" customWidth="1"/>
    <col min="42" max="42" width="7.33203125" style="25" customWidth="1"/>
    <col min="43" max="43" width="5.83203125" style="25" bestFit="1" customWidth="1"/>
    <col min="44" max="16384" width="9" style="25"/>
  </cols>
  <sheetData>
    <row r="2" spans="2:43" s="95" customFormat="1" ht="13" x14ac:dyDescent="0.25">
      <c r="B2" s="100" t="s">
        <v>138</v>
      </c>
      <c r="J2" s="96"/>
      <c r="K2" s="101"/>
      <c r="L2" s="101"/>
    </row>
    <row r="3" spans="2:43" s="95" customFormat="1" ht="13" x14ac:dyDescent="0.3">
      <c r="I3" s="99" t="s">
        <v>148</v>
      </c>
      <c r="J3" s="100"/>
      <c r="K3" s="101"/>
      <c r="L3" s="101"/>
    </row>
    <row r="4" spans="2:43" s="95" customFormat="1" ht="12.75" customHeight="1" x14ac:dyDescent="0.25">
      <c r="I4" s="4"/>
      <c r="J4" s="263" t="s">
        <v>72</v>
      </c>
      <c r="K4" s="263" t="s">
        <v>926</v>
      </c>
      <c r="L4" s="358" t="s">
        <v>927</v>
      </c>
      <c r="M4" s="359"/>
      <c r="N4" s="358" t="s">
        <v>172</v>
      </c>
      <c r="O4" s="359"/>
      <c r="P4" s="358" t="s">
        <v>173</v>
      </c>
      <c r="Q4" s="359"/>
      <c r="R4" s="358" t="s">
        <v>103</v>
      </c>
      <c r="S4" s="359"/>
      <c r="T4" s="358" t="s">
        <v>175</v>
      </c>
      <c r="U4" s="359"/>
      <c r="V4" s="358" t="s">
        <v>74</v>
      </c>
      <c r="W4" s="359"/>
      <c r="X4" s="358" t="s">
        <v>176</v>
      </c>
      <c r="Y4" s="359"/>
      <c r="Z4" s="358" t="s">
        <v>75</v>
      </c>
      <c r="AA4" s="359"/>
      <c r="AB4" s="358" t="s">
        <v>264</v>
      </c>
      <c r="AC4" s="359"/>
      <c r="AD4" s="358" t="s">
        <v>278</v>
      </c>
      <c r="AE4" s="359"/>
      <c r="AF4" s="358" t="s">
        <v>333</v>
      </c>
      <c r="AG4" s="359"/>
      <c r="AH4" s="358" t="s">
        <v>511</v>
      </c>
      <c r="AI4" s="359"/>
      <c r="AJ4" s="358" t="s">
        <v>512</v>
      </c>
      <c r="AK4" s="359"/>
      <c r="AL4" s="358" t="s">
        <v>513</v>
      </c>
      <c r="AM4" s="359"/>
      <c r="AN4" s="358" t="s">
        <v>514</v>
      </c>
      <c r="AO4" s="359"/>
      <c r="AP4" s="358" t="s">
        <v>515</v>
      </c>
      <c r="AQ4" s="359"/>
    </row>
    <row r="5" spans="2:43" s="95" customFormat="1" ht="12.75" customHeight="1" x14ac:dyDescent="0.3">
      <c r="B5" s="4" t="s">
        <v>132</v>
      </c>
      <c r="C5" s="4" t="s">
        <v>932</v>
      </c>
      <c r="D5" s="27" t="s">
        <v>948</v>
      </c>
      <c r="E5" s="5"/>
      <c r="F5" s="103" t="s">
        <v>71</v>
      </c>
      <c r="I5" s="4"/>
      <c r="J5" s="263"/>
      <c r="K5" s="263"/>
      <c r="L5" s="263"/>
      <c r="M5" s="27"/>
      <c r="N5" s="263"/>
      <c r="O5" s="27"/>
      <c r="P5" s="263"/>
      <c r="Q5" s="27"/>
      <c r="R5" s="263"/>
      <c r="S5" s="27"/>
      <c r="T5" s="263"/>
      <c r="U5" s="27"/>
      <c r="V5" s="263"/>
      <c r="W5" s="27"/>
      <c r="X5" s="263"/>
      <c r="Y5" s="27"/>
      <c r="Z5" s="263"/>
      <c r="AA5" s="27"/>
      <c r="AB5" s="263"/>
      <c r="AC5" s="27"/>
      <c r="AD5" s="263"/>
      <c r="AE5" s="27"/>
      <c r="AF5" s="263"/>
      <c r="AG5" s="27"/>
      <c r="AH5" s="263"/>
      <c r="AI5" s="27"/>
      <c r="AJ5" s="263"/>
      <c r="AK5" s="27"/>
      <c r="AL5" s="263"/>
      <c r="AM5" s="27"/>
      <c r="AN5" s="263"/>
      <c r="AO5" s="27"/>
      <c r="AP5" s="263"/>
      <c r="AQ5" s="27"/>
    </row>
    <row r="6" spans="2:43" s="95" customFormat="1" ht="12.75" customHeight="1" x14ac:dyDescent="0.25">
      <c r="B6" s="3">
        <v>16</v>
      </c>
      <c r="C6" s="3">
        <v>1</v>
      </c>
      <c r="D6" s="3"/>
      <c r="E6" s="1"/>
      <c r="I6" s="382" t="s">
        <v>99</v>
      </c>
      <c r="J6" s="44" t="s">
        <v>928</v>
      </c>
      <c r="K6" s="45">
        <v>20.63</v>
      </c>
      <c r="L6" s="40">
        <v>17.59</v>
      </c>
      <c r="M6" s="46">
        <f>L6/K6*100</f>
        <v>85.264178380998544</v>
      </c>
      <c r="N6" s="48">
        <v>16.440000000000001</v>
      </c>
      <c r="O6" s="52">
        <f>N6/K6*100</f>
        <v>79.689772176442091</v>
      </c>
      <c r="P6" s="40">
        <v>19.22</v>
      </c>
      <c r="Q6" s="46">
        <f>P6/K6*100</f>
        <v>93.165293262239459</v>
      </c>
      <c r="R6" s="40">
        <v>19.399999999999999</v>
      </c>
      <c r="S6" s="46">
        <f>R6/K6*100</f>
        <v>94.037809015996118</v>
      </c>
      <c r="T6" s="40">
        <v>18.940000000000001</v>
      </c>
      <c r="U6" s="46">
        <f>T6/K6*100</f>
        <v>91.808046534173542</v>
      </c>
      <c r="V6" s="48">
        <v>15.59</v>
      </c>
      <c r="W6" s="52">
        <f>V6/K6*100</f>
        <v>75.569558894813383</v>
      </c>
      <c r="X6" s="49" t="s">
        <v>521</v>
      </c>
      <c r="Y6" s="52"/>
      <c r="Z6" s="48"/>
      <c r="AA6" s="50"/>
      <c r="AB6" s="48"/>
      <c r="AC6" s="50"/>
      <c r="AD6" s="48"/>
      <c r="AE6" s="50"/>
      <c r="AF6" s="48"/>
      <c r="AG6" s="50"/>
      <c r="AH6" s="48"/>
      <c r="AI6" s="50"/>
      <c r="AJ6" s="48"/>
      <c r="AK6" s="50"/>
      <c r="AL6" s="48"/>
      <c r="AM6" s="50"/>
      <c r="AN6" s="48"/>
      <c r="AO6" s="50"/>
      <c r="AP6" s="48"/>
      <c r="AQ6" s="50"/>
    </row>
    <row r="7" spans="2:43" s="95" customFormat="1" ht="12.75" customHeight="1" x14ac:dyDescent="0.3">
      <c r="B7" s="3">
        <v>17</v>
      </c>
      <c r="C7" s="3">
        <v>1</v>
      </c>
      <c r="D7" s="3"/>
      <c r="E7" s="1"/>
      <c r="F7" s="7" t="s">
        <v>140</v>
      </c>
      <c r="G7" s="3"/>
      <c r="I7" s="379"/>
      <c r="J7" s="44" t="s">
        <v>554</v>
      </c>
      <c r="K7" s="45">
        <v>21.22</v>
      </c>
      <c r="L7" s="40">
        <v>18.91</v>
      </c>
      <c r="M7" s="46">
        <f t="shared" ref="M7:M11" si="0">L7/K7*100</f>
        <v>89.114043355325165</v>
      </c>
      <c r="N7" s="40">
        <v>17.73</v>
      </c>
      <c r="O7" s="46">
        <f t="shared" ref="O7:O16" si="1">N7/K7*100</f>
        <v>83.553251649387377</v>
      </c>
      <c r="P7" s="40">
        <v>20.010000000000002</v>
      </c>
      <c r="Q7" s="46">
        <f>P7/K7*100</f>
        <v>94.297832233741758</v>
      </c>
      <c r="R7" s="40">
        <v>20.37</v>
      </c>
      <c r="S7" s="46">
        <f t="shared" ref="S7:S16" si="2">R7/K7*100</f>
        <v>95.994344957587202</v>
      </c>
      <c r="T7" s="40">
        <v>19.78</v>
      </c>
      <c r="U7" s="46">
        <f t="shared" ref="U7:U16" si="3">T7/K7*100</f>
        <v>93.213949104618294</v>
      </c>
      <c r="V7" s="40">
        <v>18.14</v>
      </c>
      <c r="W7" s="46">
        <f t="shared" ref="W7:W16" si="4">V7/K7*100</f>
        <v>85.485391140433563</v>
      </c>
      <c r="X7" s="48">
        <v>15.03</v>
      </c>
      <c r="Y7" s="52">
        <f>X7/K7*100</f>
        <v>70.829406220546659</v>
      </c>
      <c r="Z7" s="49" t="s">
        <v>487</v>
      </c>
      <c r="AA7" s="50"/>
      <c r="AB7" s="49"/>
      <c r="AC7" s="50"/>
      <c r="AD7" s="49"/>
      <c r="AE7" s="50"/>
      <c r="AF7" s="49"/>
      <c r="AG7" s="50"/>
      <c r="AH7" s="49"/>
      <c r="AI7" s="50"/>
      <c r="AJ7" s="49"/>
      <c r="AK7" s="50"/>
      <c r="AL7" s="49"/>
      <c r="AM7" s="50"/>
      <c r="AN7" s="49"/>
      <c r="AO7" s="50"/>
      <c r="AP7" s="49"/>
      <c r="AQ7" s="50"/>
    </row>
    <row r="8" spans="2:43" s="95" customFormat="1" ht="12.75" customHeight="1" x14ac:dyDescent="0.25">
      <c r="B8" s="3">
        <v>17</v>
      </c>
      <c r="C8" s="3">
        <v>1</v>
      </c>
      <c r="D8" s="3"/>
      <c r="E8" s="1"/>
      <c r="F8" s="2"/>
      <c r="G8" s="3"/>
      <c r="I8" s="379"/>
      <c r="J8" s="44" t="s">
        <v>555</v>
      </c>
      <c r="K8" s="45">
        <v>18.510000000000002</v>
      </c>
      <c r="L8" s="48">
        <v>15.66</v>
      </c>
      <c r="M8" s="46">
        <f t="shared" si="0"/>
        <v>84.602917341977303</v>
      </c>
      <c r="N8" s="48">
        <v>16.420000000000002</v>
      </c>
      <c r="O8" s="46">
        <f t="shared" si="1"/>
        <v>88.708806050783366</v>
      </c>
      <c r="P8" s="40">
        <v>17.18</v>
      </c>
      <c r="Q8" s="46">
        <f t="shared" ref="Q8:Q16" si="5">P8/K8*100</f>
        <v>92.814694759589401</v>
      </c>
      <c r="R8" s="40">
        <v>17.22</v>
      </c>
      <c r="S8" s="46">
        <f t="shared" si="2"/>
        <v>93.030794165316038</v>
      </c>
      <c r="T8" s="48">
        <v>16.510000000000002</v>
      </c>
      <c r="U8" s="46">
        <f t="shared" si="3"/>
        <v>89.195029713668276</v>
      </c>
      <c r="V8" s="48">
        <v>15.22</v>
      </c>
      <c r="W8" s="46">
        <f t="shared" si="4"/>
        <v>82.225823878984329</v>
      </c>
      <c r="X8" s="48">
        <v>13.59</v>
      </c>
      <c r="Y8" s="52">
        <f t="shared" ref="Y8:Y9" si="6">X8/K8*100</f>
        <v>73.419773095623981</v>
      </c>
      <c r="Z8" s="49" t="s">
        <v>487</v>
      </c>
      <c r="AA8" s="50"/>
      <c r="AB8" s="49"/>
      <c r="AC8" s="50"/>
      <c r="AD8" s="49"/>
      <c r="AE8" s="50"/>
      <c r="AF8" s="49"/>
      <c r="AG8" s="50"/>
      <c r="AH8" s="49"/>
      <c r="AI8" s="50"/>
      <c r="AJ8" s="49"/>
      <c r="AK8" s="50"/>
      <c r="AL8" s="49"/>
      <c r="AM8" s="50"/>
      <c r="AN8" s="49"/>
      <c r="AO8" s="50"/>
      <c r="AP8" s="49"/>
      <c r="AQ8" s="50"/>
    </row>
    <row r="9" spans="2:43" s="95" customFormat="1" ht="12.75" customHeight="1" x14ac:dyDescent="0.25">
      <c r="B9" s="3">
        <v>22</v>
      </c>
      <c r="C9" s="3">
        <v>1</v>
      </c>
      <c r="D9" s="3"/>
      <c r="E9" s="1"/>
      <c r="F9" s="2" t="s">
        <v>141</v>
      </c>
      <c r="G9" s="3"/>
      <c r="I9" s="379"/>
      <c r="J9" s="44" t="s">
        <v>556</v>
      </c>
      <c r="K9" s="45">
        <v>19.36</v>
      </c>
      <c r="L9" s="48">
        <v>16.940000000000001</v>
      </c>
      <c r="M9" s="46">
        <f>L9/K9*100</f>
        <v>87.500000000000014</v>
      </c>
      <c r="N9" s="48">
        <v>16.95</v>
      </c>
      <c r="O9" s="46">
        <f t="shared" si="1"/>
        <v>87.551652892561975</v>
      </c>
      <c r="P9" s="40">
        <v>17.95</v>
      </c>
      <c r="Q9" s="46">
        <f t="shared" si="5"/>
        <v>92.716942148760324</v>
      </c>
      <c r="R9" s="40">
        <v>18.190000000000001</v>
      </c>
      <c r="S9" s="46">
        <f t="shared" si="2"/>
        <v>93.956611570247944</v>
      </c>
      <c r="T9" s="40">
        <v>17.88</v>
      </c>
      <c r="U9" s="46">
        <f t="shared" si="3"/>
        <v>92.355371900826441</v>
      </c>
      <c r="V9" s="48">
        <v>14.93</v>
      </c>
      <c r="W9" s="52">
        <f t="shared" si="4"/>
        <v>77.117768595041326</v>
      </c>
      <c r="X9" s="48">
        <v>13.06</v>
      </c>
      <c r="Y9" s="52">
        <f t="shared" si="6"/>
        <v>67.45867768595042</v>
      </c>
      <c r="Z9" s="49" t="s">
        <v>487</v>
      </c>
      <c r="AA9" s="50"/>
      <c r="AB9" s="49"/>
      <c r="AC9" s="50"/>
      <c r="AD9" s="49"/>
      <c r="AE9" s="50"/>
      <c r="AF9" s="49"/>
      <c r="AG9" s="50"/>
      <c r="AH9" s="49"/>
      <c r="AI9" s="50"/>
      <c r="AJ9" s="49"/>
      <c r="AK9" s="50"/>
      <c r="AL9" s="49"/>
      <c r="AM9" s="50"/>
      <c r="AN9" s="49"/>
      <c r="AO9" s="50"/>
      <c r="AP9" s="49"/>
      <c r="AQ9" s="50"/>
    </row>
    <row r="10" spans="2:43" s="95" customFormat="1" ht="12.75" customHeight="1" x14ac:dyDescent="0.3">
      <c r="B10" s="3">
        <v>22</v>
      </c>
      <c r="C10" s="3">
        <v>1</v>
      </c>
      <c r="D10" s="3"/>
      <c r="E10" s="1"/>
      <c r="F10" s="2" t="s">
        <v>142</v>
      </c>
      <c r="G10" s="3">
        <v>24.37</v>
      </c>
      <c r="I10" s="379"/>
      <c r="J10" s="44" t="s">
        <v>929</v>
      </c>
      <c r="K10" s="45">
        <v>18.46</v>
      </c>
      <c r="L10" s="48">
        <v>16.78</v>
      </c>
      <c r="M10" s="46">
        <f t="shared" si="0"/>
        <v>90.899241603466962</v>
      </c>
      <c r="N10" s="48">
        <v>16.920000000000002</v>
      </c>
      <c r="O10" s="46">
        <f t="shared" si="1"/>
        <v>91.65763813651138</v>
      </c>
      <c r="P10" s="40">
        <v>18.11</v>
      </c>
      <c r="Q10" s="46">
        <f t="shared" si="5"/>
        <v>98.104008667388939</v>
      </c>
      <c r="R10" s="40">
        <v>18.559999999999999</v>
      </c>
      <c r="S10" s="46">
        <f t="shared" si="2"/>
        <v>100.54171180931743</v>
      </c>
      <c r="T10" s="40">
        <v>18.39</v>
      </c>
      <c r="U10" s="46">
        <f t="shared" si="3"/>
        <v>99.620801733477791</v>
      </c>
      <c r="V10" s="48">
        <v>16.86</v>
      </c>
      <c r="W10" s="46">
        <f t="shared" si="4"/>
        <v>91.332611050920903</v>
      </c>
      <c r="X10" s="49" t="s">
        <v>930</v>
      </c>
      <c r="Y10" s="53"/>
      <c r="Z10" s="48"/>
      <c r="AA10" s="54"/>
      <c r="AB10" s="48"/>
      <c r="AC10" s="54"/>
      <c r="AD10" s="48"/>
      <c r="AE10" s="54"/>
      <c r="AF10" s="48"/>
      <c r="AG10" s="54"/>
      <c r="AH10" s="48"/>
      <c r="AI10" s="54"/>
      <c r="AJ10" s="48"/>
      <c r="AK10" s="54"/>
      <c r="AL10" s="48"/>
      <c r="AM10" s="54"/>
      <c r="AN10" s="48"/>
      <c r="AO10" s="54"/>
      <c r="AP10" s="48"/>
      <c r="AQ10" s="54"/>
    </row>
    <row r="11" spans="2:43" s="95" customFormat="1" ht="12.75" customHeight="1" x14ac:dyDescent="0.3">
      <c r="B11" s="3">
        <v>22</v>
      </c>
      <c r="C11" s="3">
        <v>1</v>
      </c>
      <c r="D11" s="3"/>
      <c r="E11" s="1"/>
      <c r="F11" s="2" t="s">
        <v>143</v>
      </c>
      <c r="G11" s="3">
        <v>1</v>
      </c>
      <c r="I11" s="380"/>
      <c r="J11" s="44" t="s">
        <v>931</v>
      </c>
      <c r="K11" s="45">
        <v>20.25</v>
      </c>
      <c r="L11" s="40">
        <v>17.899999999999999</v>
      </c>
      <c r="M11" s="46">
        <f t="shared" si="0"/>
        <v>88.395061728395049</v>
      </c>
      <c r="N11" s="48">
        <v>15.95</v>
      </c>
      <c r="O11" s="52">
        <f t="shared" si="1"/>
        <v>78.76543209876543</v>
      </c>
      <c r="P11" s="40">
        <v>18.75</v>
      </c>
      <c r="Q11" s="46">
        <f t="shared" si="5"/>
        <v>92.592592592592595</v>
      </c>
      <c r="R11" s="40">
        <v>18.73</v>
      </c>
      <c r="S11" s="46">
        <f t="shared" si="2"/>
        <v>92.493827160493822</v>
      </c>
      <c r="T11" s="40">
        <v>18.489999999999998</v>
      </c>
      <c r="U11" s="46">
        <f t="shared" si="3"/>
        <v>91.308641975308632</v>
      </c>
      <c r="V11" s="49" t="s">
        <v>97</v>
      </c>
      <c r="W11" s="53"/>
      <c r="X11" s="48"/>
      <c r="Y11" s="53"/>
      <c r="Z11" s="48"/>
      <c r="AA11" s="54"/>
      <c r="AB11" s="48"/>
      <c r="AC11" s="54"/>
      <c r="AD11" s="48"/>
      <c r="AE11" s="54"/>
      <c r="AF11" s="48"/>
      <c r="AG11" s="54"/>
      <c r="AH11" s="48"/>
      <c r="AI11" s="54"/>
      <c r="AJ11" s="48"/>
      <c r="AK11" s="54"/>
      <c r="AL11" s="48"/>
      <c r="AM11" s="54"/>
      <c r="AN11" s="48"/>
      <c r="AO11" s="54"/>
      <c r="AP11" s="48"/>
      <c r="AQ11" s="54"/>
    </row>
    <row r="12" spans="2:43" s="95" customFormat="1" ht="12.75" customHeight="1" x14ac:dyDescent="0.3">
      <c r="B12" s="3">
        <v>27</v>
      </c>
      <c r="C12" s="3">
        <v>1</v>
      </c>
      <c r="D12" s="3"/>
      <c r="E12" s="1"/>
      <c r="F12" s="7" t="s">
        <v>47</v>
      </c>
      <c r="G12" s="8" t="s">
        <v>48</v>
      </c>
      <c r="I12" s="354" t="s">
        <v>920</v>
      </c>
      <c r="J12" s="44" t="s">
        <v>921</v>
      </c>
      <c r="K12" s="45">
        <v>21.69</v>
      </c>
      <c r="L12" s="40">
        <v>18.989999999999998</v>
      </c>
      <c r="M12" s="46">
        <f>L12/K12*100</f>
        <v>87.551867219917</v>
      </c>
      <c r="N12" s="40">
        <v>19.649999999999999</v>
      </c>
      <c r="O12" s="46">
        <f t="shared" si="1"/>
        <v>90.594744121715067</v>
      </c>
      <c r="P12" s="40">
        <v>20.09</v>
      </c>
      <c r="Q12" s="46">
        <f t="shared" si="5"/>
        <v>92.623328722913783</v>
      </c>
      <c r="R12" s="40">
        <v>19.57</v>
      </c>
      <c r="S12" s="46">
        <f t="shared" si="2"/>
        <v>90.225910557860772</v>
      </c>
      <c r="T12" s="40">
        <v>20.399999999999999</v>
      </c>
      <c r="U12" s="46">
        <f t="shared" si="3"/>
        <v>94.052558782849232</v>
      </c>
      <c r="V12" s="40">
        <v>20.73</v>
      </c>
      <c r="W12" s="46">
        <f t="shared" si="4"/>
        <v>95.573997233748258</v>
      </c>
      <c r="X12" s="40">
        <v>21.93</v>
      </c>
      <c r="Y12" s="46">
        <f t="shared" ref="Y12:Y16" si="7">X12/K12*100</f>
        <v>101.10650069156293</v>
      </c>
      <c r="Z12" s="40">
        <v>22</v>
      </c>
      <c r="AA12" s="46">
        <f t="shared" ref="AA12:AA16" si="8">Z12/K12*100</f>
        <v>101.42923005993545</v>
      </c>
      <c r="AB12" s="40">
        <v>21.52</v>
      </c>
      <c r="AC12" s="46">
        <f t="shared" ref="AC12:AC16" si="9">AB12/K12*100</f>
        <v>99.216228676809578</v>
      </c>
      <c r="AD12" s="40">
        <v>20.6</v>
      </c>
      <c r="AE12" s="46">
        <f t="shared" ref="AE12:AE16" si="10">AD12/K12*100</f>
        <v>94.974642692485006</v>
      </c>
      <c r="AF12" s="40">
        <v>20.65</v>
      </c>
      <c r="AG12" s="46">
        <f t="shared" ref="AG12:AG16" si="11">AF12/K12*100</f>
        <v>95.205163669893949</v>
      </c>
      <c r="AH12" s="40">
        <v>21.03</v>
      </c>
      <c r="AI12" s="46">
        <f t="shared" ref="AI12:AI16" si="12">AH12/K12*100</f>
        <v>96.957123098201933</v>
      </c>
      <c r="AJ12" s="40">
        <v>21.18</v>
      </c>
      <c r="AK12" s="46">
        <f t="shared" ref="AK12:AK16" si="13">AJ12/K12*100</f>
        <v>97.648686030428763</v>
      </c>
      <c r="AL12" s="40">
        <v>17.78</v>
      </c>
      <c r="AM12" s="66">
        <f t="shared" ref="AM12:AM16" si="14">AL12/K12*100</f>
        <v>81.973259566620555</v>
      </c>
      <c r="AN12" s="40">
        <v>17.7</v>
      </c>
      <c r="AO12" s="46">
        <f t="shared" ref="AO12:AO16" si="15">AN12/K12*100</f>
        <v>81.604426002766246</v>
      </c>
      <c r="AP12" s="40">
        <v>18.78</v>
      </c>
      <c r="AQ12" s="47">
        <f t="shared" ref="AQ12:AQ14" si="16">AP12/K12*100</f>
        <v>86.583679114799452</v>
      </c>
    </row>
    <row r="13" spans="2:43" s="95" customFormat="1" ht="12.75" customHeight="1" x14ac:dyDescent="0.3">
      <c r="B13" s="3">
        <v>30</v>
      </c>
      <c r="C13" s="3">
        <v>1</v>
      </c>
      <c r="D13" s="3"/>
      <c r="E13" s="1"/>
      <c r="F13" s="7" t="s">
        <v>49</v>
      </c>
      <c r="G13" s="8" t="s">
        <v>50</v>
      </c>
      <c r="I13" s="354"/>
      <c r="J13" s="44" t="s">
        <v>922</v>
      </c>
      <c r="K13" s="45">
        <v>21.54</v>
      </c>
      <c r="L13" s="40">
        <v>18.34</v>
      </c>
      <c r="M13" s="46">
        <f>L13/K13*100</f>
        <v>85.143918291550605</v>
      </c>
      <c r="N13" s="40">
        <v>19.02</v>
      </c>
      <c r="O13" s="46">
        <f t="shared" si="1"/>
        <v>88.300835654596099</v>
      </c>
      <c r="P13" s="40">
        <v>19.5</v>
      </c>
      <c r="Q13" s="46">
        <f t="shared" si="5"/>
        <v>90.529247910863504</v>
      </c>
      <c r="R13" s="40">
        <v>18.96</v>
      </c>
      <c r="S13" s="46">
        <f t="shared" si="2"/>
        <v>88.022284122562681</v>
      </c>
      <c r="T13" s="40">
        <v>19.100000000000001</v>
      </c>
      <c r="U13" s="46">
        <f t="shared" si="3"/>
        <v>88.672237697307338</v>
      </c>
      <c r="V13" s="40">
        <v>19.82</v>
      </c>
      <c r="W13" s="46">
        <f t="shared" si="4"/>
        <v>92.014856081708444</v>
      </c>
      <c r="X13" s="40">
        <v>20.56</v>
      </c>
      <c r="Y13" s="46">
        <f t="shared" si="7"/>
        <v>95.450324976787371</v>
      </c>
      <c r="Z13" s="40">
        <v>20.04</v>
      </c>
      <c r="AA13" s="46">
        <f t="shared" si="8"/>
        <v>93.036211699164355</v>
      </c>
      <c r="AB13" s="40">
        <v>19.260000000000002</v>
      </c>
      <c r="AC13" s="46">
        <f t="shared" si="9"/>
        <v>89.415041782729816</v>
      </c>
      <c r="AD13" s="40">
        <v>18.38</v>
      </c>
      <c r="AE13" s="46">
        <f t="shared" si="10"/>
        <v>85.329619312906217</v>
      </c>
      <c r="AF13" s="40">
        <v>18.88</v>
      </c>
      <c r="AG13" s="46">
        <f t="shared" si="11"/>
        <v>87.650882079851428</v>
      </c>
      <c r="AH13" s="40">
        <v>18.96</v>
      </c>
      <c r="AI13" s="46">
        <f t="shared" si="12"/>
        <v>88.022284122562681</v>
      </c>
      <c r="AJ13" s="40">
        <v>19.84</v>
      </c>
      <c r="AK13" s="46">
        <f t="shared" si="13"/>
        <v>92.107706592386265</v>
      </c>
      <c r="AL13" s="40">
        <v>17.09</v>
      </c>
      <c r="AM13" s="79">
        <f t="shared" si="14"/>
        <v>79.340761374187565</v>
      </c>
      <c r="AN13" s="40">
        <v>17.45</v>
      </c>
      <c r="AO13" s="46">
        <f t="shared" si="15"/>
        <v>81.012070566388118</v>
      </c>
      <c r="AP13" s="40">
        <v>19.260000000000002</v>
      </c>
      <c r="AQ13" s="47">
        <f t="shared" si="16"/>
        <v>89.415041782729816</v>
      </c>
    </row>
    <row r="14" spans="2:43" s="95" customFormat="1" ht="12.75" customHeight="1" x14ac:dyDescent="0.25">
      <c r="B14" s="3">
        <v>32</v>
      </c>
      <c r="C14" s="3">
        <v>1</v>
      </c>
      <c r="D14" s="3"/>
      <c r="E14" s="1"/>
      <c r="F14" s="2" t="s">
        <v>144</v>
      </c>
      <c r="G14" s="3" t="s">
        <v>52</v>
      </c>
      <c r="I14" s="354"/>
      <c r="J14" s="44" t="s">
        <v>923</v>
      </c>
      <c r="K14" s="45">
        <v>20.51</v>
      </c>
      <c r="L14" s="40">
        <v>18.59</v>
      </c>
      <c r="M14" s="46">
        <f t="shared" ref="M14:M15" si="17">L14/K14*100</f>
        <v>90.638712823013151</v>
      </c>
      <c r="N14" s="40">
        <v>18.989999999999998</v>
      </c>
      <c r="O14" s="46">
        <f t="shared" si="1"/>
        <v>92.58898098488541</v>
      </c>
      <c r="P14" s="40">
        <v>18.64</v>
      </c>
      <c r="Q14" s="46">
        <f t="shared" si="5"/>
        <v>90.882496343247183</v>
      </c>
      <c r="R14" s="40">
        <v>18.14</v>
      </c>
      <c r="S14" s="46">
        <f t="shared" si="2"/>
        <v>88.444661140906859</v>
      </c>
      <c r="T14" s="40">
        <v>19.03</v>
      </c>
      <c r="U14" s="46">
        <f t="shared" si="3"/>
        <v>92.784007801072647</v>
      </c>
      <c r="V14" s="40">
        <v>18.600000000000001</v>
      </c>
      <c r="W14" s="46">
        <f t="shared" si="4"/>
        <v>90.687469527059974</v>
      </c>
      <c r="X14" s="40">
        <v>18.95</v>
      </c>
      <c r="Y14" s="46">
        <f t="shared" si="7"/>
        <v>92.393954168698187</v>
      </c>
      <c r="Z14" s="40">
        <v>19.329999999999998</v>
      </c>
      <c r="AA14" s="46">
        <f t="shared" si="8"/>
        <v>94.246708922476827</v>
      </c>
      <c r="AB14" s="40">
        <v>18.95</v>
      </c>
      <c r="AC14" s="46">
        <f t="shared" si="9"/>
        <v>92.393954168698187</v>
      </c>
      <c r="AD14" s="40">
        <v>18.43</v>
      </c>
      <c r="AE14" s="46">
        <f t="shared" si="10"/>
        <v>89.858605558264244</v>
      </c>
      <c r="AF14" s="40">
        <v>19</v>
      </c>
      <c r="AG14" s="46">
        <f t="shared" si="11"/>
        <v>92.637737688932219</v>
      </c>
      <c r="AH14" s="40">
        <v>18.010000000000002</v>
      </c>
      <c r="AI14" s="46">
        <f t="shared" si="12"/>
        <v>87.810823988298395</v>
      </c>
      <c r="AJ14" s="40">
        <v>18.73</v>
      </c>
      <c r="AK14" s="46">
        <f t="shared" si="13"/>
        <v>91.321306679668453</v>
      </c>
      <c r="AL14" s="48">
        <v>16.399999999999999</v>
      </c>
      <c r="AM14" s="79">
        <f t="shared" si="14"/>
        <v>79.960994636762535</v>
      </c>
      <c r="AN14" s="40">
        <v>17.149999999999999</v>
      </c>
      <c r="AO14" s="46">
        <f t="shared" si="15"/>
        <v>83.617747440273021</v>
      </c>
      <c r="AP14" s="40">
        <v>18.18</v>
      </c>
      <c r="AQ14" s="47">
        <f t="shared" si="16"/>
        <v>88.639687957094097</v>
      </c>
    </row>
    <row r="15" spans="2:43" s="95" customFormat="1" ht="12.75" customHeight="1" x14ac:dyDescent="0.3">
      <c r="B15" s="3">
        <v>34</v>
      </c>
      <c r="C15" s="3">
        <v>1</v>
      </c>
      <c r="D15" s="3"/>
      <c r="E15" s="1"/>
      <c r="F15" s="2"/>
      <c r="G15" s="3"/>
      <c r="I15" s="354"/>
      <c r="J15" s="44" t="s">
        <v>924</v>
      </c>
      <c r="K15" s="45">
        <v>19.920000000000002</v>
      </c>
      <c r="L15" s="40">
        <v>17.809999999999999</v>
      </c>
      <c r="M15" s="46">
        <f t="shared" si="17"/>
        <v>89.40763052208834</v>
      </c>
      <c r="N15" s="40">
        <v>18.87</v>
      </c>
      <c r="O15" s="46">
        <f t="shared" si="1"/>
        <v>94.728915662650607</v>
      </c>
      <c r="P15" s="40">
        <v>18.91</v>
      </c>
      <c r="Q15" s="46">
        <f t="shared" si="5"/>
        <v>94.929718875502004</v>
      </c>
      <c r="R15" s="40">
        <v>18.3</v>
      </c>
      <c r="S15" s="46">
        <f t="shared" si="2"/>
        <v>91.867469879518069</v>
      </c>
      <c r="T15" s="40">
        <v>18.600000000000001</v>
      </c>
      <c r="U15" s="46">
        <f t="shared" si="3"/>
        <v>93.373493975903614</v>
      </c>
      <c r="V15" s="40">
        <v>19.489999999999998</v>
      </c>
      <c r="W15" s="46">
        <f t="shared" si="4"/>
        <v>97.841365461847374</v>
      </c>
      <c r="X15" s="40">
        <v>20.190000000000001</v>
      </c>
      <c r="Y15" s="46">
        <f t="shared" si="7"/>
        <v>101.35542168674698</v>
      </c>
      <c r="Z15" s="40">
        <v>20.37</v>
      </c>
      <c r="AA15" s="46">
        <f t="shared" si="8"/>
        <v>102.25903614457832</v>
      </c>
      <c r="AB15" s="40">
        <v>19.87</v>
      </c>
      <c r="AC15" s="46">
        <f t="shared" si="9"/>
        <v>99.748995983935743</v>
      </c>
      <c r="AD15" s="40">
        <v>18</v>
      </c>
      <c r="AE15" s="46">
        <f t="shared" si="10"/>
        <v>90.361445783132524</v>
      </c>
      <c r="AF15" s="40">
        <v>18.02</v>
      </c>
      <c r="AG15" s="46">
        <f t="shared" si="11"/>
        <v>90.46184738955823</v>
      </c>
      <c r="AH15" s="40">
        <v>18.21</v>
      </c>
      <c r="AI15" s="46">
        <f t="shared" si="12"/>
        <v>91.4156626506024</v>
      </c>
      <c r="AJ15" s="40">
        <v>18.350000000000001</v>
      </c>
      <c r="AK15" s="46">
        <f t="shared" si="13"/>
        <v>92.118473895582326</v>
      </c>
      <c r="AL15" s="48">
        <v>16.27</v>
      </c>
      <c r="AM15" s="66">
        <f t="shared" si="14"/>
        <v>81.676706827309232</v>
      </c>
      <c r="AN15" s="48">
        <v>14.61</v>
      </c>
      <c r="AO15" s="52">
        <f t="shared" si="15"/>
        <v>73.343373493975889</v>
      </c>
      <c r="AP15" s="49" t="s">
        <v>933</v>
      </c>
      <c r="AQ15" s="54"/>
    </row>
    <row r="16" spans="2:43" s="95" customFormat="1" ht="12.75" customHeight="1" x14ac:dyDescent="0.25">
      <c r="B16" s="3">
        <v>42</v>
      </c>
      <c r="C16" s="3">
        <v>1</v>
      </c>
      <c r="D16" s="3"/>
      <c r="E16" s="1"/>
      <c r="F16" s="2" t="s">
        <v>205</v>
      </c>
      <c r="G16" s="3"/>
      <c r="I16" s="354"/>
      <c r="J16" s="44" t="s">
        <v>925</v>
      </c>
      <c r="K16" s="45">
        <v>22</v>
      </c>
      <c r="L16" s="40">
        <v>20.58</v>
      </c>
      <c r="M16" s="46">
        <f>L16/K16*100</f>
        <v>93.545454545454547</v>
      </c>
      <c r="N16" s="40">
        <v>20.55</v>
      </c>
      <c r="O16" s="46">
        <f t="shared" si="1"/>
        <v>93.409090909090907</v>
      </c>
      <c r="P16" s="40">
        <v>20.72</v>
      </c>
      <c r="Q16" s="46">
        <f t="shared" si="5"/>
        <v>94.181818181818173</v>
      </c>
      <c r="R16" s="40">
        <v>20.12</v>
      </c>
      <c r="S16" s="46">
        <f t="shared" si="2"/>
        <v>91.454545454545453</v>
      </c>
      <c r="T16" s="40">
        <v>20.93</v>
      </c>
      <c r="U16" s="46">
        <f t="shared" si="3"/>
        <v>95.136363636363626</v>
      </c>
      <c r="V16" s="40">
        <v>21.11</v>
      </c>
      <c r="W16" s="46">
        <f t="shared" si="4"/>
        <v>95.954545454545453</v>
      </c>
      <c r="X16" s="40">
        <v>21.1</v>
      </c>
      <c r="Y16" s="46">
        <f t="shared" si="7"/>
        <v>95.909090909090907</v>
      </c>
      <c r="Z16" s="40">
        <v>20.46</v>
      </c>
      <c r="AA16" s="46">
        <f t="shared" si="8"/>
        <v>93</v>
      </c>
      <c r="AB16" s="40">
        <v>20.51</v>
      </c>
      <c r="AC16" s="46">
        <f t="shared" si="9"/>
        <v>93.227272727272734</v>
      </c>
      <c r="AD16" s="40">
        <v>19.93</v>
      </c>
      <c r="AE16" s="46">
        <f t="shared" si="10"/>
        <v>90.590909090909093</v>
      </c>
      <c r="AF16" s="40">
        <v>20.6</v>
      </c>
      <c r="AG16" s="46">
        <f t="shared" si="11"/>
        <v>93.63636363636364</v>
      </c>
      <c r="AH16" s="40">
        <v>20.36</v>
      </c>
      <c r="AI16" s="46">
        <f t="shared" si="12"/>
        <v>92.545454545454547</v>
      </c>
      <c r="AJ16" s="40">
        <v>21.09</v>
      </c>
      <c r="AK16" s="46">
        <f t="shared" si="13"/>
        <v>95.86363636363636</v>
      </c>
      <c r="AL16" s="40">
        <v>19.399999999999999</v>
      </c>
      <c r="AM16" s="66">
        <f t="shared" si="14"/>
        <v>88.181818181818173</v>
      </c>
      <c r="AN16" s="40">
        <v>18.79</v>
      </c>
      <c r="AO16" s="46">
        <f t="shared" si="15"/>
        <v>85.409090909090907</v>
      </c>
      <c r="AP16" s="40">
        <v>19.100000000000001</v>
      </c>
      <c r="AQ16" s="47">
        <f>AP16/K16*100</f>
        <v>86.818181818181827</v>
      </c>
    </row>
    <row r="17" spans="2:37" s="95" customFormat="1" ht="12.75" customHeight="1" x14ac:dyDescent="0.3">
      <c r="B17" s="3">
        <v>57</v>
      </c>
      <c r="C17" s="3"/>
      <c r="D17" s="3">
        <v>1</v>
      </c>
      <c r="E17" s="1"/>
      <c r="F17" s="2" t="s">
        <v>142</v>
      </c>
      <c r="G17" s="3">
        <v>20.07</v>
      </c>
      <c r="I17" s="5"/>
      <c r="J17" s="96"/>
      <c r="K17" s="97" t="s">
        <v>13</v>
      </c>
      <c r="L17" s="98"/>
      <c r="M17" s="98"/>
    </row>
    <row r="18" spans="2:37" s="95" customFormat="1" ht="12.75" customHeight="1" x14ac:dyDescent="0.3">
      <c r="B18" s="3">
        <v>60</v>
      </c>
      <c r="C18" s="3"/>
      <c r="D18" s="3">
        <v>0</v>
      </c>
      <c r="E18" s="1"/>
      <c r="F18" s="2" t="s">
        <v>143</v>
      </c>
      <c r="G18" s="3">
        <v>1</v>
      </c>
      <c r="I18" s="5"/>
      <c r="J18" s="96"/>
      <c r="K18" s="26" t="s">
        <v>107</v>
      </c>
      <c r="L18" s="98"/>
      <c r="M18" s="98"/>
    </row>
    <row r="19" spans="2:37" s="95" customFormat="1" ht="12.75" customHeight="1" x14ac:dyDescent="0.25">
      <c r="B19" s="3">
        <v>60</v>
      </c>
      <c r="C19" s="3"/>
      <c r="D19" s="3">
        <v>0</v>
      </c>
      <c r="E19" s="1"/>
      <c r="F19" s="2" t="s">
        <v>47</v>
      </c>
      <c r="G19" s="3" t="s">
        <v>48</v>
      </c>
      <c r="I19" s="5"/>
      <c r="J19" s="96"/>
      <c r="K19" s="98"/>
      <c r="L19" s="98"/>
      <c r="M19" s="98"/>
    </row>
    <row r="20" spans="2:37" s="95" customFormat="1" ht="12.75" customHeight="1" x14ac:dyDescent="0.3">
      <c r="B20" s="3">
        <v>60</v>
      </c>
      <c r="C20" s="3"/>
      <c r="D20" s="3">
        <v>0</v>
      </c>
      <c r="E20" s="1"/>
      <c r="F20" s="2" t="s">
        <v>49</v>
      </c>
      <c r="G20" s="3" t="s">
        <v>50</v>
      </c>
      <c r="I20" s="99" t="s">
        <v>149</v>
      </c>
      <c r="J20" s="100"/>
      <c r="K20" s="101"/>
      <c r="L20" s="101"/>
    </row>
    <row r="21" spans="2:37" s="95" customFormat="1" ht="12.75" customHeight="1" x14ac:dyDescent="0.25">
      <c r="B21" s="3">
        <v>60</v>
      </c>
      <c r="C21" s="3"/>
      <c r="D21" s="3">
        <v>0</v>
      </c>
      <c r="E21" s="1"/>
      <c r="F21" s="2" t="s">
        <v>144</v>
      </c>
      <c r="G21" s="3" t="s">
        <v>52</v>
      </c>
      <c r="I21" s="4"/>
      <c r="J21" s="27" t="s">
        <v>72</v>
      </c>
      <c r="K21" s="263" t="s">
        <v>941</v>
      </c>
      <c r="L21" s="358" t="s">
        <v>942</v>
      </c>
      <c r="M21" s="359"/>
      <c r="N21" s="358" t="s">
        <v>172</v>
      </c>
      <c r="O21" s="359"/>
      <c r="P21" s="358" t="s">
        <v>102</v>
      </c>
      <c r="Q21" s="359"/>
      <c r="R21" s="358" t="s">
        <v>103</v>
      </c>
      <c r="S21" s="359"/>
      <c r="T21" s="358" t="s">
        <v>73</v>
      </c>
      <c r="U21" s="359"/>
      <c r="V21" s="358" t="s">
        <v>74</v>
      </c>
      <c r="W21" s="359"/>
      <c r="X21" s="358" t="s">
        <v>943</v>
      </c>
      <c r="Y21" s="359"/>
      <c r="Z21" s="358" t="s">
        <v>75</v>
      </c>
      <c r="AA21" s="359"/>
      <c r="AB21" s="358" t="s">
        <v>106</v>
      </c>
      <c r="AC21" s="359"/>
      <c r="AD21" s="358" t="s">
        <v>278</v>
      </c>
      <c r="AE21" s="359"/>
      <c r="AF21" s="358" t="s">
        <v>944</v>
      </c>
      <c r="AG21" s="359"/>
      <c r="AH21" s="358" t="s">
        <v>511</v>
      </c>
      <c r="AI21" s="359"/>
      <c r="AJ21" s="358" t="s">
        <v>945</v>
      </c>
      <c r="AK21" s="359"/>
    </row>
    <row r="22" spans="2:37" s="95" customFormat="1" ht="12.75" customHeight="1" x14ac:dyDescent="0.25">
      <c r="B22" s="3">
        <v>60</v>
      </c>
      <c r="C22" s="3"/>
      <c r="D22" s="3">
        <v>0</v>
      </c>
      <c r="E22" s="1"/>
      <c r="F22" s="2"/>
      <c r="G22" s="3"/>
      <c r="I22" s="4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2:37" s="95" customFormat="1" ht="12.75" customHeight="1" x14ac:dyDescent="0.3">
      <c r="B23" s="3">
        <v>60</v>
      </c>
      <c r="C23" s="3"/>
      <c r="D23" s="3">
        <v>0</v>
      </c>
      <c r="E23" s="1"/>
      <c r="F23" s="2" t="s">
        <v>206</v>
      </c>
      <c r="G23" s="3"/>
      <c r="I23" s="354" t="s">
        <v>99</v>
      </c>
      <c r="J23" s="58" t="s">
        <v>934</v>
      </c>
      <c r="K23" s="45">
        <v>21.38</v>
      </c>
      <c r="L23" s="40">
        <v>19.059999999999999</v>
      </c>
      <c r="M23" s="46">
        <f t="shared" ref="M23:M25" si="18">L23/K23*100</f>
        <v>89.148737137511688</v>
      </c>
      <c r="N23" s="40">
        <v>17.25</v>
      </c>
      <c r="O23" s="46">
        <f>N23/K23*100</f>
        <v>80.682881197380723</v>
      </c>
      <c r="P23" s="40">
        <v>18.55</v>
      </c>
      <c r="Q23" s="46">
        <f>P23/K23*100</f>
        <v>86.763330215154355</v>
      </c>
      <c r="R23" s="40">
        <v>19.84</v>
      </c>
      <c r="S23" s="46">
        <f>R23/K23*100</f>
        <v>92.797006548175858</v>
      </c>
      <c r="T23" s="40">
        <v>21.26</v>
      </c>
      <c r="U23" s="46">
        <f>T23/K23*100</f>
        <v>99.438727782974752</v>
      </c>
      <c r="V23" s="40">
        <v>20.36</v>
      </c>
      <c r="W23" s="46">
        <f>V23/K23*100</f>
        <v>95.229186155285319</v>
      </c>
      <c r="X23" s="48">
        <v>16.12</v>
      </c>
      <c r="Y23" s="52">
        <f>X23/K23*100</f>
        <v>75.397567820392894</v>
      </c>
      <c r="Z23" s="48">
        <v>15.58</v>
      </c>
      <c r="AA23" s="52">
        <f t="shared" ref="AA23" si="19">Z23/K23*100</f>
        <v>72.871842843779234</v>
      </c>
      <c r="AB23" s="49" t="s">
        <v>947</v>
      </c>
      <c r="AC23" s="53"/>
      <c r="AD23" s="48"/>
      <c r="AE23" s="54"/>
      <c r="AF23" s="48"/>
      <c r="AG23" s="53"/>
      <c r="AH23" s="48"/>
      <c r="AI23" s="54"/>
      <c r="AJ23" s="48"/>
      <c r="AK23" s="54"/>
    </row>
    <row r="24" spans="2:37" s="95" customFormat="1" ht="12.75" customHeight="1" x14ac:dyDescent="0.3">
      <c r="B24" s="3">
        <v>60</v>
      </c>
      <c r="C24" s="3"/>
      <c r="D24" s="3">
        <v>0</v>
      </c>
      <c r="E24" s="1"/>
      <c r="F24" s="2" t="s">
        <v>133</v>
      </c>
      <c r="G24" s="3">
        <v>22</v>
      </c>
      <c r="I24" s="354"/>
      <c r="J24" s="58" t="s">
        <v>935</v>
      </c>
      <c r="K24" s="45">
        <v>23.3</v>
      </c>
      <c r="L24" s="40">
        <v>21.32</v>
      </c>
      <c r="M24" s="46">
        <f t="shared" si="18"/>
        <v>91.502145922746777</v>
      </c>
      <c r="N24" s="40">
        <v>20.14</v>
      </c>
      <c r="O24" s="46">
        <f t="shared" ref="O24:O32" si="20">N24/K24*100</f>
        <v>86.437768240343345</v>
      </c>
      <c r="P24" s="40">
        <v>20.8</v>
      </c>
      <c r="Q24" s="46">
        <f t="shared" ref="Q24:Q32" si="21">P24/K24*100</f>
        <v>89.27038626609442</v>
      </c>
      <c r="R24" s="40">
        <v>21.47</v>
      </c>
      <c r="S24" s="46">
        <f t="shared" ref="S24:S32" si="22">R24/K24*100</f>
        <v>92.14592274678111</v>
      </c>
      <c r="T24" s="40">
        <v>22.25</v>
      </c>
      <c r="U24" s="46">
        <f t="shared" ref="U24:U32" si="23">T24/K24*100</f>
        <v>95.493562231759654</v>
      </c>
      <c r="V24" s="40">
        <v>21.41</v>
      </c>
      <c r="W24" s="46">
        <f t="shared" ref="W24:W32" si="24">V24/K24*100</f>
        <v>91.888412017167383</v>
      </c>
      <c r="X24" s="40">
        <v>21.92</v>
      </c>
      <c r="Y24" s="46">
        <f t="shared" ref="Y24:Y32" si="25">X24/K24*100</f>
        <v>94.077253218884124</v>
      </c>
      <c r="Z24" s="40">
        <v>20.8</v>
      </c>
      <c r="AA24" s="46">
        <f>Z24/K24*100</f>
        <v>89.27038626609442</v>
      </c>
      <c r="AB24" s="40">
        <v>19.3</v>
      </c>
      <c r="AC24" s="46">
        <f>AB24/K24*100</f>
        <v>82.832618025751074</v>
      </c>
      <c r="AD24" s="40">
        <v>19.09</v>
      </c>
      <c r="AE24" s="46">
        <f>AD24/K24*100</f>
        <v>81.931330472102999</v>
      </c>
      <c r="AF24" s="49" t="s">
        <v>116</v>
      </c>
      <c r="AG24" s="53"/>
      <c r="AH24" s="48"/>
      <c r="AI24" s="54"/>
      <c r="AJ24" s="48"/>
      <c r="AK24" s="54"/>
    </row>
    <row r="25" spans="2:37" s="95" customFormat="1" ht="12.75" customHeight="1" x14ac:dyDescent="0.3">
      <c r="B25" s="3">
        <v>60</v>
      </c>
      <c r="C25" s="3"/>
      <c r="D25" s="3">
        <v>0</v>
      </c>
      <c r="E25" s="1"/>
      <c r="F25" s="2" t="s">
        <v>134</v>
      </c>
      <c r="G25" s="3" t="s">
        <v>293</v>
      </c>
      <c r="I25" s="354"/>
      <c r="J25" s="58" t="s">
        <v>628</v>
      </c>
      <c r="K25" s="45">
        <v>21.68</v>
      </c>
      <c r="L25" s="40">
        <v>20.2</v>
      </c>
      <c r="M25" s="46">
        <f t="shared" si="18"/>
        <v>93.173431734317333</v>
      </c>
      <c r="N25" s="40">
        <v>19.510000000000002</v>
      </c>
      <c r="O25" s="46">
        <f t="shared" si="20"/>
        <v>89.990774907749085</v>
      </c>
      <c r="P25" s="40">
        <v>20.18</v>
      </c>
      <c r="Q25" s="46">
        <f t="shared" si="21"/>
        <v>93.08118081180811</v>
      </c>
      <c r="R25" s="40">
        <v>21.1</v>
      </c>
      <c r="S25" s="46">
        <f t="shared" si="22"/>
        <v>97.324723247232484</v>
      </c>
      <c r="T25" s="40">
        <v>21.96</v>
      </c>
      <c r="U25" s="46">
        <f t="shared" si="23"/>
        <v>101.29151291512916</v>
      </c>
      <c r="V25" s="40">
        <v>21.31</v>
      </c>
      <c r="W25" s="46">
        <f t="shared" si="24"/>
        <v>98.29335793357933</v>
      </c>
      <c r="X25" s="40">
        <v>21.3</v>
      </c>
      <c r="Y25" s="46">
        <f t="shared" si="25"/>
        <v>98.247232472324725</v>
      </c>
      <c r="Z25" s="40">
        <v>21.09</v>
      </c>
      <c r="AA25" s="46">
        <f t="shared" ref="AA25:AA32" si="26">Z25/K25*100</f>
        <v>97.278597785977865</v>
      </c>
      <c r="AB25" s="48">
        <v>15.88</v>
      </c>
      <c r="AC25" s="52">
        <f>AB25/K25*100</f>
        <v>73.247232472324725</v>
      </c>
      <c r="AD25" s="40">
        <v>17.63</v>
      </c>
      <c r="AE25" s="46">
        <f>AD25/K25*100</f>
        <v>81.319188191881921</v>
      </c>
      <c r="AF25" s="48">
        <v>16.93</v>
      </c>
      <c r="AG25" s="52">
        <f>AF25/K25*100</f>
        <v>78.09040590405904</v>
      </c>
      <c r="AH25" s="40">
        <v>17.79</v>
      </c>
      <c r="AI25" s="47">
        <f>AH25/K25*100</f>
        <v>82.057195571955717</v>
      </c>
      <c r="AJ25" s="49" t="s">
        <v>119</v>
      </c>
      <c r="AK25" s="54"/>
    </row>
    <row r="26" spans="2:37" s="95" customFormat="1" ht="12.75" customHeight="1" x14ac:dyDescent="0.3">
      <c r="B26" s="3">
        <v>60</v>
      </c>
      <c r="C26" s="3"/>
      <c r="D26" s="3">
        <v>0</v>
      </c>
      <c r="E26" s="1"/>
      <c r="F26" s="2"/>
      <c r="G26" s="3"/>
      <c r="I26" s="354"/>
      <c r="J26" s="58" t="s">
        <v>629</v>
      </c>
      <c r="K26" s="45">
        <v>24.94</v>
      </c>
      <c r="L26" s="40">
        <v>23.46</v>
      </c>
      <c r="M26" s="46">
        <f>L26/K26*100</f>
        <v>94.065757818765036</v>
      </c>
      <c r="N26" s="40">
        <v>21.13</v>
      </c>
      <c r="O26" s="46">
        <f t="shared" si="20"/>
        <v>84.72333600641538</v>
      </c>
      <c r="P26" s="40">
        <v>21.8</v>
      </c>
      <c r="Q26" s="46">
        <f t="shared" si="21"/>
        <v>87.409783480352843</v>
      </c>
      <c r="R26" s="40">
        <v>22.09</v>
      </c>
      <c r="S26" s="46">
        <f t="shared" si="22"/>
        <v>88.572574178027267</v>
      </c>
      <c r="T26" s="40">
        <v>22.93</v>
      </c>
      <c r="U26" s="46">
        <f t="shared" si="23"/>
        <v>91.94065757818764</v>
      </c>
      <c r="V26" s="40">
        <v>22.49</v>
      </c>
      <c r="W26" s="46">
        <f t="shared" si="24"/>
        <v>90.176423416198872</v>
      </c>
      <c r="X26" s="40">
        <v>20.149999999999999</v>
      </c>
      <c r="Y26" s="46">
        <f t="shared" si="25"/>
        <v>80.79390537289494</v>
      </c>
      <c r="Z26" s="48">
        <v>16.850000000000001</v>
      </c>
      <c r="AA26" s="52">
        <f t="shared" si="26"/>
        <v>67.56214915797915</v>
      </c>
      <c r="AB26" s="49" t="s">
        <v>946</v>
      </c>
      <c r="AC26" s="53"/>
      <c r="AD26" s="48"/>
      <c r="AE26" s="53"/>
      <c r="AF26" s="48"/>
      <c r="AG26" s="53"/>
      <c r="AH26" s="48"/>
      <c r="AI26" s="54"/>
      <c r="AJ26" s="48"/>
      <c r="AK26" s="54"/>
    </row>
    <row r="27" spans="2:37" s="95" customFormat="1" ht="12.75" customHeight="1" x14ac:dyDescent="0.3">
      <c r="E27" s="1"/>
      <c r="F27" s="2" t="s">
        <v>211</v>
      </c>
      <c r="G27" s="3"/>
      <c r="I27" s="354"/>
      <c r="J27" s="58" t="s">
        <v>630</v>
      </c>
      <c r="K27" s="45">
        <v>23.48</v>
      </c>
      <c r="L27" s="40">
        <v>22.43</v>
      </c>
      <c r="M27" s="46">
        <f t="shared" ref="M27:M32" si="27">L27/K27*100</f>
        <v>95.528109028960813</v>
      </c>
      <c r="N27" s="40">
        <v>21.08</v>
      </c>
      <c r="O27" s="46">
        <f t="shared" si="20"/>
        <v>89.778534923339009</v>
      </c>
      <c r="P27" s="40">
        <v>22.72</v>
      </c>
      <c r="Q27" s="46">
        <f t="shared" si="21"/>
        <v>96.763202725724014</v>
      </c>
      <c r="R27" s="40">
        <v>23.39</v>
      </c>
      <c r="S27" s="46">
        <f t="shared" si="22"/>
        <v>99.616695059625215</v>
      </c>
      <c r="T27" s="40">
        <v>24.6</v>
      </c>
      <c r="U27" s="46">
        <f t="shared" si="23"/>
        <v>104.77001703577513</v>
      </c>
      <c r="V27" s="40">
        <v>23.98</v>
      </c>
      <c r="W27" s="46">
        <f t="shared" si="24"/>
        <v>102.12947189097103</v>
      </c>
      <c r="X27" s="40">
        <v>20.88</v>
      </c>
      <c r="Y27" s="46">
        <f t="shared" si="25"/>
        <v>88.926746166950593</v>
      </c>
      <c r="Z27" s="40">
        <v>18.8</v>
      </c>
      <c r="AA27" s="46">
        <f t="shared" si="26"/>
        <v>80.06814310051108</v>
      </c>
      <c r="AB27" s="40">
        <v>18.75</v>
      </c>
      <c r="AC27" s="52">
        <f>AB27/K27*100</f>
        <v>79.855195911413972</v>
      </c>
      <c r="AD27" s="40">
        <v>18.62</v>
      </c>
      <c r="AE27" s="52">
        <f>AD27/K27*100</f>
        <v>79.301533219761495</v>
      </c>
      <c r="AF27" s="48">
        <v>16.54</v>
      </c>
      <c r="AG27" s="52">
        <f>AF27/K27*100</f>
        <v>70.442930153321967</v>
      </c>
      <c r="AH27" s="49" t="s">
        <v>936</v>
      </c>
      <c r="AI27" s="54"/>
      <c r="AJ27" s="49"/>
      <c r="AK27" s="54"/>
    </row>
    <row r="28" spans="2:37" s="95" customFormat="1" ht="12.75" customHeight="1" x14ac:dyDescent="0.25">
      <c r="E28" s="1"/>
      <c r="F28" s="2" t="s">
        <v>208</v>
      </c>
      <c r="G28" s="3">
        <v>28.77</v>
      </c>
      <c r="I28" s="354" t="s">
        <v>920</v>
      </c>
      <c r="J28" s="58" t="s">
        <v>937</v>
      </c>
      <c r="K28" s="45">
        <v>21.99</v>
      </c>
      <c r="L28" s="40">
        <v>20.63</v>
      </c>
      <c r="M28" s="46">
        <f t="shared" si="27"/>
        <v>93.815370623010466</v>
      </c>
      <c r="N28" s="40">
        <v>21.65</v>
      </c>
      <c r="O28" s="46">
        <f t="shared" si="20"/>
        <v>98.453842655752609</v>
      </c>
      <c r="P28" s="40">
        <v>21.6</v>
      </c>
      <c r="Q28" s="46">
        <f t="shared" si="21"/>
        <v>98.226466575716259</v>
      </c>
      <c r="R28" s="40">
        <v>20.88</v>
      </c>
      <c r="S28" s="46">
        <f t="shared" si="22"/>
        <v>94.95225102319236</v>
      </c>
      <c r="T28" s="40">
        <v>21.63</v>
      </c>
      <c r="U28" s="46">
        <f t="shared" si="23"/>
        <v>98.362892223738058</v>
      </c>
      <c r="V28" s="40">
        <v>23.2</v>
      </c>
      <c r="W28" s="46">
        <f t="shared" si="24"/>
        <v>105.5025011368804</v>
      </c>
      <c r="X28" s="40">
        <v>22.31</v>
      </c>
      <c r="Y28" s="46">
        <f t="shared" si="25"/>
        <v>101.45520691223284</v>
      </c>
      <c r="Z28" s="40">
        <v>19.18</v>
      </c>
      <c r="AA28" s="46">
        <f t="shared" si="26"/>
        <v>87.221464301955436</v>
      </c>
      <c r="AB28" s="40">
        <v>18.05</v>
      </c>
      <c r="AC28" s="46">
        <f t="shared" ref="AC28:AC32" si="28">AB28/K28*100</f>
        <v>82.082764893133259</v>
      </c>
      <c r="AD28" s="40">
        <v>18.62</v>
      </c>
      <c r="AE28" s="46">
        <f t="shared" ref="AE28:AE32" si="29">AD28/K28*100</f>
        <v>84.674852205547992</v>
      </c>
      <c r="AF28" s="40">
        <v>17.75</v>
      </c>
      <c r="AG28" s="46">
        <f t="shared" ref="AG28:AG32" si="30">AF28/K28*100</f>
        <v>80.718508412914971</v>
      </c>
      <c r="AH28" s="40">
        <v>18.16</v>
      </c>
      <c r="AI28" s="46">
        <f t="shared" ref="AI28:AI32" si="31">AH28/K28*100</f>
        <v>82.582992269213278</v>
      </c>
      <c r="AJ28" s="40">
        <v>19.72</v>
      </c>
      <c r="AK28" s="47">
        <f t="shared" ref="AK28:AK32" si="32">AJ28/K28*100</f>
        <v>89.677125966348342</v>
      </c>
    </row>
    <row r="29" spans="2:37" s="95" customFormat="1" ht="12.75" customHeight="1" x14ac:dyDescent="0.25">
      <c r="E29" s="1"/>
      <c r="F29" s="2" t="s">
        <v>209</v>
      </c>
      <c r="G29" s="3" t="s">
        <v>949</v>
      </c>
      <c r="I29" s="354"/>
      <c r="J29" s="58" t="s">
        <v>938</v>
      </c>
      <c r="K29" s="45">
        <v>22.15</v>
      </c>
      <c r="L29" s="40">
        <v>19.48</v>
      </c>
      <c r="M29" s="46">
        <f t="shared" si="27"/>
        <v>87.945823927765247</v>
      </c>
      <c r="N29" s="40">
        <v>20.46</v>
      </c>
      <c r="O29" s="46">
        <f t="shared" si="20"/>
        <v>92.37020316027089</v>
      </c>
      <c r="P29" s="40">
        <v>20.51</v>
      </c>
      <c r="Q29" s="46">
        <f t="shared" si="21"/>
        <v>92.5959367945824</v>
      </c>
      <c r="R29" s="40">
        <v>20.2</v>
      </c>
      <c r="S29" s="46">
        <f t="shared" si="22"/>
        <v>91.196388261851013</v>
      </c>
      <c r="T29" s="40">
        <v>20.77</v>
      </c>
      <c r="U29" s="46">
        <f t="shared" si="23"/>
        <v>93.769751693002263</v>
      </c>
      <c r="V29" s="40">
        <v>21.32</v>
      </c>
      <c r="W29" s="46">
        <f t="shared" si="24"/>
        <v>96.252821670428901</v>
      </c>
      <c r="X29" s="40">
        <v>19.43</v>
      </c>
      <c r="Y29" s="46">
        <f t="shared" si="25"/>
        <v>87.720090293453737</v>
      </c>
      <c r="Z29" s="40">
        <v>18.420000000000002</v>
      </c>
      <c r="AA29" s="46">
        <f t="shared" si="26"/>
        <v>83.160270880361182</v>
      </c>
      <c r="AB29" s="40">
        <v>19.16</v>
      </c>
      <c r="AC29" s="46">
        <f t="shared" si="28"/>
        <v>86.50112866817156</v>
      </c>
      <c r="AD29" s="40">
        <v>18.420000000000002</v>
      </c>
      <c r="AE29" s="46">
        <f t="shared" si="29"/>
        <v>83.160270880361182</v>
      </c>
      <c r="AF29" s="48">
        <v>16.940000000000001</v>
      </c>
      <c r="AG29" s="52">
        <f t="shared" si="30"/>
        <v>76.478555304740411</v>
      </c>
      <c r="AH29" s="48">
        <v>16.89</v>
      </c>
      <c r="AI29" s="52">
        <f t="shared" si="31"/>
        <v>76.252821670428901</v>
      </c>
      <c r="AJ29" s="48">
        <v>15.81</v>
      </c>
      <c r="AK29" s="50">
        <f t="shared" si="32"/>
        <v>71.376975169300223</v>
      </c>
    </row>
    <row r="30" spans="2:37" s="95" customFormat="1" ht="12.75" customHeight="1" x14ac:dyDescent="0.25">
      <c r="E30" s="1"/>
      <c r="I30" s="354"/>
      <c r="J30" s="58" t="s">
        <v>267</v>
      </c>
      <c r="K30" s="45">
        <v>22.89</v>
      </c>
      <c r="L30" s="40">
        <v>20.28</v>
      </c>
      <c r="M30" s="46">
        <f t="shared" si="27"/>
        <v>88.597640891218873</v>
      </c>
      <c r="N30" s="40">
        <v>20.66</v>
      </c>
      <c r="O30" s="46">
        <f t="shared" si="20"/>
        <v>90.257754477937951</v>
      </c>
      <c r="P30" s="40">
        <v>21.5</v>
      </c>
      <c r="Q30" s="46">
        <f t="shared" si="21"/>
        <v>93.927479248580156</v>
      </c>
      <c r="R30" s="40">
        <v>20.41</v>
      </c>
      <c r="S30" s="46">
        <f t="shared" si="22"/>
        <v>89.165574486675396</v>
      </c>
      <c r="T30" s="40">
        <v>21.9</v>
      </c>
      <c r="U30" s="46">
        <f t="shared" si="23"/>
        <v>95.674967234600246</v>
      </c>
      <c r="V30" s="40">
        <v>21.75</v>
      </c>
      <c r="W30" s="46">
        <f t="shared" si="24"/>
        <v>95.019659239842724</v>
      </c>
      <c r="X30" s="40">
        <v>20.47</v>
      </c>
      <c r="Y30" s="46">
        <f t="shared" si="25"/>
        <v>89.427697684578405</v>
      </c>
      <c r="Z30" s="40">
        <v>18.579999999999998</v>
      </c>
      <c r="AA30" s="46">
        <f t="shared" si="26"/>
        <v>81.170816950633451</v>
      </c>
      <c r="AB30" s="40">
        <v>17.82</v>
      </c>
      <c r="AC30" s="52">
        <f t="shared" si="28"/>
        <v>77.850589777195282</v>
      </c>
      <c r="AD30" s="40">
        <v>17.690000000000001</v>
      </c>
      <c r="AE30" s="52">
        <f t="shared" si="29"/>
        <v>77.282656181738759</v>
      </c>
      <c r="AF30" s="40">
        <v>17.649999999999999</v>
      </c>
      <c r="AG30" s="52">
        <f t="shared" si="30"/>
        <v>77.107907383136734</v>
      </c>
      <c r="AH30" s="40">
        <v>17.23</v>
      </c>
      <c r="AI30" s="52">
        <f t="shared" si="31"/>
        <v>75.273044997815646</v>
      </c>
      <c r="AJ30" s="40">
        <v>17.670000000000002</v>
      </c>
      <c r="AK30" s="50">
        <f t="shared" si="32"/>
        <v>77.195281782437746</v>
      </c>
    </row>
    <row r="31" spans="2:37" s="95" customFormat="1" ht="12.75" customHeight="1" x14ac:dyDescent="0.25">
      <c r="I31" s="354"/>
      <c r="J31" s="58" t="s">
        <v>939</v>
      </c>
      <c r="K31" s="45">
        <v>22.34</v>
      </c>
      <c r="L31" s="40">
        <v>20.32</v>
      </c>
      <c r="M31" s="46">
        <f t="shared" si="27"/>
        <v>90.957923008057293</v>
      </c>
      <c r="N31" s="40">
        <v>21.7</v>
      </c>
      <c r="O31" s="46">
        <f t="shared" si="20"/>
        <v>97.135183527305287</v>
      </c>
      <c r="P31" s="40">
        <v>21.63</v>
      </c>
      <c r="Q31" s="46">
        <f t="shared" si="21"/>
        <v>96.821844225604295</v>
      </c>
      <c r="R31" s="40">
        <v>20.88</v>
      </c>
      <c r="S31" s="46">
        <f t="shared" si="22"/>
        <v>93.464637421665174</v>
      </c>
      <c r="T31" s="40">
        <v>22.56</v>
      </c>
      <c r="U31" s="46">
        <f t="shared" si="23"/>
        <v>100.98478066248879</v>
      </c>
      <c r="V31" s="40">
        <v>23</v>
      </c>
      <c r="W31" s="46">
        <f t="shared" si="24"/>
        <v>102.95434198746642</v>
      </c>
      <c r="X31" s="40">
        <v>21.2</v>
      </c>
      <c r="Y31" s="46">
        <f t="shared" si="25"/>
        <v>94.89704565801253</v>
      </c>
      <c r="Z31" s="40">
        <v>18.52</v>
      </c>
      <c r="AA31" s="46">
        <f t="shared" si="26"/>
        <v>82.900626678603402</v>
      </c>
      <c r="AB31" s="40">
        <v>18.38</v>
      </c>
      <c r="AC31" s="46">
        <f t="shared" si="28"/>
        <v>82.273948075201432</v>
      </c>
      <c r="AD31" s="48">
        <v>16.07</v>
      </c>
      <c r="AE31" s="52">
        <f t="shared" si="29"/>
        <v>71.93375111906893</v>
      </c>
      <c r="AF31" s="48">
        <v>16.21</v>
      </c>
      <c r="AG31" s="52">
        <f t="shared" si="30"/>
        <v>72.560429722470914</v>
      </c>
      <c r="AH31" s="48">
        <v>16.920000000000002</v>
      </c>
      <c r="AI31" s="52">
        <f t="shared" si="31"/>
        <v>75.738585496866619</v>
      </c>
      <c r="AJ31" s="48">
        <v>15.88</v>
      </c>
      <c r="AK31" s="50">
        <f t="shared" si="32"/>
        <v>71.083258728737704</v>
      </c>
    </row>
    <row r="32" spans="2:37" s="95" customFormat="1" ht="12.75" customHeight="1" x14ac:dyDescent="0.25">
      <c r="I32" s="354"/>
      <c r="J32" s="58" t="s">
        <v>940</v>
      </c>
      <c r="K32" s="45">
        <v>22.95</v>
      </c>
      <c r="L32" s="40">
        <v>21.92</v>
      </c>
      <c r="M32" s="46">
        <f t="shared" si="27"/>
        <v>95.511982570806111</v>
      </c>
      <c r="N32" s="40">
        <v>21.46</v>
      </c>
      <c r="O32" s="46">
        <f t="shared" si="20"/>
        <v>93.507625272331168</v>
      </c>
      <c r="P32" s="40">
        <v>21.7</v>
      </c>
      <c r="Q32" s="46">
        <f t="shared" si="21"/>
        <v>94.553376906318093</v>
      </c>
      <c r="R32" s="40">
        <v>21.31</v>
      </c>
      <c r="S32" s="46">
        <f t="shared" si="22"/>
        <v>92.854030501089326</v>
      </c>
      <c r="T32" s="40">
        <v>22.3</v>
      </c>
      <c r="U32" s="46">
        <f t="shared" si="23"/>
        <v>97.167755991285404</v>
      </c>
      <c r="V32" s="40">
        <v>23.17</v>
      </c>
      <c r="W32" s="46">
        <f t="shared" si="24"/>
        <v>100.95860566448802</v>
      </c>
      <c r="X32" s="40">
        <v>23.15</v>
      </c>
      <c r="Y32" s="46">
        <f t="shared" si="25"/>
        <v>100.8714596949891</v>
      </c>
      <c r="Z32" s="40">
        <v>21.19</v>
      </c>
      <c r="AA32" s="46">
        <f t="shared" si="26"/>
        <v>92.331154684095878</v>
      </c>
      <c r="AB32" s="40">
        <v>19.829999999999998</v>
      </c>
      <c r="AC32" s="46">
        <f t="shared" si="28"/>
        <v>86.405228758169926</v>
      </c>
      <c r="AD32" s="40">
        <v>19.29</v>
      </c>
      <c r="AE32" s="46">
        <f t="shared" si="29"/>
        <v>84.052287581699346</v>
      </c>
      <c r="AF32" s="40">
        <v>18.7</v>
      </c>
      <c r="AG32" s="46">
        <f t="shared" si="30"/>
        <v>81.481481481481481</v>
      </c>
      <c r="AH32" s="40">
        <v>18.78</v>
      </c>
      <c r="AI32" s="46">
        <f t="shared" si="31"/>
        <v>81.830065359477132</v>
      </c>
      <c r="AJ32" s="40">
        <v>18.52</v>
      </c>
      <c r="AK32" s="47">
        <f t="shared" si="32"/>
        <v>80.697167755991288</v>
      </c>
    </row>
    <row r="33" spans="2:13" s="95" customFormat="1" ht="12.75" customHeight="1" x14ac:dyDescent="0.3">
      <c r="I33" s="5"/>
      <c r="J33" s="96"/>
      <c r="K33" s="97" t="s">
        <v>13</v>
      </c>
      <c r="L33" s="98"/>
      <c r="M33" s="98"/>
    </row>
    <row r="34" spans="2:13" s="95" customFormat="1" ht="12.75" customHeight="1" x14ac:dyDescent="0.3">
      <c r="B34" s="25"/>
      <c r="C34" s="25"/>
      <c r="D34" s="25"/>
      <c r="I34" s="5"/>
      <c r="J34" s="96"/>
      <c r="K34" s="26" t="s">
        <v>107</v>
      </c>
      <c r="L34" s="98"/>
      <c r="M34" s="98"/>
    </row>
    <row r="35" spans="2:13" ht="12.75" customHeight="1" x14ac:dyDescent="0.3"/>
    <row r="37" spans="2:13" ht="16.5" customHeight="1" x14ac:dyDescent="0.3"/>
  </sheetData>
  <mergeCells count="33">
    <mergeCell ref="AL4:AM4"/>
    <mergeCell ref="AN4:AO4"/>
    <mergeCell ref="AP4:AQ4"/>
    <mergeCell ref="X21:Y21"/>
    <mergeCell ref="Z21:AA21"/>
    <mergeCell ref="AB21:AC21"/>
    <mergeCell ref="AD21:AE21"/>
    <mergeCell ref="AB4:AC4"/>
    <mergeCell ref="AD4:AE4"/>
    <mergeCell ref="AF21:AG21"/>
    <mergeCell ref="AH21:AI21"/>
    <mergeCell ref="AJ21:AK21"/>
    <mergeCell ref="AF4:AG4"/>
    <mergeCell ref="AH4:AI4"/>
    <mergeCell ref="AJ4:AK4"/>
    <mergeCell ref="I23:I27"/>
    <mergeCell ref="I28:I32"/>
    <mergeCell ref="L21:M21"/>
    <mergeCell ref="N21:O21"/>
    <mergeCell ref="P21:Q21"/>
    <mergeCell ref="R21:S21"/>
    <mergeCell ref="T21:U21"/>
    <mergeCell ref="V21:W21"/>
    <mergeCell ref="X4:Y4"/>
    <mergeCell ref="Z4:AA4"/>
    <mergeCell ref="R4:S4"/>
    <mergeCell ref="T4:U4"/>
    <mergeCell ref="V4:W4"/>
    <mergeCell ref="I12:I16"/>
    <mergeCell ref="I6:I11"/>
    <mergeCell ref="L4:M4"/>
    <mergeCell ref="N4:O4"/>
    <mergeCell ref="P4:Q4"/>
  </mergeCells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0A33-B1F4-41AB-BA70-AC0BCE26940F}">
  <dimension ref="B2:M80"/>
  <sheetViews>
    <sheetView zoomScale="90" zoomScaleNormal="90" workbookViewId="0">
      <selection activeCell="J28" sqref="J28"/>
    </sheetView>
  </sheetViews>
  <sheetFormatPr defaultColWidth="9" defaultRowHeight="14" x14ac:dyDescent="0.3"/>
  <cols>
    <col min="1" max="1" width="9" style="25"/>
    <col min="2" max="2" width="12.75" style="25" customWidth="1"/>
    <col min="3" max="3" width="7.83203125" style="80" customWidth="1"/>
    <col min="4" max="4" width="9.83203125" style="81" customWidth="1"/>
    <col min="5" max="5" width="6.75" style="82" customWidth="1"/>
    <col min="6" max="6" width="17.08203125" style="82" customWidth="1"/>
    <col min="7" max="7" width="7" style="82" customWidth="1"/>
    <col min="8" max="8" width="16.58203125" style="25" customWidth="1"/>
    <col min="9" max="9" width="6.08203125" style="25" customWidth="1"/>
    <col min="10" max="10" width="18.5" style="25" customWidth="1"/>
    <col min="11" max="11" width="6.33203125" style="25" customWidth="1"/>
    <col min="12" max="12" width="10.58203125" style="25" customWidth="1"/>
    <col min="13" max="13" width="11.33203125" style="38" customWidth="1"/>
    <col min="14" max="16384" width="9" style="25"/>
  </cols>
  <sheetData>
    <row r="2" spans="2:13" s="95" customFormat="1" ht="13" x14ac:dyDescent="0.3">
      <c r="C2" s="100" t="s">
        <v>950</v>
      </c>
      <c r="D2" s="96"/>
      <c r="E2" s="101"/>
      <c r="F2" s="101"/>
      <c r="M2" s="99"/>
    </row>
    <row r="3" spans="2:13" s="95" customFormat="1" ht="13" x14ac:dyDescent="0.3">
      <c r="D3" s="96"/>
      <c r="E3" s="101"/>
      <c r="F3" s="101"/>
      <c r="M3" s="99"/>
    </row>
    <row r="4" spans="2:13" s="13" customFormat="1" ht="15" customHeight="1" x14ac:dyDescent="0.45">
      <c r="B4" s="58"/>
      <c r="C4" s="58" t="s">
        <v>961</v>
      </c>
      <c r="D4" s="58" t="s">
        <v>951</v>
      </c>
      <c r="E4" s="383" t="s">
        <v>952</v>
      </c>
      <c r="F4" s="383"/>
      <c r="G4" s="383" t="s">
        <v>953</v>
      </c>
      <c r="H4" s="383"/>
      <c r="I4" s="383" t="s">
        <v>954</v>
      </c>
      <c r="J4" s="383"/>
      <c r="K4" s="383" t="s">
        <v>955</v>
      </c>
      <c r="L4" s="383"/>
      <c r="M4" s="175" t="s">
        <v>958</v>
      </c>
    </row>
    <row r="5" spans="2:13" s="13" customFormat="1" ht="29.25" customHeight="1" x14ac:dyDescent="0.45">
      <c r="B5" s="354" t="s">
        <v>1311</v>
      </c>
      <c r="C5" s="383"/>
      <c r="D5" s="384"/>
      <c r="E5" s="384" t="s">
        <v>959</v>
      </c>
      <c r="F5" s="384"/>
      <c r="G5" s="384" t="s">
        <v>960</v>
      </c>
      <c r="H5" s="384"/>
      <c r="I5" s="384" t="s">
        <v>956</v>
      </c>
      <c r="J5" s="384"/>
      <c r="K5" s="384" t="s">
        <v>957</v>
      </c>
      <c r="L5" s="384"/>
      <c r="M5" s="354"/>
    </row>
    <row r="6" spans="2:13" s="13" customFormat="1" ht="29.25" customHeight="1" x14ac:dyDescent="0.45">
      <c r="B6" s="354"/>
      <c r="C6" s="383"/>
      <c r="D6" s="384"/>
      <c r="E6" s="384"/>
      <c r="F6" s="384"/>
      <c r="G6" s="384"/>
      <c r="H6" s="384"/>
      <c r="I6" s="384"/>
      <c r="J6" s="384"/>
      <c r="K6" s="384"/>
      <c r="L6" s="384"/>
      <c r="M6" s="354"/>
    </row>
    <row r="7" spans="2:13" s="101" customFormat="1" ht="12.75" customHeight="1" x14ac:dyDescent="0.45">
      <c r="B7" s="354" t="s">
        <v>962</v>
      </c>
      <c r="C7" s="58" t="s">
        <v>921</v>
      </c>
      <c r="D7" s="40">
        <v>20.09</v>
      </c>
      <c r="E7" s="172">
        <v>0</v>
      </c>
      <c r="F7" s="40"/>
      <c r="G7" s="172">
        <v>0</v>
      </c>
      <c r="H7" s="173"/>
      <c r="I7" s="172">
        <v>0</v>
      </c>
      <c r="J7" s="174"/>
      <c r="K7" s="172">
        <v>0</v>
      </c>
      <c r="L7" s="174"/>
      <c r="M7" s="176">
        <v>0</v>
      </c>
    </row>
    <row r="8" spans="2:13" s="101" customFormat="1" ht="12.75" customHeight="1" x14ac:dyDescent="0.45">
      <c r="B8" s="354"/>
      <c r="C8" s="58" t="s">
        <v>922</v>
      </c>
      <c r="D8" s="40">
        <v>19.5</v>
      </c>
      <c r="E8" s="172">
        <v>0</v>
      </c>
      <c r="F8" s="40"/>
      <c r="G8" s="172">
        <v>0</v>
      </c>
      <c r="H8" s="173"/>
      <c r="I8" s="172">
        <v>0</v>
      </c>
      <c r="J8" s="174"/>
      <c r="K8" s="172">
        <v>0</v>
      </c>
      <c r="L8" s="174"/>
      <c r="M8" s="176">
        <v>0</v>
      </c>
    </row>
    <row r="9" spans="2:13" s="101" customFormat="1" ht="12.75" customHeight="1" x14ac:dyDescent="0.45">
      <c r="B9" s="354"/>
      <c r="C9" s="58" t="s">
        <v>923</v>
      </c>
      <c r="D9" s="40">
        <v>18.64</v>
      </c>
      <c r="E9" s="172">
        <v>0</v>
      </c>
      <c r="F9" s="40"/>
      <c r="G9" s="172">
        <v>0</v>
      </c>
      <c r="H9" s="173"/>
      <c r="I9" s="172">
        <v>0</v>
      </c>
      <c r="J9" s="174"/>
      <c r="K9" s="172">
        <v>0</v>
      </c>
      <c r="L9" s="174"/>
      <c r="M9" s="176">
        <v>0</v>
      </c>
    </row>
    <row r="10" spans="2:13" s="101" customFormat="1" ht="12.75" customHeight="1" x14ac:dyDescent="0.45">
      <c r="B10" s="354"/>
      <c r="C10" s="58" t="s">
        <v>924</v>
      </c>
      <c r="D10" s="40">
        <v>18.91</v>
      </c>
      <c r="E10" s="172">
        <v>0</v>
      </c>
      <c r="F10" s="40"/>
      <c r="G10" s="172">
        <v>0</v>
      </c>
      <c r="H10" s="173"/>
      <c r="I10" s="172">
        <v>0</v>
      </c>
      <c r="J10" s="174"/>
      <c r="K10" s="172">
        <v>0</v>
      </c>
      <c r="L10" s="174"/>
      <c r="M10" s="176">
        <v>0</v>
      </c>
    </row>
    <row r="11" spans="2:13" s="101" customFormat="1" ht="12.75" customHeight="1" x14ac:dyDescent="0.45">
      <c r="B11" s="354"/>
      <c r="C11" s="58" t="s">
        <v>925</v>
      </c>
      <c r="D11" s="40">
        <v>20.72</v>
      </c>
      <c r="E11" s="172">
        <v>0</v>
      </c>
      <c r="F11" s="40"/>
      <c r="G11" s="172">
        <v>0</v>
      </c>
      <c r="H11" s="173"/>
      <c r="I11" s="172">
        <v>0</v>
      </c>
      <c r="J11" s="174"/>
      <c r="K11" s="172">
        <v>0</v>
      </c>
      <c r="L11" s="174"/>
      <c r="M11" s="176">
        <v>0</v>
      </c>
    </row>
    <row r="12" spans="2:13" s="95" customFormat="1" ht="12.75" customHeight="1" x14ac:dyDescent="0.25">
      <c r="B12" s="354" t="s">
        <v>963</v>
      </c>
      <c r="C12" s="58" t="s">
        <v>921</v>
      </c>
      <c r="D12" s="40">
        <v>19.57</v>
      </c>
      <c r="E12" s="172">
        <v>0</v>
      </c>
      <c r="F12" s="40"/>
      <c r="G12" s="172">
        <v>0</v>
      </c>
      <c r="H12" s="173"/>
      <c r="I12" s="172">
        <v>0</v>
      </c>
      <c r="J12" s="174"/>
      <c r="K12" s="172">
        <v>0</v>
      </c>
      <c r="L12" s="174"/>
      <c r="M12" s="176">
        <v>0</v>
      </c>
    </row>
    <row r="13" spans="2:13" s="95" customFormat="1" ht="12.75" customHeight="1" x14ac:dyDescent="0.25">
      <c r="B13" s="354"/>
      <c r="C13" s="58" t="s">
        <v>922</v>
      </c>
      <c r="D13" s="40">
        <v>18.96</v>
      </c>
      <c r="E13" s="172">
        <v>0</v>
      </c>
      <c r="F13" s="40"/>
      <c r="G13" s="172">
        <v>0</v>
      </c>
      <c r="H13" s="173"/>
      <c r="I13" s="172">
        <v>0</v>
      </c>
      <c r="J13" s="174"/>
      <c r="K13" s="172">
        <v>0</v>
      </c>
      <c r="L13" s="174"/>
      <c r="M13" s="176">
        <v>0</v>
      </c>
    </row>
    <row r="14" spans="2:13" s="95" customFormat="1" ht="12.75" customHeight="1" x14ac:dyDescent="0.25">
      <c r="B14" s="354"/>
      <c r="C14" s="58" t="s">
        <v>923</v>
      </c>
      <c r="D14" s="40">
        <v>18.14</v>
      </c>
      <c r="E14" s="172">
        <v>0</v>
      </c>
      <c r="F14" s="40"/>
      <c r="G14" s="172">
        <v>0</v>
      </c>
      <c r="H14" s="173"/>
      <c r="I14" s="172">
        <v>0</v>
      </c>
      <c r="J14" s="174"/>
      <c r="K14" s="172">
        <v>0</v>
      </c>
      <c r="L14" s="174"/>
      <c r="M14" s="176">
        <v>0</v>
      </c>
    </row>
    <row r="15" spans="2:13" s="95" customFormat="1" ht="12.75" customHeight="1" x14ac:dyDescent="0.25">
      <c r="B15" s="354"/>
      <c r="C15" s="58" t="s">
        <v>924</v>
      </c>
      <c r="D15" s="40">
        <v>18.3</v>
      </c>
      <c r="E15" s="172">
        <v>0</v>
      </c>
      <c r="F15" s="40"/>
      <c r="G15" s="172">
        <v>0</v>
      </c>
      <c r="H15" s="173"/>
      <c r="I15" s="172">
        <v>0</v>
      </c>
      <c r="J15" s="174"/>
      <c r="K15" s="172">
        <v>0</v>
      </c>
      <c r="L15" s="174"/>
      <c r="M15" s="176">
        <v>0</v>
      </c>
    </row>
    <row r="16" spans="2:13" s="95" customFormat="1" ht="12.75" customHeight="1" x14ac:dyDescent="0.25">
      <c r="B16" s="354"/>
      <c r="C16" s="58" t="s">
        <v>925</v>
      </c>
      <c r="D16" s="40">
        <v>20.12</v>
      </c>
      <c r="E16" s="172">
        <v>0</v>
      </c>
      <c r="F16" s="40"/>
      <c r="G16" s="172">
        <v>0</v>
      </c>
      <c r="H16" s="173"/>
      <c r="I16" s="172">
        <v>0</v>
      </c>
      <c r="J16" s="174"/>
      <c r="K16" s="172">
        <v>0</v>
      </c>
      <c r="L16" s="174"/>
      <c r="M16" s="176">
        <v>0</v>
      </c>
    </row>
    <row r="17" spans="2:13" s="95" customFormat="1" ht="12.75" customHeight="1" x14ac:dyDescent="0.25">
      <c r="B17" s="354" t="s">
        <v>964</v>
      </c>
      <c r="C17" s="58" t="s">
        <v>921</v>
      </c>
      <c r="D17" s="40">
        <v>20.399999999999999</v>
      </c>
      <c r="E17" s="172">
        <v>0</v>
      </c>
      <c r="F17" s="40"/>
      <c r="G17" s="172">
        <v>0</v>
      </c>
      <c r="H17" s="173"/>
      <c r="I17" s="172">
        <v>0</v>
      </c>
      <c r="J17" s="174"/>
      <c r="K17" s="172">
        <v>0</v>
      </c>
      <c r="L17" s="174"/>
      <c r="M17" s="176">
        <v>0</v>
      </c>
    </row>
    <row r="18" spans="2:13" s="95" customFormat="1" ht="12.75" customHeight="1" x14ac:dyDescent="0.25">
      <c r="B18" s="354"/>
      <c r="C18" s="58" t="s">
        <v>922</v>
      </c>
      <c r="D18" s="40">
        <v>19.100000000000001</v>
      </c>
      <c r="E18" s="172">
        <v>0</v>
      </c>
      <c r="F18" s="40"/>
      <c r="G18" s="172">
        <v>0</v>
      </c>
      <c r="H18" s="173"/>
      <c r="I18" s="172">
        <v>0</v>
      </c>
      <c r="J18" s="174"/>
      <c r="K18" s="172">
        <v>0</v>
      </c>
      <c r="L18" s="174"/>
      <c r="M18" s="176">
        <v>0</v>
      </c>
    </row>
    <row r="19" spans="2:13" s="95" customFormat="1" ht="12.75" customHeight="1" x14ac:dyDescent="0.25">
      <c r="B19" s="354"/>
      <c r="C19" s="58" t="s">
        <v>923</v>
      </c>
      <c r="D19" s="40">
        <v>19.03</v>
      </c>
      <c r="E19" s="172">
        <v>0</v>
      </c>
      <c r="F19" s="40"/>
      <c r="G19" s="172">
        <v>0</v>
      </c>
      <c r="H19" s="173"/>
      <c r="I19" s="172">
        <v>0</v>
      </c>
      <c r="J19" s="174"/>
      <c r="K19" s="172">
        <v>0</v>
      </c>
      <c r="L19" s="174"/>
      <c r="M19" s="176">
        <v>0</v>
      </c>
    </row>
    <row r="20" spans="2:13" s="95" customFormat="1" ht="12.75" customHeight="1" x14ac:dyDescent="0.25">
      <c r="B20" s="354"/>
      <c r="C20" s="58" t="s">
        <v>924</v>
      </c>
      <c r="D20" s="40">
        <v>18.600000000000001</v>
      </c>
      <c r="E20" s="172">
        <v>0</v>
      </c>
      <c r="F20" s="40"/>
      <c r="G20" s="172">
        <v>0</v>
      </c>
      <c r="H20" s="173"/>
      <c r="I20" s="172">
        <v>0</v>
      </c>
      <c r="J20" s="174"/>
      <c r="K20" s="172">
        <v>0</v>
      </c>
      <c r="L20" s="174"/>
      <c r="M20" s="176">
        <v>0</v>
      </c>
    </row>
    <row r="21" spans="2:13" s="95" customFormat="1" ht="12.75" customHeight="1" x14ac:dyDescent="0.25">
      <c r="B21" s="354"/>
      <c r="C21" s="58" t="s">
        <v>925</v>
      </c>
      <c r="D21" s="40">
        <v>20.93</v>
      </c>
      <c r="E21" s="172">
        <v>0</v>
      </c>
      <c r="F21" s="40"/>
      <c r="G21" s="172">
        <v>0</v>
      </c>
      <c r="H21" s="173"/>
      <c r="I21" s="172">
        <v>0</v>
      </c>
      <c r="J21" s="174"/>
      <c r="K21" s="172">
        <v>0</v>
      </c>
      <c r="L21" s="174"/>
      <c r="M21" s="176">
        <v>0</v>
      </c>
    </row>
    <row r="22" spans="2:13" s="95" customFormat="1" ht="12.75" customHeight="1" x14ac:dyDescent="0.25">
      <c r="B22" s="354" t="s">
        <v>965</v>
      </c>
      <c r="C22" s="58" t="s">
        <v>921</v>
      </c>
      <c r="D22" s="40">
        <v>20.73</v>
      </c>
      <c r="E22" s="172">
        <v>0</v>
      </c>
      <c r="F22" s="40"/>
      <c r="G22" s="172">
        <v>0</v>
      </c>
      <c r="H22" s="173"/>
      <c r="I22" s="172">
        <v>0</v>
      </c>
      <c r="J22" s="174"/>
      <c r="K22" s="172">
        <v>0</v>
      </c>
      <c r="L22" s="174"/>
      <c r="M22" s="176">
        <v>0</v>
      </c>
    </row>
    <row r="23" spans="2:13" s="95" customFormat="1" ht="12.75" customHeight="1" x14ac:dyDescent="0.25">
      <c r="B23" s="354"/>
      <c r="C23" s="58" t="s">
        <v>922</v>
      </c>
      <c r="D23" s="40">
        <v>19.82</v>
      </c>
      <c r="E23" s="172">
        <v>0</v>
      </c>
      <c r="F23" s="40"/>
      <c r="G23" s="172">
        <v>0</v>
      </c>
      <c r="H23" s="173"/>
      <c r="I23" s="172">
        <v>0</v>
      </c>
      <c r="J23" s="174"/>
      <c r="K23" s="172">
        <v>0</v>
      </c>
      <c r="L23" s="174"/>
      <c r="M23" s="176">
        <v>0</v>
      </c>
    </row>
    <row r="24" spans="2:13" s="95" customFormat="1" ht="12.75" customHeight="1" x14ac:dyDescent="0.25">
      <c r="B24" s="354"/>
      <c r="C24" s="58" t="s">
        <v>923</v>
      </c>
      <c r="D24" s="40">
        <v>18.600000000000001</v>
      </c>
      <c r="E24" s="172">
        <v>0</v>
      </c>
      <c r="F24" s="40"/>
      <c r="G24" s="172">
        <v>0</v>
      </c>
      <c r="H24" s="173"/>
      <c r="I24" s="172">
        <v>0</v>
      </c>
      <c r="J24" s="174"/>
      <c r="K24" s="172">
        <v>0</v>
      </c>
      <c r="L24" s="174"/>
      <c r="M24" s="176">
        <v>0</v>
      </c>
    </row>
    <row r="25" spans="2:13" s="95" customFormat="1" ht="12.75" customHeight="1" x14ac:dyDescent="0.25">
      <c r="B25" s="354"/>
      <c r="C25" s="58" t="s">
        <v>924</v>
      </c>
      <c r="D25" s="40">
        <v>19.489999999999998</v>
      </c>
      <c r="E25" s="172">
        <v>0</v>
      </c>
      <c r="F25" s="40"/>
      <c r="G25" s="172">
        <v>0</v>
      </c>
      <c r="H25" s="173"/>
      <c r="I25" s="172">
        <v>0</v>
      </c>
      <c r="J25" s="174"/>
      <c r="K25" s="172">
        <v>0</v>
      </c>
      <c r="L25" s="174"/>
      <c r="M25" s="176">
        <v>0</v>
      </c>
    </row>
    <row r="26" spans="2:13" s="95" customFormat="1" ht="12.75" customHeight="1" x14ac:dyDescent="0.25">
      <c r="B26" s="354"/>
      <c r="C26" s="58" t="s">
        <v>925</v>
      </c>
      <c r="D26" s="40">
        <v>21.11</v>
      </c>
      <c r="E26" s="172">
        <v>0</v>
      </c>
      <c r="F26" s="40"/>
      <c r="G26" s="172">
        <v>0</v>
      </c>
      <c r="H26" s="173"/>
      <c r="I26" s="172">
        <v>0</v>
      </c>
      <c r="J26" s="174"/>
      <c r="K26" s="172">
        <v>0</v>
      </c>
      <c r="L26" s="174"/>
      <c r="M26" s="176">
        <v>0</v>
      </c>
    </row>
    <row r="27" spans="2:13" s="95" customFormat="1" ht="12.75" customHeight="1" x14ac:dyDescent="0.25">
      <c r="B27" s="354" t="s">
        <v>966</v>
      </c>
      <c r="C27" s="58" t="s">
        <v>921</v>
      </c>
      <c r="D27" s="40">
        <v>21.93</v>
      </c>
      <c r="E27" s="172">
        <v>0</v>
      </c>
      <c r="F27" s="40"/>
      <c r="G27" s="172">
        <v>0</v>
      </c>
      <c r="H27" s="173"/>
      <c r="I27" s="172">
        <v>0</v>
      </c>
      <c r="J27" s="174"/>
      <c r="K27" s="172">
        <v>0</v>
      </c>
      <c r="L27" s="174"/>
      <c r="M27" s="176">
        <v>0</v>
      </c>
    </row>
    <row r="28" spans="2:13" s="95" customFormat="1" ht="12.75" customHeight="1" x14ac:dyDescent="0.25">
      <c r="B28" s="354"/>
      <c r="C28" s="58" t="s">
        <v>922</v>
      </c>
      <c r="D28" s="40">
        <v>20.56</v>
      </c>
      <c r="E28" s="172">
        <v>0</v>
      </c>
      <c r="F28" s="40"/>
      <c r="G28" s="172">
        <v>0</v>
      </c>
      <c r="H28" s="173"/>
      <c r="I28" s="172">
        <v>0</v>
      </c>
      <c r="J28" s="174"/>
      <c r="K28" s="172">
        <v>0</v>
      </c>
      <c r="L28" s="174"/>
      <c r="M28" s="176">
        <v>0</v>
      </c>
    </row>
    <row r="29" spans="2:13" s="95" customFormat="1" ht="12.75" customHeight="1" x14ac:dyDescent="0.25">
      <c r="B29" s="354"/>
      <c r="C29" s="58" t="s">
        <v>923</v>
      </c>
      <c r="D29" s="40">
        <v>18.95</v>
      </c>
      <c r="E29" s="172">
        <v>0</v>
      </c>
      <c r="F29" s="40"/>
      <c r="G29" s="172">
        <v>0</v>
      </c>
      <c r="H29" s="173"/>
      <c r="I29" s="172">
        <v>0</v>
      </c>
      <c r="J29" s="174"/>
      <c r="K29" s="172">
        <v>0</v>
      </c>
      <c r="L29" s="174"/>
      <c r="M29" s="176">
        <v>0</v>
      </c>
    </row>
    <row r="30" spans="2:13" s="95" customFormat="1" ht="12.75" customHeight="1" x14ac:dyDescent="0.25">
      <c r="B30" s="354"/>
      <c r="C30" s="58" t="s">
        <v>924</v>
      </c>
      <c r="D30" s="40">
        <v>20.190000000000001</v>
      </c>
      <c r="E30" s="172">
        <v>0</v>
      </c>
      <c r="F30" s="40"/>
      <c r="G30" s="172">
        <v>0</v>
      </c>
      <c r="H30" s="173"/>
      <c r="I30" s="172">
        <v>0</v>
      </c>
      <c r="J30" s="174"/>
      <c r="K30" s="172">
        <v>0</v>
      </c>
      <c r="L30" s="174"/>
      <c r="M30" s="176">
        <v>0</v>
      </c>
    </row>
    <row r="31" spans="2:13" s="95" customFormat="1" ht="12.75" customHeight="1" x14ac:dyDescent="0.25">
      <c r="B31" s="354"/>
      <c r="C31" s="58" t="s">
        <v>925</v>
      </c>
      <c r="D31" s="40">
        <v>21.1</v>
      </c>
      <c r="E31" s="172">
        <v>0</v>
      </c>
      <c r="F31" s="40"/>
      <c r="G31" s="172">
        <v>0</v>
      </c>
      <c r="H31" s="173"/>
      <c r="I31" s="172">
        <v>0</v>
      </c>
      <c r="J31" s="174"/>
      <c r="K31" s="172">
        <v>0</v>
      </c>
      <c r="L31" s="174"/>
      <c r="M31" s="176">
        <v>0</v>
      </c>
    </row>
    <row r="32" spans="2:13" s="95" customFormat="1" ht="12.75" customHeight="1" x14ac:dyDescent="0.25">
      <c r="B32" s="354" t="s">
        <v>967</v>
      </c>
      <c r="C32" s="58" t="s">
        <v>921</v>
      </c>
      <c r="D32" s="40">
        <v>22</v>
      </c>
      <c r="E32" s="172">
        <v>0</v>
      </c>
      <c r="F32" s="40"/>
      <c r="G32" s="172">
        <v>0</v>
      </c>
      <c r="H32" s="173"/>
      <c r="I32" s="172">
        <v>0</v>
      </c>
      <c r="J32" s="174"/>
      <c r="K32" s="172">
        <v>0</v>
      </c>
      <c r="L32" s="174"/>
      <c r="M32" s="176">
        <v>0</v>
      </c>
    </row>
    <row r="33" spans="2:13" s="95" customFormat="1" ht="12.75" customHeight="1" x14ac:dyDescent="0.25">
      <c r="B33" s="354"/>
      <c r="C33" s="58" t="s">
        <v>922</v>
      </c>
      <c r="D33" s="40">
        <v>20.04</v>
      </c>
      <c r="E33" s="172">
        <v>0</v>
      </c>
      <c r="F33" s="40"/>
      <c r="G33" s="172">
        <v>0</v>
      </c>
      <c r="H33" s="173"/>
      <c r="I33" s="172">
        <v>0</v>
      </c>
      <c r="J33" s="174"/>
      <c r="K33" s="172">
        <v>0</v>
      </c>
      <c r="L33" s="174"/>
      <c r="M33" s="176">
        <v>0</v>
      </c>
    </row>
    <row r="34" spans="2:13" s="95" customFormat="1" ht="12.75" customHeight="1" x14ac:dyDescent="0.25">
      <c r="B34" s="354"/>
      <c r="C34" s="58" t="s">
        <v>923</v>
      </c>
      <c r="D34" s="40">
        <v>19.329999999999998</v>
      </c>
      <c r="E34" s="172">
        <v>0</v>
      </c>
      <c r="F34" s="40"/>
      <c r="G34" s="172">
        <v>0</v>
      </c>
      <c r="H34" s="173"/>
      <c r="I34" s="172">
        <v>0</v>
      </c>
      <c r="J34" s="174"/>
      <c r="K34" s="172">
        <v>0</v>
      </c>
      <c r="L34" s="174"/>
      <c r="M34" s="176">
        <v>0</v>
      </c>
    </row>
    <row r="35" spans="2:13" s="95" customFormat="1" ht="12.75" customHeight="1" x14ac:dyDescent="0.25">
      <c r="B35" s="354"/>
      <c r="C35" s="58" t="s">
        <v>924</v>
      </c>
      <c r="D35" s="40">
        <v>20.37</v>
      </c>
      <c r="E35" s="172">
        <v>0</v>
      </c>
      <c r="F35" s="40"/>
      <c r="G35" s="172">
        <v>0</v>
      </c>
      <c r="H35" s="173"/>
      <c r="I35" s="172">
        <v>0</v>
      </c>
      <c r="J35" s="174"/>
      <c r="K35" s="172">
        <v>0</v>
      </c>
      <c r="L35" s="174"/>
      <c r="M35" s="176">
        <v>0</v>
      </c>
    </row>
    <row r="36" spans="2:13" s="95" customFormat="1" ht="12.75" customHeight="1" x14ac:dyDescent="0.25">
      <c r="B36" s="354"/>
      <c r="C36" s="58" t="s">
        <v>925</v>
      </c>
      <c r="D36" s="40">
        <v>20.46</v>
      </c>
      <c r="E36" s="172">
        <v>0</v>
      </c>
      <c r="F36" s="40"/>
      <c r="G36" s="172">
        <v>0</v>
      </c>
      <c r="H36" s="173"/>
      <c r="I36" s="172">
        <v>0</v>
      </c>
      <c r="J36" s="174"/>
      <c r="K36" s="172">
        <v>0</v>
      </c>
      <c r="L36" s="174"/>
      <c r="M36" s="176">
        <v>0</v>
      </c>
    </row>
    <row r="37" spans="2:13" s="95" customFormat="1" ht="12.75" customHeight="1" x14ac:dyDescent="0.25">
      <c r="B37" s="354" t="s">
        <v>970</v>
      </c>
      <c r="C37" s="58" t="s">
        <v>921</v>
      </c>
      <c r="D37" s="40">
        <v>21.52</v>
      </c>
      <c r="E37" s="172">
        <v>0</v>
      </c>
      <c r="F37" s="40"/>
      <c r="G37" s="172">
        <v>0</v>
      </c>
      <c r="H37" s="173"/>
      <c r="I37" s="172">
        <v>0</v>
      </c>
      <c r="J37" s="174"/>
      <c r="K37" s="172">
        <v>0</v>
      </c>
      <c r="L37" s="174"/>
      <c r="M37" s="176">
        <v>0</v>
      </c>
    </row>
    <row r="38" spans="2:13" s="95" customFormat="1" ht="12.75" customHeight="1" x14ac:dyDescent="0.25">
      <c r="B38" s="354"/>
      <c r="C38" s="58" t="s">
        <v>922</v>
      </c>
      <c r="D38" s="40">
        <v>19.260000000000002</v>
      </c>
      <c r="E38" s="172">
        <v>1</v>
      </c>
      <c r="F38" s="40" t="s">
        <v>968</v>
      </c>
      <c r="G38" s="172">
        <v>1</v>
      </c>
      <c r="H38" s="173" t="s">
        <v>969</v>
      </c>
      <c r="I38" s="172">
        <v>0</v>
      </c>
      <c r="J38" s="174"/>
      <c r="K38" s="172">
        <v>0</v>
      </c>
      <c r="L38" s="174"/>
      <c r="M38" s="176">
        <v>2</v>
      </c>
    </row>
    <row r="39" spans="2:13" s="95" customFormat="1" ht="12.75" customHeight="1" x14ac:dyDescent="0.25">
      <c r="B39" s="354"/>
      <c r="C39" s="58" t="s">
        <v>923</v>
      </c>
      <c r="D39" s="40">
        <v>18.95</v>
      </c>
      <c r="E39" s="172">
        <v>0</v>
      </c>
      <c r="F39" s="40"/>
      <c r="G39" s="172">
        <v>0</v>
      </c>
      <c r="H39" s="173"/>
      <c r="I39" s="172">
        <v>0</v>
      </c>
      <c r="J39" s="174"/>
      <c r="K39" s="172">
        <v>0</v>
      </c>
      <c r="L39" s="174"/>
      <c r="M39" s="176">
        <v>0</v>
      </c>
    </row>
    <row r="40" spans="2:13" s="95" customFormat="1" ht="12.75" customHeight="1" x14ac:dyDescent="0.25">
      <c r="B40" s="354"/>
      <c r="C40" s="58" t="s">
        <v>924</v>
      </c>
      <c r="D40" s="40">
        <v>19.87</v>
      </c>
      <c r="E40" s="172">
        <v>0</v>
      </c>
      <c r="F40" s="40"/>
      <c r="G40" s="172">
        <v>0</v>
      </c>
      <c r="H40" s="173"/>
      <c r="I40" s="172">
        <v>0</v>
      </c>
      <c r="J40" s="174"/>
      <c r="K40" s="172">
        <v>0</v>
      </c>
      <c r="L40" s="174"/>
      <c r="M40" s="176">
        <v>0</v>
      </c>
    </row>
    <row r="41" spans="2:13" s="95" customFormat="1" ht="12.75" customHeight="1" x14ac:dyDescent="0.25">
      <c r="B41" s="354"/>
      <c r="C41" s="58" t="s">
        <v>925</v>
      </c>
      <c r="D41" s="40">
        <v>20.51</v>
      </c>
      <c r="E41" s="172">
        <v>0</v>
      </c>
      <c r="F41" s="40"/>
      <c r="G41" s="172">
        <v>0</v>
      </c>
      <c r="H41" s="173"/>
      <c r="I41" s="172">
        <v>0</v>
      </c>
      <c r="J41" s="174"/>
      <c r="K41" s="172">
        <v>0</v>
      </c>
      <c r="L41" s="174"/>
      <c r="M41" s="176">
        <v>0</v>
      </c>
    </row>
    <row r="42" spans="2:13" s="95" customFormat="1" ht="12.75" customHeight="1" x14ac:dyDescent="0.25">
      <c r="B42" s="354" t="s">
        <v>971</v>
      </c>
      <c r="C42" s="58" t="s">
        <v>921</v>
      </c>
      <c r="D42" s="40">
        <v>20.6</v>
      </c>
      <c r="E42" s="172">
        <v>0</v>
      </c>
      <c r="F42" s="40"/>
      <c r="G42" s="172">
        <v>0</v>
      </c>
      <c r="H42" s="173"/>
      <c r="I42" s="172">
        <v>0</v>
      </c>
      <c r="J42" s="174"/>
      <c r="K42" s="172">
        <v>0</v>
      </c>
      <c r="L42" s="174"/>
      <c r="M42" s="176">
        <v>0</v>
      </c>
    </row>
    <row r="43" spans="2:13" s="95" customFormat="1" ht="12.75" customHeight="1" x14ac:dyDescent="0.25">
      <c r="B43" s="354"/>
      <c r="C43" s="58" t="s">
        <v>922</v>
      </c>
      <c r="D43" s="40">
        <v>18.38</v>
      </c>
      <c r="E43" s="172">
        <v>1</v>
      </c>
      <c r="F43" s="40" t="s">
        <v>968</v>
      </c>
      <c r="G43" s="172">
        <v>0</v>
      </c>
      <c r="H43" s="173"/>
      <c r="I43" s="172">
        <v>0</v>
      </c>
      <c r="J43" s="174"/>
      <c r="K43" s="172">
        <v>0</v>
      </c>
      <c r="L43" s="174"/>
      <c r="M43" s="176">
        <v>1</v>
      </c>
    </row>
    <row r="44" spans="2:13" s="95" customFormat="1" ht="12.75" customHeight="1" x14ac:dyDescent="0.25">
      <c r="B44" s="354"/>
      <c r="C44" s="58" t="s">
        <v>923</v>
      </c>
      <c r="D44" s="40">
        <v>18.43</v>
      </c>
      <c r="E44" s="172">
        <v>0</v>
      </c>
      <c r="F44" s="40"/>
      <c r="G44" s="172">
        <v>0</v>
      </c>
      <c r="H44" s="173"/>
      <c r="I44" s="172">
        <v>0</v>
      </c>
      <c r="J44" s="174"/>
      <c r="K44" s="172">
        <v>0</v>
      </c>
      <c r="L44" s="174"/>
      <c r="M44" s="176">
        <v>0</v>
      </c>
    </row>
    <row r="45" spans="2:13" s="95" customFormat="1" ht="12.75" customHeight="1" x14ac:dyDescent="0.25">
      <c r="B45" s="354"/>
      <c r="C45" s="58" t="s">
        <v>924</v>
      </c>
      <c r="D45" s="40">
        <v>18</v>
      </c>
      <c r="E45" s="172">
        <v>0</v>
      </c>
      <c r="F45" s="40"/>
      <c r="G45" s="172">
        <v>0</v>
      </c>
      <c r="H45" s="173"/>
      <c r="I45" s="172">
        <v>0</v>
      </c>
      <c r="J45" s="174"/>
      <c r="K45" s="172">
        <v>0</v>
      </c>
      <c r="L45" s="174"/>
      <c r="M45" s="176">
        <v>0</v>
      </c>
    </row>
    <row r="46" spans="2:13" s="95" customFormat="1" ht="12.75" customHeight="1" x14ac:dyDescent="0.25">
      <c r="B46" s="354"/>
      <c r="C46" s="58" t="s">
        <v>925</v>
      </c>
      <c r="D46" s="40">
        <v>19.93</v>
      </c>
      <c r="E46" s="172">
        <v>0</v>
      </c>
      <c r="F46" s="40"/>
      <c r="G46" s="172">
        <v>0</v>
      </c>
      <c r="H46" s="173"/>
      <c r="I46" s="172">
        <v>0</v>
      </c>
      <c r="J46" s="174"/>
      <c r="K46" s="172">
        <v>0</v>
      </c>
      <c r="L46" s="174"/>
      <c r="M46" s="176">
        <v>0</v>
      </c>
    </row>
    <row r="47" spans="2:13" s="95" customFormat="1" ht="12.75" customHeight="1" x14ac:dyDescent="0.25">
      <c r="B47" s="354" t="s">
        <v>973</v>
      </c>
      <c r="C47" s="58" t="s">
        <v>921</v>
      </c>
      <c r="D47" s="40">
        <v>20.65</v>
      </c>
      <c r="E47" s="172">
        <v>0</v>
      </c>
      <c r="F47" s="40"/>
      <c r="G47" s="172">
        <v>0</v>
      </c>
      <c r="H47" s="173"/>
      <c r="I47" s="172">
        <v>0</v>
      </c>
      <c r="J47" s="174"/>
      <c r="K47" s="172">
        <v>0</v>
      </c>
      <c r="L47" s="174"/>
      <c r="M47" s="176">
        <v>0</v>
      </c>
    </row>
    <row r="48" spans="2:13" s="95" customFormat="1" ht="12.75" customHeight="1" x14ac:dyDescent="0.25">
      <c r="B48" s="354"/>
      <c r="C48" s="58" t="s">
        <v>922</v>
      </c>
      <c r="D48" s="40">
        <v>18.88</v>
      </c>
      <c r="E48" s="172">
        <v>0</v>
      </c>
      <c r="F48" s="40"/>
      <c r="G48" s="172">
        <v>0</v>
      </c>
      <c r="H48" s="173"/>
      <c r="I48" s="172">
        <v>0</v>
      </c>
      <c r="J48" s="174"/>
      <c r="K48" s="172">
        <v>0</v>
      </c>
      <c r="L48" s="174"/>
      <c r="M48" s="176">
        <v>0</v>
      </c>
    </row>
    <row r="49" spans="2:13" s="95" customFormat="1" ht="12.75" customHeight="1" x14ac:dyDescent="0.25">
      <c r="B49" s="354"/>
      <c r="C49" s="58" t="s">
        <v>923</v>
      </c>
      <c r="D49" s="40">
        <v>19</v>
      </c>
      <c r="E49" s="172">
        <v>0</v>
      </c>
      <c r="F49" s="40"/>
      <c r="G49" s="172">
        <v>0</v>
      </c>
      <c r="H49" s="173"/>
      <c r="I49" s="172">
        <v>0</v>
      </c>
      <c r="J49" s="174"/>
      <c r="K49" s="172">
        <v>0</v>
      </c>
      <c r="L49" s="174"/>
      <c r="M49" s="176">
        <v>0</v>
      </c>
    </row>
    <row r="50" spans="2:13" s="95" customFormat="1" ht="12.75" customHeight="1" x14ac:dyDescent="0.25">
      <c r="B50" s="354"/>
      <c r="C50" s="58" t="s">
        <v>924</v>
      </c>
      <c r="D50" s="40">
        <v>18.02</v>
      </c>
      <c r="E50" s="172">
        <v>2</v>
      </c>
      <c r="F50" s="40" t="s">
        <v>972</v>
      </c>
      <c r="G50" s="172">
        <v>0</v>
      </c>
      <c r="H50" s="173"/>
      <c r="I50" s="172">
        <v>0</v>
      </c>
      <c r="J50" s="174"/>
      <c r="K50" s="172">
        <v>0</v>
      </c>
      <c r="L50" s="174"/>
      <c r="M50" s="176">
        <v>2</v>
      </c>
    </row>
    <row r="51" spans="2:13" s="95" customFormat="1" ht="12.75" customHeight="1" x14ac:dyDescent="0.25">
      <c r="B51" s="354"/>
      <c r="C51" s="58" t="s">
        <v>925</v>
      </c>
      <c r="D51" s="40">
        <v>20.6</v>
      </c>
      <c r="E51" s="172">
        <v>0</v>
      </c>
      <c r="F51" s="40"/>
      <c r="G51" s="172">
        <v>0</v>
      </c>
      <c r="H51" s="173"/>
      <c r="I51" s="172">
        <v>0</v>
      </c>
      <c r="J51" s="174"/>
      <c r="K51" s="172">
        <v>0</v>
      </c>
      <c r="L51" s="174"/>
      <c r="M51" s="176">
        <v>0</v>
      </c>
    </row>
    <row r="52" spans="2:13" s="95" customFormat="1" ht="12.75" customHeight="1" x14ac:dyDescent="0.25">
      <c r="B52" s="354" t="s">
        <v>979</v>
      </c>
      <c r="C52" s="58" t="s">
        <v>921</v>
      </c>
      <c r="D52" s="40">
        <v>21.03</v>
      </c>
      <c r="E52" s="172">
        <v>0</v>
      </c>
      <c r="F52" s="40"/>
      <c r="G52" s="172">
        <v>0</v>
      </c>
      <c r="H52" s="173"/>
      <c r="I52" s="172">
        <v>1</v>
      </c>
      <c r="J52" s="173" t="s">
        <v>974</v>
      </c>
      <c r="K52" s="172">
        <v>0</v>
      </c>
      <c r="L52" s="174"/>
      <c r="M52" s="176">
        <v>1</v>
      </c>
    </row>
    <row r="53" spans="2:13" s="95" customFormat="1" ht="12.75" customHeight="1" x14ac:dyDescent="0.25">
      <c r="B53" s="354"/>
      <c r="C53" s="58" t="s">
        <v>922</v>
      </c>
      <c r="D53" s="40">
        <v>18.96</v>
      </c>
      <c r="E53" s="172">
        <v>0</v>
      </c>
      <c r="F53" s="40"/>
      <c r="G53" s="172">
        <v>0</v>
      </c>
      <c r="H53" s="173"/>
      <c r="I53" s="172">
        <v>1</v>
      </c>
      <c r="J53" s="173" t="s">
        <v>975</v>
      </c>
      <c r="K53" s="172">
        <v>0</v>
      </c>
      <c r="L53" s="174"/>
      <c r="M53" s="176">
        <v>1</v>
      </c>
    </row>
    <row r="54" spans="2:13" s="95" customFormat="1" ht="12.75" customHeight="1" x14ac:dyDescent="0.25">
      <c r="B54" s="354"/>
      <c r="C54" s="58" t="s">
        <v>923</v>
      </c>
      <c r="D54" s="40">
        <v>18.010000000000002</v>
      </c>
      <c r="E54" s="172">
        <v>0</v>
      </c>
      <c r="F54" s="40"/>
      <c r="G54" s="172">
        <v>0</v>
      </c>
      <c r="H54" s="173"/>
      <c r="I54" s="172">
        <v>2</v>
      </c>
      <c r="J54" s="173" t="s">
        <v>976</v>
      </c>
      <c r="K54" s="172">
        <v>0</v>
      </c>
      <c r="L54" s="174"/>
      <c r="M54" s="176">
        <v>2</v>
      </c>
    </row>
    <row r="55" spans="2:13" s="95" customFormat="1" ht="12.75" customHeight="1" x14ac:dyDescent="0.25">
      <c r="B55" s="354"/>
      <c r="C55" s="58" t="s">
        <v>924</v>
      </c>
      <c r="D55" s="40">
        <v>18.21</v>
      </c>
      <c r="E55" s="172">
        <v>2</v>
      </c>
      <c r="F55" s="40" t="s">
        <v>972</v>
      </c>
      <c r="G55" s="172">
        <v>0</v>
      </c>
      <c r="H55" s="173"/>
      <c r="I55" s="172">
        <v>1</v>
      </c>
      <c r="J55" s="173" t="s">
        <v>977</v>
      </c>
      <c r="K55" s="172">
        <v>0</v>
      </c>
      <c r="L55" s="174"/>
      <c r="M55" s="176">
        <v>3</v>
      </c>
    </row>
    <row r="56" spans="2:13" s="95" customFormat="1" ht="12.75" customHeight="1" x14ac:dyDescent="0.25">
      <c r="B56" s="354"/>
      <c r="C56" s="58" t="s">
        <v>925</v>
      </c>
      <c r="D56" s="40">
        <v>20.36</v>
      </c>
      <c r="E56" s="172">
        <v>0</v>
      </c>
      <c r="F56" s="40"/>
      <c r="G56" s="172">
        <v>0</v>
      </c>
      <c r="H56" s="173"/>
      <c r="I56" s="172">
        <v>2</v>
      </c>
      <c r="J56" s="173" t="s">
        <v>978</v>
      </c>
      <c r="K56" s="172">
        <v>0</v>
      </c>
      <c r="L56" s="174"/>
      <c r="M56" s="176">
        <v>2</v>
      </c>
    </row>
    <row r="57" spans="2:13" s="95" customFormat="1" ht="12.75" customHeight="1" x14ac:dyDescent="0.25">
      <c r="B57" s="354" t="s">
        <v>980</v>
      </c>
      <c r="C57" s="58" t="s">
        <v>921</v>
      </c>
      <c r="D57" s="40">
        <v>21.18</v>
      </c>
      <c r="E57" s="172">
        <v>1</v>
      </c>
      <c r="F57" s="40" t="s">
        <v>968</v>
      </c>
      <c r="G57" s="172">
        <v>1</v>
      </c>
      <c r="H57" s="173" t="s">
        <v>969</v>
      </c>
      <c r="I57" s="172">
        <v>2</v>
      </c>
      <c r="J57" s="173" t="s">
        <v>978</v>
      </c>
      <c r="K57" s="172">
        <v>0</v>
      </c>
      <c r="L57" s="174"/>
      <c r="M57" s="176">
        <v>4</v>
      </c>
    </row>
    <row r="58" spans="2:13" s="95" customFormat="1" ht="12.75" customHeight="1" x14ac:dyDescent="0.25">
      <c r="B58" s="354"/>
      <c r="C58" s="58" t="s">
        <v>922</v>
      </c>
      <c r="D58" s="40">
        <v>19.84</v>
      </c>
      <c r="E58" s="172">
        <v>2</v>
      </c>
      <c r="F58" s="40" t="s">
        <v>972</v>
      </c>
      <c r="G58" s="172">
        <v>1</v>
      </c>
      <c r="H58" s="173" t="s">
        <v>969</v>
      </c>
      <c r="I58" s="172">
        <v>2</v>
      </c>
      <c r="J58" s="173" t="s">
        <v>976</v>
      </c>
      <c r="K58" s="172">
        <v>0</v>
      </c>
      <c r="L58" s="174"/>
      <c r="M58" s="176">
        <v>5</v>
      </c>
    </row>
    <row r="59" spans="2:13" s="95" customFormat="1" ht="12.75" customHeight="1" x14ac:dyDescent="0.25">
      <c r="B59" s="354"/>
      <c r="C59" s="58" t="s">
        <v>923</v>
      </c>
      <c r="D59" s="40">
        <v>18.73</v>
      </c>
      <c r="E59" s="172">
        <v>0</v>
      </c>
      <c r="F59" s="40"/>
      <c r="G59" s="172">
        <v>0</v>
      </c>
      <c r="H59" s="173"/>
      <c r="I59" s="172">
        <v>2</v>
      </c>
      <c r="J59" s="173" t="s">
        <v>976</v>
      </c>
      <c r="K59" s="172">
        <v>0</v>
      </c>
      <c r="L59" s="174"/>
      <c r="M59" s="176">
        <v>2</v>
      </c>
    </row>
    <row r="60" spans="2:13" s="95" customFormat="1" ht="12.75" customHeight="1" x14ac:dyDescent="0.25">
      <c r="B60" s="354"/>
      <c r="C60" s="58" t="s">
        <v>924</v>
      </c>
      <c r="D60" s="40">
        <v>18.350000000000001</v>
      </c>
      <c r="E60" s="172">
        <v>2</v>
      </c>
      <c r="F60" s="40" t="s">
        <v>972</v>
      </c>
      <c r="G60" s="172">
        <v>1</v>
      </c>
      <c r="H60" s="173" t="s">
        <v>969</v>
      </c>
      <c r="I60" s="172">
        <v>2</v>
      </c>
      <c r="J60" s="173" t="s">
        <v>976</v>
      </c>
      <c r="K60" s="172">
        <v>0</v>
      </c>
      <c r="L60" s="174"/>
      <c r="M60" s="176">
        <v>5</v>
      </c>
    </row>
    <row r="61" spans="2:13" s="95" customFormat="1" ht="12.75" customHeight="1" x14ac:dyDescent="0.25">
      <c r="B61" s="354"/>
      <c r="C61" s="58" t="s">
        <v>925</v>
      </c>
      <c r="D61" s="40">
        <v>21.09</v>
      </c>
      <c r="E61" s="172">
        <v>2</v>
      </c>
      <c r="F61" s="40" t="s">
        <v>972</v>
      </c>
      <c r="G61" s="172">
        <v>1</v>
      </c>
      <c r="H61" s="173" t="s">
        <v>969</v>
      </c>
      <c r="I61" s="172">
        <v>2</v>
      </c>
      <c r="J61" s="173" t="s">
        <v>978</v>
      </c>
      <c r="K61" s="172">
        <v>0</v>
      </c>
      <c r="L61" s="174"/>
      <c r="M61" s="176">
        <v>5</v>
      </c>
    </row>
    <row r="62" spans="2:13" s="95" customFormat="1" ht="12.75" customHeight="1" x14ac:dyDescent="0.25">
      <c r="B62" s="354" t="s">
        <v>982</v>
      </c>
      <c r="C62" s="58" t="s">
        <v>921</v>
      </c>
      <c r="D62" s="40">
        <v>17.78</v>
      </c>
      <c r="E62" s="172">
        <v>2</v>
      </c>
      <c r="F62" s="40" t="s">
        <v>972</v>
      </c>
      <c r="G62" s="172">
        <v>1</v>
      </c>
      <c r="H62" s="173" t="s">
        <v>969</v>
      </c>
      <c r="I62" s="172">
        <v>2</v>
      </c>
      <c r="J62" s="173" t="s">
        <v>978</v>
      </c>
      <c r="K62" s="172">
        <v>0</v>
      </c>
      <c r="L62" s="174"/>
      <c r="M62" s="176">
        <v>5</v>
      </c>
    </row>
    <row r="63" spans="2:13" s="95" customFormat="1" ht="12.75" customHeight="1" x14ac:dyDescent="0.25">
      <c r="B63" s="354"/>
      <c r="C63" s="58" t="s">
        <v>922</v>
      </c>
      <c r="D63" s="40">
        <v>17.09</v>
      </c>
      <c r="E63" s="172">
        <v>2</v>
      </c>
      <c r="F63" s="40" t="s">
        <v>972</v>
      </c>
      <c r="G63" s="172">
        <v>1</v>
      </c>
      <c r="H63" s="173" t="s">
        <v>969</v>
      </c>
      <c r="I63" s="172">
        <v>2</v>
      </c>
      <c r="J63" s="173" t="s">
        <v>976</v>
      </c>
      <c r="K63" s="172">
        <v>0</v>
      </c>
      <c r="L63" s="174"/>
      <c r="M63" s="176">
        <v>5</v>
      </c>
    </row>
    <row r="64" spans="2:13" s="95" customFormat="1" ht="12.75" customHeight="1" x14ac:dyDescent="0.25">
      <c r="B64" s="354"/>
      <c r="C64" s="58" t="s">
        <v>923</v>
      </c>
      <c r="D64" s="40">
        <v>16.399999999999999</v>
      </c>
      <c r="E64" s="172">
        <v>1</v>
      </c>
      <c r="F64" s="40" t="s">
        <v>981</v>
      </c>
      <c r="G64" s="172">
        <v>1</v>
      </c>
      <c r="H64" s="173" t="s">
        <v>969</v>
      </c>
      <c r="I64" s="172">
        <v>2</v>
      </c>
      <c r="J64" s="173" t="s">
        <v>976</v>
      </c>
      <c r="K64" s="172">
        <v>0</v>
      </c>
      <c r="L64" s="174"/>
      <c r="M64" s="176">
        <v>4</v>
      </c>
    </row>
    <row r="65" spans="2:13" s="95" customFormat="1" ht="12.75" customHeight="1" x14ac:dyDescent="0.25">
      <c r="B65" s="354"/>
      <c r="C65" s="58" t="s">
        <v>924</v>
      </c>
      <c r="D65" s="40">
        <v>16.27</v>
      </c>
      <c r="E65" s="172">
        <v>2</v>
      </c>
      <c r="F65" s="40" t="s">
        <v>972</v>
      </c>
      <c r="G65" s="172">
        <v>1</v>
      </c>
      <c r="H65" s="173" t="s">
        <v>969</v>
      </c>
      <c r="I65" s="172">
        <v>2</v>
      </c>
      <c r="J65" s="173" t="s">
        <v>976</v>
      </c>
      <c r="K65" s="172">
        <v>0</v>
      </c>
      <c r="L65" s="174"/>
      <c r="M65" s="176">
        <v>5</v>
      </c>
    </row>
    <row r="66" spans="2:13" s="95" customFormat="1" ht="12.75" customHeight="1" x14ac:dyDescent="0.25">
      <c r="B66" s="354"/>
      <c r="C66" s="58" t="s">
        <v>925</v>
      </c>
      <c r="D66" s="40">
        <v>19.399999999999999</v>
      </c>
      <c r="E66" s="172">
        <v>1</v>
      </c>
      <c r="F66" s="40" t="s">
        <v>981</v>
      </c>
      <c r="G66" s="172">
        <v>1</v>
      </c>
      <c r="H66" s="173" t="s">
        <v>969</v>
      </c>
      <c r="I66" s="172">
        <v>2</v>
      </c>
      <c r="J66" s="173" t="s">
        <v>978</v>
      </c>
      <c r="K66" s="172">
        <v>0</v>
      </c>
      <c r="L66" s="174"/>
      <c r="M66" s="176">
        <v>4</v>
      </c>
    </row>
    <row r="67" spans="2:13" s="95" customFormat="1" ht="12.75" customHeight="1" x14ac:dyDescent="0.25">
      <c r="B67" s="354" t="s">
        <v>983</v>
      </c>
      <c r="C67" s="58" t="s">
        <v>921</v>
      </c>
      <c r="D67" s="40">
        <v>17.7</v>
      </c>
      <c r="E67" s="172">
        <v>2</v>
      </c>
      <c r="F67" s="40" t="s">
        <v>972</v>
      </c>
      <c r="G67" s="172">
        <v>1</v>
      </c>
      <c r="H67" s="173" t="s">
        <v>969</v>
      </c>
      <c r="I67" s="172">
        <v>2</v>
      </c>
      <c r="J67" s="173" t="s">
        <v>978</v>
      </c>
      <c r="K67" s="172">
        <v>0</v>
      </c>
      <c r="L67" s="174"/>
      <c r="M67" s="176">
        <v>5</v>
      </c>
    </row>
    <row r="68" spans="2:13" s="95" customFormat="1" ht="12.75" customHeight="1" x14ac:dyDescent="0.25">
      <c r="B68" s="354"/>
      <c r="C68" s="58" t="s">
        <v>922</v>
      </c>
      <c r="D68" s="40">
        <v>17.45</v>
      </c>
      <c r="E68" s="172">
        <v>2</v>
      </c>
      <c r="F68" s="40" t="s">
        <v>972</v>
      </c>
      <c r="G68" s="172">
        <v>1</v>
      </c>
      <c r="H68" s="173" t="s">
        <v>969</v>
      </c>
      <c r="I68" s="172">
        <v>0</v>
      </c>
      <c r="J68" s="173"/>
      <c r="K68" s="172">
        <v>0</v>
      </c>
      <c r="L68" s="174"/>
      <c r="M68" s="176">
        <v>3</v>
      </c>
    </row>
    <row r="69" spans="2:13" s="95" customFormat="1" ht="12.75" customHeight="1" x14ac:dyDescent="0.25">
      <c r="B69" s="354"/>
      <c r="C69" s="58" t="s">
        <v>923</v>
      </c>
      <c r="D69" s="40">
        <v>17.149999999999999</v>
      </c>
      <c r="E69" s="172">
        <v>2</v>
      </c>
      <c r="F69" s="40" t="s">
        <v>972</v>
      </c>
      <c r="G69" s="172">
        <v>1</v>
      </c>
      <c r="H69" s="173" t="s">
        <v>969</v>
      </c>
      <c r="I69" s="172">
        <v>1</v>
      </c>
      <c r="J69" s="173" t="s">
        <v>974</v>
      </c>
      <c r="K69" s="172">
        <v>0</v>
      </c>
      <c r="L69" s="174"/>
      <c r="M69" s="176">
        <v>4</v>
      </c>
    </row>
    <row r="70" spans="2:13" s="95" customFormat="1" ht="12.75" customHeight="1" x14ac:dyDescent="0.25">
      <c r="B70" s="354"/>
      <c r="C70" s="58" t="s">
        <v>924</v>
      </c>
      <c r="D70" s="40">
        <v>14.61</v>
      </c>
      <c r="E70" s="172">
        <v>2</v>
      </c>
      <c r="F70" s="40" t="s">
        <v>972</v>
      </c>
      <c r="G70" s="172">
        <v>1</v>
      </c>
      <c r="H70" s="173" t="s">
        <v>969</v>
      </c>
      <c r="I70" s="172">
        <v>2</v>
      </c>
      <c r="J70" s="173" t="s">
        <v>976</v>
      </c>
      <c r="K70" s="172">
        <v>0</v>
      </c>
      <c r="L70" s="174"/>
      <c r="M70" s="176">
        <v>5</v>
      </c>
    </row>
    <row r="71" spans="2:13" s="95" customFormat="1" ht="12.75" customHeight="1" x14ac:dyDescent="0.25">
      <c r="B71" s="354"/>
      <c r="C71" s="58" t="s">
        <v>925</v>
      </c>
      <c r="D71" s="40">
        <v>18.79</v>
      </c>
      <c r="E71" s="172">
        <v>2</v>
      </c>
      <c r="F71" s="40" t="s">
        <v>972</v>
      </c>
      <c r="G71" s="172">
        <v>1</v>
      </c>
      <c r="H71" s="173" t="s">
        <v>969</v>
      </c>
      <c r="I71" s="172">
        <v>1</v>
      </c>
      <c r="J71" s="173" t="s">
        <v>974</v>
      </c>
      <c r="K71" s="172">
        <v>0</v>
      </c>
      <c r="L71" s="174"/>
      <c r="M71" s="176">
        <v>4</v>
      </c>
    </row>
    <row r="72" spans="2:13" s="95" customFormat="1" ht="12.75" customHeight="1" x14ac:dyDescent="0.25">
      <c r="B72" s="354" t="s">
        <v>984</v>
      </c>
      <c r="C72" s="58" t="s">
        <v>921</v>
      </c>
      <c r="D72" s="40">
        <v>18.78</v>
      </c>
      <c r="E72" s="172">
        <v>2</v>
      </c>
      <c r="F72" s="40" t="s">
        <v>972</v>
      </c>
      <c r="G72" s="172">
        <v>1</v>
      </c>
      <c r="H72" s="173" t="s">
        <v>969</v>
      </c>
      <c r="I72" s="172">
        <v>2</v>
      </c>
      <c r="J72" s="173" t="s">
        <v>978</v>
      </c>
      <c r="K72" s="172">
        <v>0</v>
      </c>
      <c r="L72" s="174"/>
      <c r="M72" s="176">
        <v>5</v>
      </c>
    </row>
    <row r="73" spans="2:13" s="95" customFormat="1" ht="12.75" customHeight="1" x14ac:dyDescent="0.25">
      <c r="B73" s="354"/>
      <c r="C73" s="58" t="s">
        <v>922</v>
      </c>
      <c r="D73" s="40">
        <v>19.260000000000002</v>
      </c>
      <c r="E73" s="172">
        <v>2</v>
      </c>
      <c r="F73" s="40" t="s">
        <v>972</v>
      </c>
      <c r="G73" s="172">
        <v>1</v>
      </c>
      <c r="H73" s="173" t="s">
        <v>969</v>
      </c>
      <c r="I73" s="172">
        <v>0</v>
      </c>
      <c r="J73" s="173"/>
      <c r="K73" s="172">
        <v>0</v>
      </c>
      <c r="L73" s="174"/>
      <c r="M73" s="176">
        <v>3</v>
      </c>
    </row>
    <row r="74" spans="2:13" s="95" customFormat="1" ht="12.75" customHeight="1" x14ac:dyDescent="0.25">
      <c r="B74" s="354"/>
      <c r="C74" s="58" t="s">
        <v>923</v>
      </c>
      <c r="D74" s="40">
        <v>18.18</v>
      </c>
      <c r="E74" s="172">
        <v>2</v>
      </c>
      <c r="F74" s="40" t="s">
        <v>972</v>
      </c>
      <c r="G74" s="172">
        <v>1</v>
      </c>
      <c r="H74" s="173" t="s">
        <v>969</v>
      </c>
      <c r="I74" s="172">
        <v>1</v>
      </c>
      <c r="J74" s="173" t="s">
        <v>974</v>
      </c>
      <c r="K74" s="172">
        <v>0</v>
      </c>
      <c r="L74" s="174"/>
      <c r="M74" s="176">
        <v>4</v>
      </c>
    </row>
    <row r="75" spans="2:13" s="95" customFormat="1" ht="12.75" customHeight="1" x14ac:dyDescent="0.25">
      <c r="B75" s="354"/>
      <c r="C75" s="58" t="s">
        <v>924</v>
      </c>
      <c r="D75" s="40">
        <v>14.61</v>
      </c>
      <c r="E75" s="172">
        <v>2</v>
      </c>
      <c r="F75" s="40" t="s">
        <v>972</v>
      </c>
      <c r="G75" s="172">
        <v>1</v>
      </c>
      <c r="H75" s="173" t="s">
        <v>969</v>
      </c>
      <c r="I75" s="172">
        <v>2</v>
      </c>
      <c r="J75" s="173" t="s">
        <v>976</v>
      </c>
      <c r="K75" s="172">
        <v>0</v>
      </c>
      <c r="L75" s="174"/>
      <c r="M75" s="176">
        <v>5</v>
      </c>
    </row>
    <row r="76" spans="2:13" s="95" customFormat="1" ht="12.75" customHeight="1" x14ac:dyDescent="0.25">
      <c r="B76" s="354"/>
      <c r="C76" s="58" t="s">
        <v>925</v>
      </c>
      <c r="D76" s="40">
        <v>19.100000000000001</v>
      </c>
      <c r="E76" s="172">
        <v>2</v>
      </c>
      <c r="F76" s="40" t="s">
        <v>972</v>
      </c>
      <c r="G76" s="172">
        <v>1</v>
      </c>
      <c r="H76" s="173" t="s">
        <v>969</v>
      </c>
      <c r="I76" s="172">
        <v>0</v>
      </c>
      <c r="J76" s="173"/>
      <c r="K76" s="172">
        <v>0</v>
      </c>
      <c r="L76" s="174"/>
      <c r="M76" s="176">
        <v>3</v>
      </c>
    </row>
    <row r="77" spans="2:13" s="95" customFormat="1" ht="12.75" customHeight="1" x14ac:dyDescent="0.3">
      <c r="C77" s="5"/>
      <c r="D77" s="96"/>
      <c r="E77" s="98"/>
      <c r="F77" s="98"/>
      <c r="G77" s="98"/>
      <c r="M77" s="99"/>
    </row>
    <row r="78" spans="2:13" s="95" customFormat="1" ht="12.75" customHeight="1" x14ac:dyDescent="0.3">
      <c r="C78" s="5"/>
      <c r="D78" s="96"/>
      <c r="E78" s="98"/>
      <c r="F78" s="98"/>
      <c r="G78" s="98"/>
      <c r="M78" s="99"/>
    </row>
    <row r="79" spans="2:13" s="95" customFormat="1" ht="12.75" customHeight="1" x14ac:dyDescent="0.3">
      <c r="C79" s="5"/>
      <c r="D79" s="96"/>
      <c r="E79" s="98"/>
      <c r="F79" s="98"/>
      <c r="G79" s="98"/>
      <c r="M79" s="99"/>
    </row>
    <row r="80" spans="2:13" ht="12.75" customHeight="1" x14ac:dyDescent="0.3"/>
  </sheetData>
  <mergeCells count="26">
    <mergeCell ref="B17:B21"/>
    <mergeCell ref="B22:B26"/>
    <mergeCell ref="B27:B31"/>
    <mergeCell ref="B72:B76"/>
    <mergeCell ref="B42:B46"/>
    <mergeCell ref="B47:B51"/>
    <mergeCell ref="B52:B56"/>
    <mergeCell ref="B57:B61"/>
    <mergeCell ref="B62:B66"/>
    <mergeCell ref="B67:B71"/>
    <mergeCell ref="M5:M6"/>
    <mergeCell ref="B32:B36"/>
    <mergeCell ref="B37:B41"/>
    <mergeCell ref="E4:F4"/>
    <mergeCell ref="G4:H4"/>
    <mergeCell ref="I4:J4"/>
    <mergeCell ref="K4:L4"/>
    <mergeCell ref="B5:B6"/>
    <mergeCell ref="C5:C6"/>
    <mergeCell ref="D5:D6"/>
    <mergeCell ref="E5:F6"/>
    <mergeCell ref="G5:H6"/>
    <mergeCell ref="I5:J6"/>
    <mergeCell ref="K5:L6"/>
    <mergeCell ref="B7:B11"/>
    <mergeCell ref="B12:B16"/>
  </mergeCells>
  <phoneticPr fontId="3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71C3-46DC-47A2-822D-060614B74238}">
  <dimension ref="B2:L91"/>
  <sheetViews>
    <sheetView zoomScale="90" zoomScaleNormal="90" workbookViewId="0">
      <selection activeCell="H10" sqref="H10"/>
    </sheetView>
  </sheetViews>
  <sheetFormatPr defaultColWidth="9" defaultRowHeight="14" x14ac:dyDescent="0.45"/>
  <cols>
    <col min="1" max="1" width="9" style="14"/>
    <col min="2" max="2" width="8.83203125" style="14" customWidth="1"/>
    <col min="3" max="3" width="20.08203125" style="13" customWidth="1"/>
    <col min="4" max="4" width="6.75" style="14" customWidth="1"/>
    <col min="5" max="5" width="11.5" style="14" customWidth="1"/>
    <col min="6" max="6" width="21.33203125" style="14" customWidth="1"/>
    <col min="7" max="7" width="39.58203125" style="14" customWidth="1"/>
    <col min="8" max="8" width="26.83203125" style="14" customWidth="1"/>
    <col min="9" max="9" width="9.58203125" style="14" customWidth="1"/>
    <col min="10" max="10" width="30.58203125" style="14" customWidth="1"/>
    <col min="11" max="11" width="33.5" style="14" customWidth="1"/>
    <col min="12" max="16384" width="9" style="14"/>
  </cols>
  <sheetData>
    <row r="2" spans="2:12" x14ac:dyDescent="0.45">
      <c r="G2" s="13"/>
      <c r="H2" s="13"/>
      <c r="I2" s="24"/>
    </row>
    <row r="3" spans="2:12" s="101" customFormat="1" ht="12.75" customHeight="1" x14ac:dyDescent="0.45">
      <c r="C3" s="24" t="s">
        <v>895</v>
      </c>
    </row>
    <row r="4" spans="2:12" s="101" customFormat="1" ht="12.75" customHeight="1" x14ac:dyDescent="0.45">
      <c r="C4" s="24"/>
    </row>
    <row r="5" spans="2:12" s="101" customFormat="1" ht="12.75" customHeight="1" x14ac:dyDescent="0.45">
      <c r="C5" s="24" t="s">
        <v>899</v>
      </c>
    </row>
    <row r="6" spans="2:12" s="102" customFormat="1" ht="12.75" customHeight="1" x14ac:dyDescent="0.3">
      <c r="B6" s="177"/>
      <c r="C6" s="17"/>
      <c r="D6" s="178"/>
      <c r="E6" s="17" t="s">
        <v>3</v>
      </c>
      <c r="F6" s="16" t="s">
        <v>877</v>
      </c>
      <c r="G6" s="17" t="s">
        <v>896</v>
      </c>
      <c r="H6" s="13"/>
      <c r="J6" s="103" t="s">
        <v>71</v>
      </c>
    </row>
    <row r="7" spans="2:12" s="102" customFormat="1" ht="12.75" customHeight="1" x14ac:dyDescent="0.45">
      <c r="B7" s="179"/>
      <c r="C7" s="68"/>
      <c r="E7" s="68"/>
      <c r="F7" s="13"/>
      <c r="G7" s="68" t="s">
        <v>797</v>
      </c>
      <c r="H7" s="13"/>
    </row>
    <row r="8" spans="2:12" s="101" customFormat="1" ht="12.75" customHeight="1" x14ac:dyDescent="0.45">
      <c r="B8" s="375" t="s">
        <v>878</v>
      </c>
      <c r="C8" s="378" t="s">
        <v>994</v>
      </c>
      <c r="D8" s="44" t="s">
        <v>985</v>
      </c>
      <c r="E8" s="67">
        <v>2029</v>
      </c>
      <c r="F8" s="67">
        <v>357</v>
      </c>
      <c r="G8" s="180">
        <f>10000*F8/E8/35*1000/10000</f>
        <v>5.0271069492360763</v>
      </c>
      <c r="H8" s="181"/>
      <c r="J8" s="2" t="s">
        <v>41</v>
      </c>
      <c r="K8" s="8" t="s">
        <v>999</v>
      </c>
      <c r="L8"/>
    </row>
    <row r="9" spans="2:12" s="101" customFormat="1" ht="12.75" customHeight="1" x14ac:dyDescent="0.45">
      <c r="B9" s="376"/>
      <c r="C9" s="379"/>
      <c r="D9" s="44" t="s">
        <v>986</v>
      </c>
      <c r="E9" s="67">
        <v>2026</v>
      </c>
      <c r="F9" s="67">
        <v>880</v>
      </c>
      <c r="G9" s="180">
        <f t="shared" ref="G9:G17" si="0">10000*F9/E9/35*1000/10000</f>
        <v>12.410097306444788</v>
      </c>
      <c r="H9" s="181"/>
      <c r="J9" s="7" t="s">
        <v>43</v>
      </c>
      <c r="K9" s="8" t="s">
        <v>1004</v>
      </c>
      <c r="L9"/>
    </row>
    <row r="10" spans="2:12" s="101" customFormat="1" ht="12.75" customHeight="1" x14ac:dyDescent="0.45">
      <c r="B10" s="376"/>
      <c r="C10" s="379"/>
      <c r="D10" s="44" t="s">
        <v>987</v>
      </c>
      <c r="E10" s="67">
        <v>2024</v>
      </c>
      <c r="F10" s="67">
        <v>652</v>
      </c>
      <c r="G10" s="180">
        <f t="shared" si="0"/>
        <v>9.203839638622247</v>
      </c>
      <c r="H10" s="181"/>
      <c r="J10" s="7" t="s">
        <v>44</v>
      </c>
      <c r="K10" s="8" t="s">
        <v>44</v>
      </c>
      <c r="L10"/>
    </row>
    <row r="11" spans="2:12" s="101" customFormat="1" ht="12.75" customHeight="1" x14ac:dyDescent="0.45">
      <c r="B11" s="376"/>
      <c r="C11" s="379"/>
      <c r="D11" s="44" t="s">
        <v>988</v>
      </c>
      <c r="E11" s="67">
        <v>2040</v>
      </c>
      <c r="F11" s="67">
        <v>619</v>
      </c>
      <c r="G11" s="180">
        <f t="shared" si="0"/>
        <v>8.6694677871148471</v>
      </c>
      <c r="H11" s="182"/>
      <c r="J11" s="7" t="s">
        <v>1003</v>
      </c>
      <c r="K11" s="8" t="s">
        <v>1005</v>
      </c>
      <c r="L11"/>
    </row>
    <row r="12" spans="2:12" s="101" customFormat="1" ht="12.75" customHeight="1" x14ac:dyDescent="0.45">
      <c r="B12" s="377"/>
      <c r="C12" s="380"/>
      <c r="D12" s="44" t="s">
        <v>989</v>
      </c>
      <c r="E12" s="67">
        <v>2034</v>
      </c>
      <c r="F12" s="67">
        <v>521</v>
      </c>
      <c r="G12" s="180">
        <f t="shared" si="0"/>
        <v>7.3184436016294425</v>
      </c>
      <c r="H12" s="181"/>
      <c r="J12" s="2"/>
      <c r="K12" s="3"/>
      <c r="L12"/>
    </row>
    <row r="13" spans="2:12" s="101" customFormat="1" ht="12.75" customHeight="1" x14ac:dyDescent="0.45">
      <c r="B13" s="375" t="s">
        <v>883</v>
      </c>
      <c r="C13" s="378" t="s">
        <v>995</v>
      </c>
      <c r="D13" s="44" t="s">
        <v>990</v>
      </c>
      <c r="E13" s="67">
        <v>2027</v>
      </c>
      <c r="F13" s="67">
        <v>639</v>
      </c>
      <c r="G13" s="180">
        <f t="shared" si="0"/>
        <v>9.0069772358869535</v>
      </c>
      <c r="H13" s="181"/>
      <c r="J13" s="2" t="s">
        <v>46</v>
      </c>
      <c r="K13" s="3"/>
      <c r="L13"/>
    </row>
    <row r="14" spans="2:12" s="101" customFormat="1" ht="12.75" customHeight="1" x14ac:dyDescent="0.45">
      <c r="B14" s="376"/>
      <c r="C14" s="379"/>
      <c r="D14" s="44" t="s">
        <v>991</v>
      </c>
      <c r="E14" s="67">
        <v>2039</v>
      </c>
      <c r="F14" s="67">
        <v>1531</v>
      </c>
      <c r="G14" s="180">
        <f t="shared" si="0"/>
        <v>21.453093252995163</v>
      </c>
      <c r="H14" s="181"/>
      <c r="J14" s="7" t="s">
        <v>47</v>
      </c>
      <c r="K14" s="8">
        <v>0.19</v>
      </c>
      <c r="L14"/>
    </row>
    <row r="15" spans="2:12" s="101" customFormat="1" ht="12.75" customHeight="1" x14ac:dyDescent="0.45">
      <c r="B15" s="376"/>
      <c r="C15" s="379"/>
      <c r="D15" s="44" t="s">
        <v>1533</v>
      </c>
      <c r="E15" s="67">
        <v>2032</v>
      </c>
      <c r="F15" s="67">
        <v>590</v>
      </c>
      <c r="G15" s="180">
        <v>8.2958380202474693</v>
      </c>
      <c r="H15" s="181"/>
      <c r="J15" s="7" t="s">
        <v>49</v>
      </c>
      <c r="K15" s="8" t="s">
        <v>203</v>
      </c>
      <c r="L15"/>
    </row>
    <row r="16" spans="2:12" s="101" customFormat="1" ht="12.75" customHeight="1" x14ac:dyDescent="0.45">
      <c r="B16" s="376"/>
      <c r="C16" s="379"/>
      <c r="D16" s="44" t="s">
        <v>992</v>
      </c>
      <c r="E16" s="67">
        <v>2026</v>
      </c>
      <c r="F16" s="67">
        <v>703</v>
      </c>
      <c r="G16" s="180">
        <f t="shared" si="0"/>
        <v>9.9139754618530525</v>
      </c>
      <c r="H16" s="181"/>
      <c r="J16" s="2" t="s">
        <v>51</v>
      </c>
      <c r="K16" s="3" t="s">
        <v>204</v>
      </c>
      <c r="L16"/>
    </row>
    <row r="17" spans="2:12" s="101" customFormat="1" ht="12.75" customHeight="1" x14ac:dyDescent="0.45">
      <c r="B17" s="377"/>
      <c r="C17" s="380"/>
      <c r="D17" s="44" t="s">
        <v>993</v>
      </c>
      <c r="E17" s="67">
        <v>2033</v>
      </c>
      <c r="F17" s="67">
        <v>558</v>
      </c>
      <c r="G17" s="180">
        <f t="shared" si="0"/>
        <v>7.8420349940271237</v>
      </c>
      <c r="H17" s="181"/>
      <c r="J17" s="2" t="s">
        <v>53</v>
      </c>
      <c r="K17" s="3" t="s">
        <v>54</v>
      </c>
      <c r="L17"/>
    </row>
    <row r="18" spans="2:12" s="101" customFormat="1" ht="12.75" customHeight="1" x14ac:dyDescent="0.45">
      <c r="J18" s="2" t="s">
        <v>55</v>
      </c>
      <c r="K18" s="3" t="s">
        <v>1534</v>
      </c>
      <c r="L18"/>
    </row>
    <row r="19" spans="2:12" s="101" customFormat="1" ht="12.75" customHeight="1" x14ac:dyDescent="0.45">
      <c r="C19" s="24" t="s">
        <v>996</v>
      </c>
      <c r="J19" s="2"/>
      <c r="K19" s="3"/>
      <c r="L19"/>
    </row>
    <row r="20" spans="2:12" s="102" customFormat="1" ht="12.75" customHeight="1" x14ac:dyDescent="0.45">
      <c r="B20" s="177"/>
      <c r="C20" s="17"/>
      <c r="D20" s="178"/>
      <c r="E20" s="17" t="s">
        <v>3</v>
      </c>
      <c r="F20" s="16" t="s">
        <v>877</v>
      </c>
      <c r="G20" s="17" t="s">
        <v>896</v>
      </c>
      <c r="H20" s="17" t="s">
        <v>907</v>
      </c>
      <c r="J20" s="2" t="s">
        <v>57</v>
      </c>
      <c r="K20" s="3"/>
      <c r="L20"/>
    </row>
    <row r="21" spans="2:12" s="102" customFormat="1" ht="12.75" customHeight="1" x14ac:dyDescent="0.45">
      <c r="B21" s="179"/>
      <c r="C21" s="68"/>
      <c r="E21" s="68"/>
      <c r="F21" s="13"/>
      <c r="G21" s="68" t="s">
        <v>797</v>
      </c>
      <c r="H21" s="20" t="s">
        <v>1398</v>
      </c>
      <c r="J21" s="2" t="s">
        <v>157</v>
      </c>
      <c r="K21" s="3" t="s">
        <v>1535</v>
      </c>
      <c r="L21"/>
    </row>
    <row r="22" spans="2:12" s="101" customFormat="1" ht="12.75" customHeight="1" x14ac:dyDescent="0.45">
      <c r="B22" s="385" t="s">
        <v>878</v>
      </c>
      <c r="C22" s="378" t="s">
        <v>994</v>
      </c>
      <c r="D22" s="44" t="s">
        <v>985</v>
      </c>
      <c r="E22" s="67">
        <v>2020</v>
      </c>
      <c r="F22" s="67">
        <v>105</v>
      </c>
      <c r="G22" s="180">
        <f>10000*F22/E22/35*1000/10000</f>
        <v>1.4851485148514851</v>
      </c>
      <c r="H22" s="180">
        <f t="shared" ref="H22:H31" si="1">G22/G8*100</f>
        <v>29.542807221898666</v>
      </c>
      <c r="J22" s="2" t="s">
        <v>497</v>
      </c>
      <c r="K22" s="3" t="s">
        <v>1550</v>
      </c>
      <c r="L22"/>
    </row>
    <row r="23" spans="2:12" s="101" customFormat="1" ht="12.75" customHeight="1" x14ac:dyDescent="0.45">
      <c r="B23" s="386"/>
      <c r="C23" s="379"/>
      <c r="D23" s="44" t="s">
        <v>986</v>
      </c>
      <c r="E23" s="67">
        <v>2028</v>
      </c>
      <c r="F23" s="67">
        <v>270</v>
      </c>
      <c r="G23" s="180">
        <f t="shared" ref="G23:G31" si="2">10000*F23/E23/35*1000/10000</f>
        <v>3.8038884192730351</v>
      </c>
      <c r="H23" s="180">
        <f t="shared" si="1"/>
        <v>30.651559978483061</v>
      </c>
      <c r="J23" s="2" t="s">
        <v>62</v>
      </c>
      <c r="K23" s="3" t="s">
        <v>1536</v>
      </c>
      <c r="L23"/>
    </row>
    <row r="24" spans="2:12" s="101" customFormat="1" ht="12.75" customHeight="1" x14ac:dyDescent="0.45">
      <c r="B24" s="386"/>
      <c r="C24" s="379"/>
      <c r="D24" s="44" t="s">
        <v>987</v>
      </c>
      <c r="E24" s="67">
        <v>2028</v>
      </c>
      <c r="F24" s="67">
        <v>247</v>
      </c>
      <c r="G24" s="180">
        <f t="shared" si="2"/>
        <v>3.4798534798534804</v>
      </c>
      <c r="H24" s="180">
        <f t="shared" si="1"/>
        <v>37.808714802579843</v>
      </c>
      <c r="J24" s="2" t="s">
        <v>64</v>
      </c>
      <c r="K24" s="3" t="s">
        <v>1537</v>
      </c>
      <c r="L24"/>
    </row>
    <row r="25" spans="2:12" s="101" customFormat="1" ht="12.75" customHeight="1" x14ac:dyDescent="0.45">
      <c r="B25" s="386"/>
      <c r="C25" s="379"/>
      <c r="D25" s="44" t="s">
        <v>988</v>
      </c>
      <c r="E25" s="67">
        <v>2040</v>
      </c>
      <c r="F25" s="67">
        <v>365</v>
      </c>
      <c r="G25" s="180">
        <f t="shared" si="2"/>
        <v>5.1120448179271714</v>
      </c>
      <c r="H25" s="180">
        <f t="shared" si="1"/>
        <v>58.966074313408726</v>
      </c>
      <c r="J25" s="2" t="s">
        <v>66</v>
      </c>
      <c r="K25" s="3">
        <v>0.2041</v>
      </c>
      <c r="L25"/>
    </row>
    <row r="26" spans="2:12" s="101" customFormat="1" ht="12.75" customHeight="1" x14ac:dyDescent="0.45">
      <c r="B26" s="387"/>
      <c r="C26" s="380"/>
      <c r="D26" s="44" t="s">
        <v>989</v>
      </c>
      <c r="E26" s="67">
        <v>2030</v>
      </c>
      <c r="F26" s="67">
        <v>435</v>
      </c>
      <c r="G26" s="180">
        <f t="shared" si="2"/>
        <v>6.1224489795918355</v>
      </c>
      <c r="H26" s="180">
        <f t="shared" si="1"/>
        <v>83.657800932273091</v>
      </c>
      <c r="J26" s="2"/>
      <c r="K26" s="3"/>
      <c r="L26"/>
    </row>
    <row r="27" spans="2:12" s="101" customFormat="1" ht="12.75" customHeight="1" x14ac:dyDescent="0.45">
      <c r="B27" s="385" t="s">
        <v>883</v>
      </c>
      <c r="C27" s="378" t="s">
        <v>995</v>
      </c>
      <c r="D27" s="44" t="s">
        <v>990</v>
      </c>
      <c r="E27" s="67">
        <v>2040</v>
      </c>
      <c r="F27" s="67">
        <v>520</v>
      </c>
      <c r="G27" s="180">
        <f t="shared" si="2"/>
        <v>7.2829131652661063</v>
      </c>
      <c r="H27" s="180">
        <f t="shared" si="1"/>
        <v>80.858571910767438</v>
      </c>
      <c r="J27" s="2" t="s">
        <v>67</v>
      </c>
      <c r="K27" s="3"/>
      <c r="L27"/>
    </row>
    <row r="28" spans="2:12" s="101" customFormat="1" ht="12.75" customHeight="1" x14ac:dyDescent="0.45">
      <c r="B28" s="386"/>
      <c r="C28" s="379"/>
      <c r="D28" s="44" t="s">
        <v>991</v>
      </c>
      <c r="E28" s="67">
        <v>2034</v>
      </c>
      <c r="F28" s="67">
        <v>405</v>
      </c>
      <c r="G28" s="180">
        <f t="shared" si="2"/>
        <v>5.6890012642225036</v>
      </c>
      <c r="H28" s="180">
        <f t="shared" si="1"/>
        <v>26.51832627179876</v>
      </c>
      <c r="J28" s="2" t="s">
        <v>68</v>
      </c>
      <c r="K28" s="3" t="s">
        <v>1538</v>
      </c>
      <c r="L28"/>
    </row>
    <row r="29" spans="2:12" s="101" customFormat="1" ht="12.75" customHeight="1" x14ac:dyDescent="0.45">
      <c r="B29" s="386"/>
      <c r="C29" s="379"/>
      <c r="D29" s="44" t="s">
        <v>1533</v>
      </c>
      <c r="E29" s="67">
        <v>2016</v>
      </c>
      <c r="F29" s="67">
        <v>161</v>
      </c>
      <c r="G29" s="180">
        <v>2.2817460317460316</v>
      </c>
      <c r="H29" s="180">
        <f t="shared" si="1"/>
        <v>27.504708097928436</v>
      </c>
      <c r="J29" s="2" t="s">
        <v>47</v>
      </c>
      <c r="K29" s="3">
        <v>0.47439999999999999</v>
      </c>
      <c r="L29"/>
    </row>
    <row r="30" spans="2:12" s="101" customFormat="1" ht="12.75" customHeight="1" x14ac:dyDescent="0.45">
      <c r="B30" s="386"/>
      <c r="C30" s="379"/>
      <c r="D30" s="44" t="s">
        <v>992</v>
      </c>
      <c r="E30" s="67">
        <v>2020</v>
      </c>
      <c r="F30" s="67">
        <v>347</v>
      </c>
      <c r="G30" s="180">
        <f t="shared" si="2"/>
        <v>4.9080622347949081</v>
      </c>
      <c r="H30" s="180">
        <f t="shared" si="1"/>
        <v>49.506499725363724</v>
      </c>
      <c r="J30" s="2" t="s">
        <v>49</v>
      </c>
      <c r="K30" s="3" t="s">
        <v>203</v>
      </c>
      <c r="L30"/>
    </row>
    <row r="31" spans="2:12" s="101" customFormat="1" ht="12.75" customHeight="1" x14ac:dyDescent="0.45">
      <c r="B31" s="387"/>
      <c r="C31" s="380"/>
      <c r="D31" s="44" t="s">
        <v>993</v>
      </c>
      <c r="E31" s="67">
        <v>2031</v>
      </c>
      <c r="F31" s="67">
        <v>303</v>
      </c>
      <c r="G31" s="180">
        <f t="shared" si="2"/>
        <v>4.262502637687275</v>
      </c>
      <c r="H31" s="180">
        <f t="shared" si="1"/>
        <v>54.354547524128684</v>
      </c>
      <c r="J31" s="2" t="s">
        <v>70</v>
      </c>
      <c r="K31" s="3" t="s">
        <v>204</v>
      </c>
      <c r="L31"/>
    </row>
    <row r="32" spans="2:12" s="101" customFormat="1" ht="12.75" customHeight="1" x14ac:dyDescent="0.45">
      <c r="C32" s="13"/>
    </row>
    <row r="33" spans="2:12" s="101" customFormat="1" ht="12.75" customHeight="1" x14ac:dyDescent="0.45">
      <c r="C33" s="24" t="s">
        <v>1000</v>
      </c>
    </row>
    <row r="34" spans="2:12" s="102" customFormat="1" ht="12.75" customHeight="1" x14ac:dyDescent="0.45">
      <c r="B34" s="177"/>
      <c r="C34" s="17"/>
      <c r="D34" s="178"/>
      <c r="E34" s="17" t="s">
        <v>3</v>
      </c>
      <c r="F34" s="16" t="s">
        <v>877</v>
      </c>
      <c r="G34" s="17" t="s">
        <v>896</v>
      </c>
      <c r="H34" s="17" t="s">
        <v>907</v>
      </c>
      <c r="J34" s="2" t="s">
        <v>41</v>
      </c>
      <c r="K34" s="8" t="s">
        <v>1001</v>
      </c>
      <c r="L34"/>
    </row>
    <row r="35" spans="2:12" s="102" customFormat="1" ht="12.75" customHeight="1" x14ac:dyDescent="0.45">
      <c r="B35" s="179"/>
      <c r="C35" s="68"/>
      <c r="E35" s="68"/>
      <c r="F35" s="13"/>
      <c r="G35" s="68" t="s">
        <v>797</v>
      </c>
      <c r="H35" s="20" t="s">
        <v>1398</v>
      </c>
      <c r="J35" s="7" t="s">
        <v>43</v>
      </c>
      <c r="K35" s="8" t="s">
        <v>1004</v>
      </c>
      <c r="L35"/>
    </row>
    <row r="36" spans="2:12" s="101" customFormat="1" ht="12.75" customHeight="1" x14ac:dyDescent="0.45">
      <c r="B36" s="385" t="s">
        <v>878</v>
      </c>
      <c r="C36" s="378" t="s">
        <v>994</v>
      </c>
      <c r="D36" s="44" t="s">
        <v>985</v>
      </c>
      <c r="E36" s="67">
        <v>2025</v>
      </c>
      <c r="F36" s="67">
        <v>364</v>
      </c>
      <c r="G36" s="180">
        <f>10000*F36/E36/35*1000/10000</f>
        <v>5.1358024691358031</v>
      </c>
      <c r="H36" s="180">
        <f t="shared" ref="H36:H45" si="3">G36/G8*100</f>
        <v>102.16218833212301</v>
      </c>
      <c r="J36" s="7" t="s">
        <v>44</v>
      </c>
      <c r="K36" s="8" t="s">
        <v>44</v>
      </c>
      <c r="L36"/>
    </row>
    <row r="37" spans="2:12" s="101" customFormat="1" ht="12.75" customHeight="1" x14ac:dyDescent="0.45">
      <c r="B37" s="386"/>
      <c r="C37" s="379"/>
      <c r="D37" s="44" t="s">
        <v>986</v>
      </c>
      <c r="E37" s="67">
        <v>2046</v>
      </c>
      <c r="F37" s="67">
        <v>893</v>
      </c>
      <c r="G37" s="180">
        <f t="shared" ref="G37:G45" si="4">10000*F37/E37/35*1000/10000</f>
        <v>12.470325373551182</v>
      </c>
      <c r="H37" s="180">
        <f t="shared" si="3"/>
        <v>100.48531502710392</v>
      </c>
      <c r="J37" s="7" t="s">
        <v>45</v>
      </c>
      <c r="K37" s="8" t="s">
        <v>1005</v>
      </c>
      <c r="L37"/>
    </row>
    <row r="38" spans="2:12" s="101" customFormat="1" ht="12.75" customHeight="1" x14ac:dyDescent="0.45">
      <c r="B38" s="386"/>
      <c r="C38" s="379"/>
      <c r="D38" s="44" t="s">
        <v>987</v>
      </c>
      <c r="E38" s="67">
        <v>2024</v>
      </c>
      <c r="F38" s="67">
        <v>220</v>
      </c>
      <c r="G38" s="180">
        <f t="shared" si="4"/>
        <v>3.1055900621118013</v>
      </c>
      <c r="H38" s="180">
        <f t="shared" si="3"/>
        <v>33.742331288343557</v>
      </c>
      <c r="J38" s="2"/>
      <c r="K38" s="3"/>
      <c r="L38"/>
    </row>
    <row r="39" spans="2:12" s="101" customFormat="1" ht="12.75" customHeight="1" x14ac:dyDescent="0.45">
      <c r="B39" s="386"/>
      <c r="C39" s="379"/>
      <c r="D39" s="44" t="s">
        <v>988</v>
      </c>
      <c r="E39" s="67">
        <v>2042</v>
      </c>
      <c r="F39" s="67">
        <v>267</v>
      </c>
      <c r="G39" s="180">
        <f t="shared" si="4"/>
        <v>3.735833216734294</v>
      </c>
      <c r="H39" s="180">
        <f t="shared" si="3"/>
        <v>43.091840335190398</v>
      </c>
      <c r="J39" s="2" t="s">
        <v>46</v>
      </c>
      <c r="K39" s="3"/>
      <c r="L39"/>
    </row>
    <row r="40" spans="2:12" s="101" customFormat="1" ht="12.75" customHeight="1" x14ac:dyDescent="0.45">
      <c r="B40" s="387"/>
      <c r="C40" s="380"/>
      <c r="D40" s="44" t="s">
        <v>989</v>
      </c>
      <c r="E40" s="67">
        <v>2020</v>
      </c>
      <c r="F40" s="67">
        <v>325</v>
      </c>
      <c r="G40" s="180">
        <f t="shared" si="4"/>
        <v>4.5968882602545973</v>
      </c>
      <c r="H40" s="180">
        <f t="shared" si="3"/>
        <v>62.812375287432772</v>
      </c>
      <c r="J40" s="7" t="s">
        <v>47</v>
      </c>
      <c r="K40" s="8">
        <v>5.3E-3</v>
      </c>
      <c r="L40"/>
    </row>
    <row r="41" spans="2:12" s="101" customFormat="1" ht="12.75" customHeight="1" x14ac:dyDescent="0.45">
      <c r="B41" s="385" t="s">
        <v>883</v>
      </c>
      <c r="C41" s="378" t="s">
        <v>995</v>
      </c>
      <c r="D41" s="44" t="s">
        <v>990</v>
      </c>
      <c r="E41" s="67">
        <v>2166</v>
      </c>
      <c r="F41" s="67">
        <v>359</v>
      </c>
      <c r="G41" s="180">
        <f t="shared" si="4"/>
        <v>4.7355230180714942</v>
      </c>
      <c r="H41" s="180">
        <f t="shared" si="3"/>
        <v>52.576162835224125</v>
      </c>
      <c r="J41" s="7" t="s">
        <v>49</v>
      </c>
      <c r="K41" s="8" t="s">
        <v>146</v>
      </c>
      <c r="L41"/>
    </row>
    <row r="42" spans="2:12" s="101" customFormat="1" ht="12.75" customHeight="1" x14ac:dyDescent="0.45">
      <c r="B42" s="386"/>
      <c r="C42" s="379"/>
      <c r="D42" s="44" t="s">
        <v>991</v>
      </c>
      <c r="E42" s="67">
        <v>2094</v>
      </c>
      <c r="F42" s="67">
        <v>237</v>
      </c>
      <c r="G42" s="180">
        <f t="shared" si="4"/>
        <v>3.2337290216946371</v>
      </c>
      <c r="H42" s="180">
        <f t="shared" si="3"/>
        <v>15.073486063568764</v>
      </c>
      <c r="J42" s="2" t="s">
        <v>51</v>
      </c>
      <c r="K42" s="3" t="s">
        <v>52</v>
      </c>
      <c r="L42"/>
    </row>
    <row r="43" spans="2:12" s="101" customFormat="1" ht="12.75" customHeight="1" x14ac:dyDescent="0.45">
      <c r="B43" s="386"/>
      <c r="C43" s="379"/>
      <c r="D43" s="44" t="s">
        <v>1533</v>
      </c>
      <c r="E43" s="67">
        <v>2054</v>
      </c>
      <c r="F43" s="67">
        <v>312</v>
      </c>
      <c r="G43" s="180">
        <v>4.3399638336347195</v>
      </c>
      <c r="H43" s="180">
        <f t="shared" si="3"/>
        <v>52.314953872559535</v>
      </c>
      <c r="J43" s="2" t="s">
        <v>53</v>
      </c>
      <c r="K43" s="3" t="s">
        <v>54</v>
      </c>
      <c r="L43"/>
    </row>
    <row r="44" spans="2:12" s="101" customFormat="1" ht="12.75" customHeight="1" x14ac:dyDescent="0.45">
      <c r="B44" s="386"/>
      <c r="C44" s="379"/>
      <c r="D44" s="44" t="s">
        <v>992</v>
      </c>
      <c r="E44" s="67">
        <v>2190</v>
      </c>
      <c r="F44" s="67">
        <v>222</v>
      </c>
      <c r="G44" s="180">
        <f t="shared" si="4"/>
        <v>2.8962818003913893</v>
      </c>
      <c r="H44" s="180">
        <f t="shared" si="3"/>
        <v>29.214131218457101</v>
      </c>
      <c r="J44" s="2" t="s">
        <v>55</v>
      </c>
      <c r="K44" s="3" t="s">
        <v>1539</v>
      </c>
      <c r="L44"/>
    </row>
    <row r="45" spans="2:12" s="101" customFormat="1" ht="12.75" customHeight="1" x14ac:dyDescent="0.45">
      <c r="B45" s="387"/>
      <c r="C45" s="380"/>
      <c r="D45" s="44" t="s">
        <v>993</v>
      </c>
      <c r="E45" s="67">
        <v>2109</v>
      </c>
      <c r="F45" s="67">
        <v>405</v>
      </c>
      <c r="G45" s="180">
        <f t="shared" si="4"/>
        <v>5.4866896972160131</v>
      </c>
      <c r="H45" s="180">
        <f t="shared" si="3"/>
        <v>69.965126416739324</v>
      </c>
      <c r="J45" s="2"/>
      <c r="K45" s="3"/>
      <c r="L45"/>
    </row>
    <row r="46" spans="2:12" s="101" customFormat="1" ht="12.75" customHeight="1" x14ac:dyDescent="0.45">
      <c r="C46" s="13"/>
      <c r="J46" s="2" t="s">
        <v>57</v>
      </c>
      <c r="K46" s="3"/>
      <c r="L46"/>
    </row>
    <row r="47" spans="2:12" s="101" customFormat="1" ht="12.75" customHeight="1" x14ac:dyDescent="0.45">
      <c r="C47" s="24" t="s">
        <v>997</v>
      </c>
      <c r="J47" s="2" t="s">
        <v>157</v>
      </c>
      <c r="K47" s="3" t="s">
        <v>1002</v>
      </c>
      <c r="L47"/>
    </row>
    <row r="48" spans="2:12" s="102" customFormat="1" ht="12.75" customHeight="1" x14ac:dyDescent="0.45">
      <c r="B48" s="177"/>
      <c r="C48" s="17"/>
      <c r="D48" s="178"/>
      <c r="E48" s="17" t="s">
        <v>3</v>
      </c>
      <c r="F48" s="16" t="s">
        <v>877</v>
      </c>
      <c r="G48" s="17" t="s">
        <v>896</v>
      </c>
      <c r="H48" s="17" t="s">
        <v>907</v>
      </c>
      <c r="J48" s="2" t="s">
        <v>497</v>
      </c>
      <c r="K48" s="3" t="s">
        <v>1540</v>
      </c>
      <c r="L48"/>
    </row>
    <row r="49" spans="2:12" s="102" customFormat="1" ht="12.75" customHeight="1" x14ac:dyDescent="0.45">
      <c r="B49" s="179"/>
      <c r="C49" s="68"/>
      <c r="E49" s="68"/>
      <c r="F49" s="13"/>
      <c r="G49" s="68" t="s">
        <v>797</v>
      </c>
      <c r="H49" s="20" t="s">
        <v>1398</v>
      </c>
      <c r="J49" s="2" t="s">
        <v>62</v>
      </c>
      <c r="K49" s="3" t="s">
        <v>1541</v>
      </c>
      <c r="L49"/>
    </row>
    <row r="50" spans="2:12" s="101" customFormat="1" ht="12.75" customHeight="1" x14ac:dyDescent="0.45">
      <c r="B50" s="385" t="s">
        <v>878</v>
      </c>
      <c r="C50" s="378" t="s">
        <v>994</v>
      </c>
      <c r="D50" s="44" t="s">
        <v>985</v>
      </c>
      <c r="E50" s="67">
        <v>2024</v>
      </c>
      <c r="F50" s="67">
        <v>152</v>
      </c>
      <c r="G50" s="180">
        <f>10000*F50/E50/35*1000/10000</f>
        <v>2.1456804065499715</v>
      </c>
      <c r="H50" s="180">
        <f t="shared" ref="H50:H59" si="5">G50/G8*100</f>
        <v>42.682211224410715</v>
      </c>
      <c r="J50" s="2" t="s">
        <v>64</v>
      </c>
      <c r="K50" s="3" t="s">
        <v>1542</v>
      </c>
      <c r="L50"/>
    </row>
    <row r="51" spans="2:12" s="101" customFormat="1" ht="12.75" customHeight="1" x14ac:dyDescent="0.45">
      <c r="B51" s="386"/>
      <c r="C51" s="379"/>
      <c r="D51" s="44" t="s">
        <v>986</v>
      </c>
      <c r="E51" s="67">
        <v>2034</v>
      </c>
      <c r="F51" s="67">
        <v>643</v>
      </c>
      <c r="G51" s="180">
        <f>10000*F51/E51/35*1000/10000</f>
        <v>9.0321674392470861</v>
      </c>
      <c r="H51" s="180">
        <f t="shared" si="5"/>
        <v>72.7807946723876</v>
      </c>
      <c r="J51" s="2" t="s">
        <v>66</v>
      </c>
      <c r="K51" s="3">
        <v>0.64229999999999998</v>
      </c>
      <c r="L51"/>
    </row>
    <row r="52" spans="2:12" s="101" customFormat="1" ht="12.75" customHeight="1" x14ac:dyDescent="0.45">
      <c r="B52" s="386"/>
      <c r="C52" s="379"/>
      <c r="D52" s="44" t="s">
        <v>987</v>
      </c>
      <c r="E52" s="67">
        <v>2035</v>
      </c>
      <c r="F52" s="67">
        <v>355</v>
      </c>
      <c r="G52" s="180">
        <f t="shared" ref="G52:G59" si="6">10000*F52/E52/35*1000/10000</f>
        <v>4.9842049842049843</v>
      </c>
      <c r="H52" s="180">
        <f t="shared" si="5"/>
        <v>54.153540043110596</v>
      </c>
      <c r="J52" s="2"/>
      <c r="K52" s="3"/>
      <c r="L52"/>
    </row>
    <row r="53" spans="2:12" s="101" customFormat="1" ht="12.75" customHeight="1" x14ac:dyDescent="0.45">
      <c r="B53" s="386"/>
      <c r="C53" s="379"/>
      <c r="D53" s="44" t="s">
        <v>988</v>
      </c>
      <c r="E53" s="67">
        <v>2032</v>
      </c>
      <c r="F53" s="67">
        <v>636</v>
      </c>
      <c r="G53" s="180">
        <f t="shared" si="6"/>
        <v>8.9426321709786283</v>
      </c>
      <c r="H53" s="180">
        <f t="shared" si="5"/>
        <v>103.15087835345298</v>
      </c>
      <c r="J53" s="2" t="s">
        <v>67</v>
      </c>
      <c r="K53" s="3"/>
      <c r="L53"/>
    </row>
    <row r="54" spans="2:12" s="101" customFormat="1" ht="12.75" customHeight="1" x14ac:dyDescent="0.45">
      <c r="B54" s="387"/>
      <c r="C54" s="380"/>
      <c r="D54" s="44" t="s">
        <v>989</v>
      </c>
      <c r="E54" s="67">
        <v>2024</v>
      </c>
      <c r="F54" s="67">
        <v>328</v>
      </c>
      <c r="G54" s="180">
        <f t="shared" si="6"/>
        <v>4.6301524562394132</v>
      </c>
      <c r="H54" s="180">
        <f t="shared" si="5"/>
        <v>63.266900836791521</v>
      </c>
      <c r="J54" s="2" t="s">
        <v>68</v>
      </c>
      <c r="K54" s="3" t="s">
        <v>1543</v>
      </c>
      <c r="L54"/>
    </row>
    <row r="55" spans="2:12" s="101" customFormat="1" ht="12.75" customHeight="1" x14ac:dyDescent="0.45">
      <c r="B55" s="385" t="s">
        <v>883</v>
      </c>
      <c r="C55" s="378" t="s">
        <v>995</v>
      </c>
      <c r="D55" s="44" t="s">
        <v>990</v>
      </c>
      <c r="E55" s="67">
        <v>2062</v>
      </c>
      <c r="F55" s="67">
        <v>253</v>
      </c>
      <c r="G55" s="180">
        <f t="shared" si="6"/>
        <v>3.5056117500346402</v>
      </c>
      <c r="H55" s="180">
        <f t="shared" si="5"/>
        <v>38.921068169985531</v>
      </c>
      <c r="J55" s="2" t="s">
        <v>47</v>
      </c>
      <c r="K55" s="3">
        <v>0.24260000000000001</v>
      </c>
      <c r="L55"/>
    </row>
    <row r="56" spans="2:12" s="101" customFormat="1" ht="12.75" customHeight="1" x14ac:dyDescent="0.45">
      <c r="B56" s="386"/>
      <c r="C56" s="379"/>
      <c r="D56" s="44" t="s">
        <v>991</v>
      </c>
      <c r="E56" s="67">
        <v>2049</v>
      </c>
      <c r="F56" s="67">
        <v>130</v>
      </c>
      <c r="G56" s="180">
        <f t="shared" si="6"/>
        <v>1.812730948894931</v>
      </c>
      <c r="H56" s="180">
        <f t="shared" si="5"/>
        <v>8.4497416177587699</v>
      </c>
      <c r="J56" s="2" t="s">
        <v>49</v>
      </c>
      <c r="K56" s="3" t="s">
        <v>203</v>
      </c>
      <c r="L56"/>
    </row>
    <row r="57" spans="2:12" s="101" customFormat="1" ht="12.75" customHeight="1" x14ac:dyDescent="0.45">
      <c r="B57" s="386"/>
      <c r="C57" s="379"/>
      <c r="D57" s="44" t="s">
        <v>1533</v>
      </c>
      <c r="E57" s="67">
        <v>2031</v>
      </c>
      <c r="F57" s="67">
        <v>187</v>
      </c>
      <c r="G57" s="180">
        <v>2.6306534430611239</v>
      </c>
      <c r="H57" s="180">
        <f t="shared" si="5"/>
        <v>31.710520825509679</v>
      </c>
      <c r="J57" s="2" t="s">
        <v>70</v>
      </c>
      <c r="K57" s="3" t="s">
        <v>204</v>
      </c>
      <c r="L57"/>
    </row>
    <row r="58" spans="2:12" s="101" customFormat="1" ht="12.75" customHeight="1" x14ac:dyDescent="0.45">
      <c r="B58" s="386"/>
      <c r="C58" s="379"/>
      <c r="D58" s="44" t="s">
        <v>992</v>
      </c>
      <c r="E58" s="67">
        <v>2088</v>
      </c>
      <c r="F58" s="67">
        <v>123</v>
      </c>
      <c r="G58" s="180">
        <f t="shared" si="6"/>
        <v>1.6830870279146144</v>
      </c>
      <c r="H58" s="180">
        <f t="shared" si="5"/>
        <v>16.976913392521382</v>
      </c>
    </row>
    <row r="59" spans="2:12" s="101" customFormat="1" ht="12.75" customHeight="1" x14ac:dyDescent="0.45">
      <c r="B59" s="387"/>
      <c r="C59" s="380"/>
      <c r="D59" s="44" t="s">
        <v>993</v>
      </c>
      <c r="E59" s="67">
        <v>2067</v>
      </c>
      <c r="F59" s="67">
        <v>113</v>
      </c>
      <c r="G59" s="180">
        <f t="shared" si="6"/>
        <v>1.5619600525260902</v>
      </c>
      <c r="H59" s="180">
        <f t="shared" si="5"/>
        <v>19.917789881271318</v>
      </c>
    </row>
    <row r="60" spans="2:12" s="101" customFormat="1" ht="12.75" customHeight="1" x14ac:dyDescent="0.45">
      <c r="C60" s="13"/>
      <c r="J60" s="2" t="s">
        <v>41</v>
      </c>
      <c r="K60" s="8" t="s">
        <v>1006</v>
      </c>
      <c r="L60"/>
    </row>
    <row r="61" spans="2:12" s="101" customFormat="1" ht="12.75" customHeight="1" x14ac:dyDescent="0.45">
      <c r="C61" s="24" t="s">
        <v>998</v>
      </c>
      <c r="J61" s="7" t="s">
        <v>43</v>
      </c>
      <c r="K61" s="8" t="s">
        <v>1004</v>
      </c>
      <c r="L61"/>
    </row>
    <row r="62" spans="2:12" s="102" customFormat="1" ht="12.75" customHeight="1" x14ac:dyDescent="0.45">
      <c r="B62" s="177"/>
      <c r="C62" s="17"/>
      <c r="D62" s="178"/>
      <c r="E62" s="17" t="s">
        <v>3</v>
      </c>
      <c r="F62" s="16" t="s">
        <v>877</v>
      </c>
      <c r="G62" s="17" t="s">
        <v>896</v>
      </c>
      <c r="H62" s="17" t="s">
        <v>907</v>
      </c>
      <c r="J62" s="7" t="s">
        <v>44</v>
      </c>
      <c r="K62" s="8" t="s">
        <v>44</v>
      </c>
      <c r="L62"/>
    </row>
    <row r="63" spans="2:12" s="102" customFormat="1" ht="12.75" customHeight="1" x14ac:dyDescent="0.45">
      <c r="B63" s="179"/>
      <c r="C63" s="68"/>
      <c r="E63" s="68"/>
      <c r="F63" s="13"/>
      <c r="G63" s="68" t="s">
        <v>797</v>
      </c>
      <c r="H63" s="20" t="s">
        <v>1398</v>
      </c>
      <c r="J63" s="7" t="s">
        <v>45</v>
      </c>
      <c r="K63" s="8" t="s">
        <v>1005</v>
      </c>
      <c r="L63"/>
    </row>
    <row r="64" spans="2:12" s="101" customFormat="1" ht="12.75" customHeight="1" x14ac:dyDescent="0.45">
      <c r="B64" s="385" t="s">
        <v>878</v>
      </c>
      <c r="C64" s="378" t="s">
        <v>994</v>
      </c>
      <c r="D64" s="44" t="s">
        <v>985</v>
      </c>
      <c r="E64" s="67">
        <v>2028</v>
      </c>
      <c r="F64" s="67">
        <v>160</v>
      </c>
      <c r="G64" s="180">
        <f>10000*F64/E64/35*1000/10000</f>
        <v>2.2541561003099466</v>
      </c>
      <c r="H64" s="180">
        <f t="shared" ref="H64:H73" si="7">G64/G8*100</f>
        <v>44.840026740479239</v>
      </c>
      <c r="J64" s="2"/>
      <c r="K64" s="3"/>
      <c r="L64"/>
    </row>
    <row r="65" spans="2:12" s="101" customFormat="1" ht="12.75" customHeight="1" x14ac:dyDescent="0.45">
      <c r="B65" s="386"/>
      <c r="C65" s="379"/>
      <c r="D65" s="44" t="s">
        <v>986</v>
      </c>
      <c r="E65" s="67">
        <v>2055</v>
      </c>
      <c r="F65" s="67">
        <v>356</v>
      </c>
      <c r="G65" s="180">
        <f t="shared" ref="G65:G73" si="8">10000*F65/E65/35*1000/10000</f>
        <v>4.9496002780674306</v>
      </c>
      <c r="H65" s="180">
        <f t="shared" si="7"/>
        <v>39.883654058836541</v>
      </c>
      <c r="J65" s="2" t="s">
        <v>46</v>
      </c>
      <c r="K65" s="3"/>
      <c r="L65"/>
    </row>
    <row r="66" spans="2:12" s="101" customFormat="1" ht="12.75" customHeight="1" x14ac:dyDescent="0.45">
      <c r="B66" s="386"/>
      <c r="C66" s="379"/>
      <c r="D66" s="44" t="s">
        <v>987</v>
      </c>
      <c r="E66" s="67">
        <v>2034</v>
      </c>
      <c r="F66" s="67">
        <v>208</v>
      </c>
      <c r="G66" s="180">
        <f t="shared" si="8"/>
        <v>2.9217586739710635</v>
      </c>
      <c r="H66" s="180">
        <f t="shared" si="7"/>
        <v>31.744997617194809</v>
      </c>
      <c r="J66" s="7" t="s">
        <v>47</v>
      </c>
      <c r="K66" s="8">
        <v>1.5E-3</v>
      </c>
      <c r="L66"/>
    </row>
    <row r="67" spans="2:12" s="101" customFormat="1" ht="12.75" customHeight="1" x14ac:dyDescent="0.45">
      <c r="B67" s="386"/>
      <c r="C67" s="379"/>
      <c r="D67" s="44" t="s">
        <v>988</v>
      </c>
      <c r="E67" s="67">
        <v>2030</v>
      </c>
      <c r="F67" s="67">
        <v>373</v>
      </c>
      <c r="G67" s="180">
        <f t="shared" si="8"/>
        <v>5.2498240675580581</v>
      </c>
      <c r="H67" s="180">
        <f t="shared" si="7"/>
        <v>60.555321231606676</v>
      </c>
      <c r="J67" s="7" t="s">
        <v>49</v>
      </c>
      <c r="K67" s="8" t="s">
        <v>146</v>
      </c>
      <c r="L67"/>
    </row>
    <row r="68" spans="2:12" s="101" customFormat="1" ht="12.75" customHeight="1" x14ac:dyDescent="0.45">
      <c r="B68" s="387"/>
      <c r="C68" s="380"/>
      <c r="D68" s="44" t="s">
        <v>989</v>
      </c>
      <c r="E68" s="67">
        <v>2030</v>
      </c>
      <c r="F68" s="67">
        <v>237</v>
      </c>
      <c r="G68" s="180">
        <f t="shared" si="8"/>
        <v>3.3356790992258976</v>
      </c>
      <c r="H68" s="180">
        <f t="shared" si="7"/>
        <v>45.579077749307416</v>
      </c>
      <c r="J68" s="2" t="s">
        <v>51</v>
      </c>
      <c r="K68" s="3" t="s">
        <v>52</v>
      </c>
      <c r="L68"/>
    </row>
    <row r="69" spans="2:12" s="101" customFormat="1" ht="12.75" customHeight="1" x14ac:dyDescent="0.45">
      <c r="B69" s="385" t="s">
        <v>883</v>
      </c>
      <c r="C69" s="378" t="s">
        <v>995</v>
      </c>
      <c r="D69" s="44" t="s">
        <v>990</v>
      </c>
      <c r="E69" s="67">
        <v>2077</v>
      </c>
      <c r="F69" s="67">
        <v>138</v>
      </c>
      <c r="G69" s="180">
        <f t="shared" si="8"/>
        <v>1.898342389435312</v>
      </c>
      <c r="H69" s="180">
        <f t="shared" si="7"/>
        <v>21.076353805710209</v>
      </c>
      <c r="J69" s="2" t="s">
        <v>53</v>
      </c>
      <c r="K69" s="3" t="s">
        <v>54</v>
      </c>
      <c r="L69"/>
    </row>
    <row r="70" spans="2:12" s="101" customFormat="1" ht="12.75" customHeight="1" x14ac:dyDescent="0.45">
      <c r="B70" s="386"/>
      <c r="C70" s="379"/>
      <c r="D70" s="44" t="s">
        <v>991</v>
      </c>
      <c r="E70" s="67">
        <v>2036</v>
      </c>
      <c r="F70" s="67">
        <v>85</v>
      </c>
      <c r="G70" s="180">
        <f t="shared" si="8"/>
        <v>1.1928150435026663</v>
      </c>
      <c r="H70" s="180">
        <f t="shared" si="7"/>
        <v>5.5601074839691567</v>
      </c>
      <c r="J70" s="2" t="s">
        <v>55</v>
      </c>
      <c r="K70" s="3" t="s">
        <v>1544</v>
      </c>
      <c r="L70"/>
    </row>
    <row r="71" spans="2:12" s="101" customFormat="1" ht="12.75" customHeight="1" x14ac:dyDescent="0.45">
      <c r="B71" s="386"/>
      <c r="C71" s="379"/>
      <c r="D71" s="44" t="s">
        <v>1533</v>
      </c>
      <c r="E71" s="67">
        <v>2038</v>
      </c>
      <c r="F71" s="67">
        <v>132</v>
      </c>
      <c r="G71" s="180">
        <v>1.8505537641945884</v>
      </c>
      <c r="H71" s="180">
        <f t="shared" si="7"/>
        <v>22.30701418805409</v>
      </c>
      <c r="J71" s="2"/>
      <c r="K71" s="3"/>
      <c r="L71"/>
    </row>
    <row r="72" spans="2:12" s="101" customFormat="1" ht="12.75" customHeight="1" x14ac:dyDescent="0.45">
      <c r="B72" s="386"/>
      <c r="C72" s="379"/>
      <c r="D72" s="44" t="s">
        <v>992</v>
      </c>
      <c r="E72" s="67">
        <v>2061</v>
      </c>
      <c r="F72" s="67">
        <v>130</v>
      </c>
      <c r="G72" s="180">
        <f t="shared" si="8"/>
        <v>1.8021764746655575</v>
      </c>
      <c r="H72" s="180">
        <f t="shared" si="7"/>
        <v>18.178141368212618</v>
      </c>
      <c r="J72" s="2" t="s">
        <v>57</v>
      </c>
      <c r="K72" s="3"/>
      <c r="L72"/>
    </row>
    <row r="73" spans="2:12" s="101" customFormat="1" ht="12.75" customHeight="1" x14ac:dyDescent="0.45">
      <c r="B73" s="387"/>
      <c r="C73" s="380"/>
      <c r="D73" s="44" t="s">
        <v>993</v>
      </c>
      <c r="E73" s="67">
        <v>2045</v>
      </c>
      <c r="F73" s="67">
        <v>124</v>
      </c>
      <c r="G73" s="180">
        <f t="shared" si="8"/>
        <v>1.7324484806147398</v>
      </c>
      <c r="H73" s="180">
        <f t="shared" si="7"/>
        <v>22.091822874218963</v>
      </c>
      <c r="J73" s="2" t="s">
        <v>157</v>
      </c>
      <c r="K73" s="3" t="s">
        <v>1545</v>
      </c>
      <c r="L73"/>
    </row>
    <row r="74" spans="2:12" s="101" customFormat="1" ht="12.75" customHeight="1" x14ac:dyDescent="0.45">
      <c r="C74" s="13"/>
      <c r="J74" s="2" t="s">
        <v>60</v>
      </c>
      <c r="K74" s="3" t="s">
        <v>1546</v>
      </c>
      <c r="L74"/>
    </row>
    <row r="75" spans="2:12" s="101" customFormat="1" ht="12.75" customHeight="1" x14ac:dyDescent="0.45">
      <c r="C75" s="13"/>
      <c r="J75" s="2" t="s">
        <v>62</v>
      </c>
      <c r="K75" s="3" t="s">
        <v>1547</v>
      </c>
      <c r="L75"/>
    </row>
    <row r="76" spans="2:12" s="101" customFormat="1" ht="12.75" customHeight="1" x14ac:dyDescent="0.45">
      <c r="C76" s="13"/>
      <c r="J76" s="2" t="s">
        <v>64</v>
      </c>
      <c r="K76" s="3" t="s">
        <v>1548</v>
      </c>
      <c r="L76"/>
    </row>
    <row r="77" spans="2:12" s="101" customFormat="1" ht="12.75" customHeight="1" x14ac:dyDescent="0.45">
      <c r="C77" s="13"/>
      <c r="J77" s="2" t="s">
        <v>66</v>
      </c>
      <c r="K77" s="3">
        <v>0.73460000000000003</v>
      </c>
      <c r="L77"/>
    </row>
    <row r="78" spans="2:12" s="101" customFormat="1" ht="12.75" customHeight="1" x14ac:dyDescent="0.45">
      <c r="C78" s="13"/>
      <c r="J78" s="2"/>
      <c r="K78" s="3"/>
      <c r="L78"/>
    </row>
    <row r="79" spans="2:12" s="101" customFormat="1" ht="12.75" customHeight="1" x14ac:dyDescent="0.45">
      <c r="C79" s="13"/>
      <c r="J79" s="2" t="s">
        <v>67</v>
      </c>
      <c r="K79" s="3"/>
      <c r="L79"/>
    </row>
    <row r="80" spans="2:12" s="101" customFormat="1" ht="12.75" customHeight="1" x14ac:dyDescent="0.45">
      <c r="C80" s="13"/>
      <c r="J80" s="2" t="s">
        <v>68</v>
      </c>
      <c r="K80" s="3" t="s">
        <v>1549</v>
      </c>
      <c r="L80"/>
    </row>
    <row r="81" spans="3:12" s="101" customFormat="1" ht="12.75" customHeight="1" x14ac:dyDescent="0.45">
      <c r="C81" s="13"/>
      <c r="J81" s="2" t="s">
        <v>47</v>
      </c>
      <c r="K81" s="3">
        <v>0.4582</v>
      </c>
      <c r="L81"/>
    </row>
    <row r="82" spans="3:12" s="101" customFormat="1" ht="12.75" customHeight="1" x14ac:dyDescent="0.45">
      <c r="C82" s="13"/>
      <c r="J82" s="2" t="s">
        <v>49</v>
      </c>
      <c r="K82" s="3" t="s">
        <v>203</v>
      </c>
      <c r="L82"/>
    </row>
    <row r="83" spans="3:12" s="101" customFormat="1" ht="12.75" customHeight="1" x14ac:dyDescent="0.45">
      <c r="C83" s="13"/>
      <c r="J83" s="2" t="s">
        <v>70</v>
      </c>
      <c r="K83" s="3" t="s">
        <v>204</v>
      </c>
      <c r="L83"/>
    </row>
    <row r="84" spans="3:12" s="101" customFormat="1" ht="12.75" customHeight="1" x14ac:dyDescent="0.45">
      <c r="C84" s="13"/>
    </row>
    <row r="85" spans="3:12" s="101" customFormat="1" ht="12.75" customHeight="1" x14ac:dyDescent="0.45">
      <c r="C85" s="13"/>
    </row>
    <row r="86" spans="3:12" s="101" customFormat="1" ht="12.75" customHeight="1" x14ac:dyDescent="0.45">
      <c r="C86" s="13"/>
    </row>
    <row r="87" spans="3:12" s="101" customFormat="1" ht="12.75" customHeight="1" x14ac:dyDescent="0.45">
      <c r="C87" s="13"/>
    </row>
    <row r="88" spans="3:12" s="101" customFormat="1" ht="12.75" customHeight="1" x14ac:dyDescent="0.45">
      <c r="C88" s="13"/>
    </row>
    <row r="89" spans="3:12" s="101" customFormat="1" ht="12.75" customHeight="1" x14ac:dyDescent="0.45">
      <c r="C89" s="13"/>
    </row>
    <row r="90" spans="3:12" s="101" customFormat="1" ht="12.75" customHeight="1" x14ac:dyDescent="0.45">
      <c r="C90" s="13"/>
    </row>
    <row r="91" spans="3:12" s="101" customFormat="1" ht="13" x14ac:dyDescent="0.45">
      <c r="C91" s="13"/>
    </row>
  </sheetData>
  <mergeCells count="20">
    <mergeCell ref="B22:B26"/>
    <mergeCell ref="C22:C26"/>
    <mergeCell ref="B27:B31"/>
    <mergeCell ref="C27:C31"/>
    <mergeCell ref="B8:B12"/>
    <mergeCell ref="C8:C12"/>
    <mergeCell ref="B13:B17"/>
    <mergeCell ref="C13:C17"/>
    <mergeCell ref="B69:B73"/>
    <mergeCell ref="C69:C73"/>
    <mergeCell ref="B36:B40"/>
    <mergeCell ref="C36:C40"/>
    <mergeCell ref="B41:B45"/>
    <mergeCell ref="C41:C45"/>
    <mergeCell ref="B50:B54"/>
    <mergeCell ref="C50:C54"/>
    <mergeCell ref="B55:B59"/>
    <mergeCell ref="C55:C59"/>
    <mergeCell ref="B64:B68"/>
    <mergeCell ref="C64:C68"/>
  </mergeCells>
  <phoneticPr fontId="3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C1A2-7D5B-42FD-A16F-B4DD10E7B6F9}">
  <dimension ref="B2:R189"/>
  <sheetViews>
    <sheetView zoomScale="90" zoomScaleNormal="90" workbookViewId="0">
      <selection activeCell="B27" sqref="B27:B36"/>
    </sheetView>
  </sheetViews>
  <sheetFormatPr defaultColWidth="9" defaultRowHeight="14" x14ac:dyDescent="0.3"/>
  <cols>
    <col min="1" max="1" width="6.75" style="25" customWidth="1"/>
    <col min="2" max="2" width="9.5" style="25" customWidth="1"/>
    <col min="3" max="3" width="13.08203125" style="25" customWidth="1"/>
    <col min="4" max="4" width="8" style="80" customWidth="1"/>
    <col min="5" max="5" width="9.33203125" style="81" customWidth="1"/>
    <col min="6" max="6" width="6.75" style="82" customWidth="1"/>
    <col min="7" max="7" width="14.58203125" style="82" customWidth="1"/>
    <col min="8" max="8" width="7" style="82" customWidth="1"/>
    <col min="9" max="9" width="14.5" style="25" customWidth="1"/>
    <col min="10" max="10" width="6.08203125" style="25" customWidth="1"/>
    <col min="11" max="11" width="18" style="25" customWidth="1"/>
    <col min="12" max="12" width="6.33203125" style="25" customWidth="1"/>
    <col min="13" max="13" width="9.58203125" style="25" customWidth="1"/>
    <col min="14" max="14" width="10.58203125" style="38" customWidth="1"/>
    <col min="15" max="15" width="9" style="25"/>
    <col min="16" max="16" width="30.33203125" style="25" customWidth="1"/>
    <col min="17" max="17" width="33.08203125" style="25" customWidth="1"/>
    <col min="18" max="16384" width="9" style="25"/>
  </cols>
  <sheetData>
    <row r="2" spans="2:18" s="95" customFormat="1" ht="13" x14ac:dyDescent="0.3">
      <c r="D2" s="100" t="s">
        <v>950</v>
      </c>
      <c r="E2" s="96"/>
      <c r="F2" s="101"/>
      <c r="G2" s="101"/>
      <c r="N2" s="99"/>
    </row>
    <row r="3" spans="2:18" s="95" customFormat="1" ht="13" x14ac:dyDescent="0.3">
      <c r="E3" s="96"/>
      <c r="F3" s="101"/>
      <c r="G3" s="101"/>
      <c r="N3" s="99"/>
    </row>
    <row r="4" spans="2:18" s="13" customFormat="1" ht="15" customHeight="1" x14ac:dyDescent="0.45">
      <c r="B4" s="58"/>
      <c r="C4" s="58"/>
      <c r="D4" s="58" t="s">
        <v>961</v>
      </c>
      <c r="E4" s="58" t="s">
        <v>951</v>
      </c>
      <c r="F4" s="383" t="s">
        <v>952</v>
      </c>
      <c r="G4" s="383"/>
      <c r="H4" s="383" t="s">
        <v>953</v>
      </c>
      <c r="I4" s="383"/>
      <c r="J4" s="383" t="s">
        <v>954</v>
      </c>
      <c r="K4" s="383"/>
      <c r="L4" s="383" t="s">
        <v>955</v>
      </c>
      <c r="M4" s="383"/>
      <c r="N4" s="175" t="s">
        <v>958</v>
      </c>
    </row>
    <row r="5" spans="2:18" s="13" customFormat="1" ht="29.25" customHeight="1" x14ac:dyDescent="0.3">
      <c r="B5" s="384"/>
      <c r="C5" s="384"/>
      <c r="D5" s="384"/>
      <c r="E5" s="384"/>
      <c r="F5" s="384" t="s">
        <v>959</v>
      </c>
      <c r="G5" s="384"/>
      <c r="H5" s="384" t="s">
        <v>960</v>
      </c>
      <c r="I5" s="384"/>
      <c r="J5" s="384" t="s">
        <v>956</v>
      </c>
      <c r="K5" s="384"/>
      <c r="L5" s="384" t="s">
        <v>957</v>
      </c>
      <c r="M5" s="384"/>
      <c r="N5" s="354"/>
      <c r="P5" s="103" t="s">
        <v>71</v>
      </c>
    </row>
    <row r="6" spans="2:18" s="13" customFormat="1" ht="29.25" customHeight="1" x14ac:dyDescent="0.45"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54"/>
      <c r="R6" s="250"/>
    </row>
    <row r="7" spans="2:18" s="101" customFormat="1" ht="12.75" customHeight="1" x14ac:dyDescent="0.45">
      <c r="B7" s="382" t="s">
        <v>962</v>
      </c>
      <c r="C7" s="367" t="s">
        <v>1311</v>
      </c>
      <c r="D7" s="58" t="s">
        <v>1007</v>
      </c>
      <c r="E7" s="40">
        <v>21.22</v>
      </c>
      <c r="F7" s="172">
        <v>0</v>
      </c>
      <c r="G7" s="40"/>
      <c r="H7" s="172">
        <v>0</v>
      </c>
      <c r="I7" s="173"/>
      <c r="J7" s="172">
        <v>0</v>
      </c>
      <c r="K7" s="174"/>
      <c r="L7" s="172">
        <v>0</v>
      </c>
      <c r="M7" s="174"/>
      <c r="N7" s="176">
        <v>0</v>
      </c>
      <c r="P7" s="2" t="s">
        <v>41</v>
      </c>
      <c r="Q7" s="8" t="s">
        <v>1017</v>
      </c>
      <c r="R7" s="250"/>
    </row>
    <row r="8" spans="2:18" s="101" customFormat="1" ht="12.75" customHeight="1" x14ac:dyDescent="0.45">
      <c r="B8" s="379"/>
      <c r="C8" s="367"/>
      <c r="D8" s="58" t="s">
        <v>1008</v>
      </c>
      <c r="E8" s="40">
        <v>21.59</v>
      </c>
      <c r="F8" s="172">
        <v>0</v>
      </c>
      <c r="G8" s="40"/>
      <c r="H8" s="172">
        <v>0</v>
      </c>
      <c r="I8" s="173"/>
      <c r="J8" s="172">
        <v>0</v>
      </c>
      <c r="K8" s="174"/>
      <c r="L8" s="172">
        <v>0</v>
      </c>
      <c r="M8" s="174"/>
      <c r="N8" s="176">
        <v>0</v>
      </c>
      <c r="P8" s="7" t="s">
        <v>43</v>
      </c>
      <c r="Q8" s="8" t="s">
        <v>1004</v>
      </c>
      <c r="R8" s="250"/>
    </row>
    <row r="9" spans="2:18" s="101" customFormat="1" ht="12.75" customHeight="1" x14ac:dyDescent="0.45">
      <c r="B9" s="379"/>
      <c r="C9" s="367"/>
      <c r="D9" s="58" t="s">
        <v>1009</v>
      </c>
      <c r="E9" s="40">
        <v>21.36</v>
      </c>
      <c r="F9" s="172">
        <v>0</v>
      </c>
      <c r="G9" s="40"/>
      <c r="H9" s="172">
        <v>0</v>
      </c>
      <c r="I9" s="173"/>
      <c r="J9" s="172">
        <v>0</v>
      </c>
      <c r="K9" s="174"/>
      <c r="L9" s="172">
        <v>0</v>
      </c>
      <c r="M9" s="174"/>
      <c r="N9" s="176">
        <v>0</v>
      </c>
      <c r="P9" s="7" t="s">
        <v>44</v>
      </c>
      <c r="Q9" s="8" t="s">
        <v>44</v>
      </c>
      <c r="R9" s="250"/>
    </row>
    <row r="10" spans="2:18" s="101" customFormat="1" ht="12.75" customHeight="1" x14ac:dyDescent="0.45">
      <c r="B10" s="379"/>
      <c r="C10" s="367"/>
      <c r="D10" s="58" t="s">
        <v>988</v>
      </c>
      <c r="E10" s="40">
        <v>21.1</v>
      </c>
      <c r="F10" s="172">
        <v>0</v>
      </c>
      <c r="G10" s="40"/>
      <c r="H10" s="172">
        <v>0</v>
      </c>
      <c r="I10" s="173"/>
      <c r="J10" s="172">
        <v>0</v>
      </c>
      <c r="K10" s="174"/>
      <c r="L10" s="172">
        <v>0</v>
      </c>
      <c r="M10" s="174"/>
      <c r="N10" s="176">
        <v>0</v>
      </c>
      <c r="P10" s="7" t="s">
        <v>1003</v>
      </c>
      <c r="Q10" s="8" t="s">
        <v>1005</v>
      </c>
      <c r="R10" s="250"/>
    </row>
    <row r="11" spans="2:18" s="101" customFormat="1" ht="12.75" customHeight="1" x14ac:dyDescent="0.45">
      <c r="B11" s="379"/>
      <c r="C11" s="367"/>
      <c r="D11" s="58" t="s">
        <v>1010</v>
      </c>
      <c r="E11" s="40">
        <v>20.440000000000001</v>
      </c>
      <c r="F11" s="172">
        <v>0</v>
      </c>
      <c r="G11" s="40"/>
      <c r="H11" s="172">
        <v>0</v>
      </c>
      <c r="I11" s="173"/>
      <c r="J11" s="172">
        <v>0</v>
      </c>
      <c r="K11" s="174"/>
      <c r="L11" s="172">
        <v>0</v>
      </c>
      <c r="M11" s="174"/>
      <c r="N11" s="176">
        <v>0</v>
      </c>
      <c r="P11" s="2"/>
      <c r="Q11" s="3"/>
      <c r="R11" s="250"/>
    </row>
    <row r="12" spans="2:18" s="95" customFormat="1" ht="12.75" customHeight="1" x14ac:dyDescent="0.45">
      <c r="B12" s="379"/>
      <c r="C12" s="367" t="s">
        <v>1399</v>
      </c>
      <c r="D12" s="58" t="s">
        <v>1011</v>
      </c>
      <c r="E12" s="40">
        <v>20.49</v>
      </c>
      <c r="F12" s="172">
        <v>0</v>
      </c>
      <c r="G12" s="40"/>
      <c r="H12" s="172">
        <v>0</v>
      </c>
      <c r="I12" s="173"/>
      <c r="J12" s="172">
        <v>0</v>
      </c>
      <c r="K12" s="174"/>
      <c r="L12" s="172">
        <v>0</v>
      </c>
      <c r="M12" s="174"/>
      <c r="N12" s="176">
        <v>0</v>
      </c>
      <c r="P12" s="2" t="s">
        <v>46</v>
      </c>
      <c r="Q12" s="3"/>
      <c r="R12" s="250"/>
    </row>
    <row r="13" spans="2:18" s="95" customFormat="1" ht="12.75" customHeight="1" x14ac:dyDescent="0.45">
      <c r="B13" s="379"/>
      <c r="C13" s="367"/>
      <c r="D13" s="58" t="s">
        <v>1012</v>
      </c>
      <c r="E13" s="40">
        <v>21.71</v>
      </c>
      <c r="F13" s="172">
        <v>0</v>
      </c>
      <c r="G13" s="40"/>
      <c r="H13" s="172">
        <v>0</v>
      </c>
      <c r="I13" s="173"/>
      <c r="J13" s="172">
        <v>0</v>
      </c>
      <c r="K13" s="174"/>
      <c r="L13" s="172">
        <v>0</v>
      </c>
      <c r="M13" s="174"/>
      <c r="N13" s="176">
        <v>0</v>
      </c>
      <c r="P13" s="7" t="s">
        <v>47</v>
      </c>
      <c r="Q13" s="8">
        <v>3.5499999999999997E-2</v>
      </c>
      <c r="R13" s="250"/>
    </row>
    <row r="14" spans="2:18" s="95" customFormat="1" ht="12.75" customHeight="1" x14ac:dyDescent="0.45">
      <c r="B14" s="379"/>
      <c r="C14" s="367"/>
      <c r="D14" s="58" t="s">
        <v>1013</v>
      </c>
      <c r="E14" s="40">
        <v>21.75</v>
      </c>
      <c r="F14" s="172">
        <v>0</v>
      </c>
      <c r="G14" s="40"/>
      <c r="H14" s="172">
        <v>0</v>
      </c>
      <c r="I14" s="173"/>
      <c r="J14" s="172">
        <v>0</v>
      </c>
      <c r="K14" s="174"/>
      <c r="L14" s="172">
        <v>0</v>
      </c>
      <c r="M14" s="174"/>
      <c r="N14" s="176">
        <v>0</v>
      </c>
      <c r="P14" s="7" t="s">
        <v>49</v>
      </c>
      <c r="Q14" s="8" t="s">
        <v>332</v>
      </c>
      <c r="R14" s="250"/>
    </row>
    <row r="15" spans="2:18" s="95" customFormat="1" ht="12.75" customHeight="1" x14ac:dyDescent="0.45">
      <c r="B15" s="379"/>
      <c r="C15" s="367"/>
      <c r="D15" s="58" t="s">
        <v>1014</v>
      </c>
      <c r="E15" s="40">
        <v>19.7</v>
      </c>
      <c r="F15" s="172">
        <v>0</v>
      </c>
      <c r="G15" s="40"/>
      <c r="H15" s="172">
        <v>0</v>
      </c>
      <c r="I15" s="173"/>
      <c r="J15" s="172">
        <v>0</v>
      </c>
      <c r="K15" s="174"/>
      <c r="L15" s="172">
        <v>0</v>
      </c>
      <c r="M15" s="174"/>
      <c r="N15" s="176">
        <v>0</v>
      </c>
      <c r="P15" s="2" t="s">
        <v>51</v>
      </c>
      <c r="Q15" s="3" t="s">
        <v>52</v>
      </c>
      <c r="R15" s="250"/>
    </row>
    <row r="16" spans="2:18" s="95" customFormat="1" ht="12.75" customHeight="1" x14ac:dyDescent="0.45">
      <c r="B16" s="380"/>
      <c r="C16" s="367"/>
      <c r="D16" s="58" t="s">
        <v>993</v>
      </c>
      <c r="E16" s="40">
        <v>22.12</v>
      </c>
      <c r="F16" s="172">
        <v>0</v>
      </c>
      <c r="G16" s="40"/>
      <c r="H16" s="172">
        <v>0</v>
      </c>
      <c r="I16" s="173"/>
      <c r="J16" s="172">
        <v>0</v>
      </c>
      <c r="K16" s="174"/>
      <c r="L16" s="172">
        <v>0</v>
      </c>
      <c r="M16" s="174"/>
      <c r="N16" s="176">
        <v>0</v>
      </c>
      <c r="P16" s="2" t="s">
        <v>53</v>
      </c>
      <c r="Q16" s="3" t="s">
        <v>54</v>
      </c>
      <c r="R16" s="250"/>
    </row>
    <row r="17" spans="2:18" s="101" customFormat="1" ht="12.75" customHeight="1" x14ac:dyDescent="0.45">
      <c r="B17" s="382" t="s">
        <v>963</v>
      </c>
      <c r="C17" s="367" t="s">
        <v>1311</v>
      </c>
      <c r="D17" s="58" t="s">
        <v>1007</v>
      </c>
      <c r="E17" s="40">
        <v>20.399999999999999</v>
      </c>
      <c r="F17" s="172">
        <v>0</v>
      </c>
      <c r="G17" s="40"/>
      <c r="H17" s="172">
        <v>0</v>
      </c>
      <c r="I17" s="173"/>
      <c r="J17" s="172">
        <v>0</v>
      </c>
      <c r="K17" s="174"/>
      <c r="L17" s="172">
        <v>0</v>
      </c>
      <c r="M17" s="174"/>
      <c r="N17" s="176">
        <v>0</v>
      </c>
      <c r="P17" s="2" t="s">
        <v>55</v>
      </c>
      <c r="Q17" s="3" t="s">
        <v>1037</v>
      </c>
      <c r="R17" s="250"/>
    </row>
    <row r="18" spans="2:18" s="101" customFormat="1" ht="12.75" customHeight="1" x14ac:dyDescent="0.45">
      <c r="B18" s="379"/>
      <c r="C18" s="367"/>
      <c r="D18" s="58" t="s">
        <v>1008</v>
      </c>
      <c r="E18" s="40">
        <v>19.670000000000002</v>
      </c>
      <c r="F18" s="172">
        <v>0</v>
      </c>
      <c r="G18" s="40"/>
      <c r="H18" s="172">
        <v>0</v>
      </c>
      <c r="I18" s="173"/>
      <c r="J18" s="172">
        <v>0</v>
      </c>
      <c r="K18" s="174"/>
      <c r="L18" s="172">
        <v>0</v>
      </c>
      <c r="M18" s="174"/>
      <c r="N18" s="176">
        <v>0</v>
      </c>
      <c r="P18" s="2"/>
      <c r="Q18" s="3"/>
      <c r="R18" s="250"/>
    </row>
    <row r="19" spans="2:18" s="101" customFormat="1" ht="12.75" customHeight="1" x14ac:dyDescent="0.45">
      <c r="B19" s="379"/>
      <c r="C19" s="367"/>
      <c r="D19" s="58" t="s">
        <v>1009</v>
      </c>
      <c r="E19" s="40">
        <v>20.39</v>
      </c>
      <c r="F19" s="172">
        <v>0</v>
      </c>
      <c r="G19" s="40"/>
      <c r="H19" s="172">
        <v>0</v>
      </c>
      <c r="I19" s="173"/>
      <c r="J19" s="172">
        <v>0</v>
      </c>
      <c r="K19" s="174"/>
      <c r="L19" s="172">
        <v>0</v>
      </c>
      <c r="M19" s="174"/>
      <c r="N19" s="176">
        <v>0</v>
      </c>
      <c r="P19" s="2" t="s">
        <v>57</v>
      </c>
      <c r="Q19" s="3"/>
      <c r="R19" s="250"/>
    </row>
    <row r="20" spans="2:18" s="101" customFormat="1" ht="12.75" customHeight="1" x14ac:dyDescent="0.45">
      <c r="B20" s="379"/>
      <c r="C20" s="367"/>
      <c r="D20" s="58" t="s">
        <v>988</v>
      </c>
      <c r="E20" s="40">
        <v>19.420000000000002</v>
      </c>
      <c r="F20" s="172">
        <v>0</v>
      </c>
      <c r="G20" s="40"/>
      <c r="H20" s="172">
        <v>0</v>
      </c>
      <c r="I20" s="173"/>
      <c r="J20" s="172">
        <v>0</v>
      </c>
      <c r="K20" s="174"/>
      <c r="L20" s="172">
        <v>0</v>
      </c>
      <c r="M20" s="174"/>
      <c r="N20" s="176">
        <v>0</v>
      </c>
      <c r="P20" s="2" t="s">
        <v>247</v>
      </c>
      <c r="Q20" s="3" t="s">
        <v>1038</v>
      </c>
      <c r="R20" s="250"/>
    </row>
    <row r="21" spans="2:18" s="101" customFormat="1" ht="12.75" customHeight="1" x14ac:dyDescent="0.45">
      <c r="B21" s="379"/>
      <c r="C21" s="367"/>
      <c r="D21" s="58" t="s">
        <v>1010</v>
      </c>
      <c r="E21" s="40">
        <v>20.71</v>
      </c>
      <c r="F21" s="172">
        <v>0</v>
      </c>
      <c r="G21" s="40"/>
      <c r="H21" s="172">
        <v>0</v>
      </c>
      <c r="I21" s="173"/>
      <c r="J21" s="172">
        <v>0</v>
      </c>
      <c r="K21" s="174"/>
      <c r="L21" s="172">
        <v>0</v>
      </c>
      <c r="M21" s="174"/>
      <c r="N21" s="176">
        <v>0</v>
      </c>
      <c r="P21" s="2" t="s">
        <v>327</v>
      </c>
      <c r="Q21" s="183"/>
      <c r="R21" s="250"/>
    </row>
    <row r="22" spans="2:18" s="95" customFormat="1" ht="12.75" customHeight="1" x14ac:dyDescent="0.45">
      <c r="B22" s="379"/>
      <c r="C22" s="367" t="s">
        <v>1399</v>
      </c>
      <c r="D22" s="58" t="s">
        <v>1011</v>
      </c>
      <c r="E22" s="40">
        <v>19.97</v>
      </c>
      <c r="F22" s="172">
        <v>0</v>
      </c>
      <c r="G22" s="40"/>
      <c r="H22" s="172">
        <v>0</v>
      </c>
      <c r="I22" s="173"/>
      <c r="J22" s="172">
        <v>0</v>
      </c>
      <c r="K22" s="174"/>
      <c r="L22" s="172">
        <v>0</v>
      </c>
      <c r="M22" s="174"/>
      <c r="N22" s="176">
        <v>0</v>
      </c>
      <c r="P22" s="2" t="s">
        <v>62</v>
      </c>
      <c r="Q22" s="3" t="s">
        <v>1039</v>
      </c>
      <c r="R22" s="250"/>
    </row>
    <row r="23" spans="2:18" s="95" customFormat="1" ht="12.75" customHeight="1" x14ac:dyDescent="0.45">
      <c r="B23" s="379"/>
      <c r="C23" s="367"/>
      <c r="D23" s="58" t="s">
        <v>1012</v>
      </c>
      <c r="E23" s="40">
        <v>20.82</v>
      </c>
      <c r="F23" s="172">
        <v>0</v>
      </c>
      <c r="G23" s="40"/>
      <c r="H23" s="172">
        <v>0</v>
      </c>
      <c r="I23" s="173"/>
      <c r="J23" s="172">
        <v>0</v>
      </c>
      <c r="K23" s="174"/>
      <c r="L23" s="172">
        <v>0</v>
      </c>
      <c r="M23" s="174"/>
      <c r="N23" s="176">
        <v>0</v>
      </c>
      <c r="P23" s="2" t="s">
        <v>64</v>
      </c>
      <c r="Q23" s="3" t="s">
        <v>1040</v>
      </c>
      <c r="R23" s="250"/>
    </row>
    <row r="24" spans="2:18" s="95" customFormat="1" ht="12.75" customHeight="1" x14ac:dyDescent="0.45">
      <c r="B24" s="379"/>
      <c r="C24" s="367"/>
      <c r="D24" s="58" t="s">
        <v>1013</v>
      </c>
      <c r="E24" s="40">
        <v>21.46</v>
      </c>
      <c r="F24" s="172">
        <v>0</v>
      </c>
      <c r="G24" s="40"/>
      <c r="H24" s="172">
        <v>0</v>
      </c>
      <c r="I24" s="173"/>
      <c r="J24" s="172">
        <v>0</v>
      </c>
      <c r="K24" s="174"/>
      <c r="L24" s="172">
        <v>0</v>
      </c>
      <c r="M24" s="174"/>
      <c r="N24" s="176">
        <v>0</v>
      </c>
      <c r="P24" s="2" t="s">
        <v>66</v>
      </c>
      <c r="Q24" s="3">
        <v>0.44359999999999999</v>
      </c>
      <c r="R24" s="250"/>
    </row>
    <row r="25" spans="2:18" s="95" customFormat="1" ht="12.75" customHeight="1" x14ac:dyDescent="0.45">
      <c r="B25" s="379"/>
      <c r="C25" s="367"/>
      <c r="D25" s="58" t="s">
        <v>1014</v>
      </c>
      <c r="E25" s="40">
        <v>19.57</v>
      </c>
      <c r="F25" s="172">
        <v>0</v>
      </c>
      <c r="G25" s="40"/>
      <c r="H25" s="172">
        <v>0</v>
      </c>
      <c r="I25" s="173"/>
      <c r="J25" s="172">
        <v>0</v>
      </c>
      <c r="K25" s="174"/>
      <c r="L25" s="172">
        <v>0</v>
      </c>
      <c r="M25" s="174"/>
      <c r="N25" s="176">
        <v>0</v>
      </c>
      <c r="P25" s="2"/>
      <c r="Q25" s="3"/>
      <c r="R25" s="250"/>
    </row>
    <row r="26" spans="2:18" s="95" customFormat="1" ht="12.75" customHeight="1" x14ac:dyDescent="0.45">
      <c r="B26" s="380"/>
      <c r="C26" s="367"/>
      <c r="D26" s="58" t="s">
        <v>993</v>
      </c>
      <c r="E26" s="40">
        <v>21.83</v>
      </c>
      <c r="F26" s="172">
        <v>0</v>
      </c>
      <c r="G26" s="40"/>
      <c r="H26" s="172">
        <v>0</v>
      </c>
      <c r="I26" s="173"/>
      <c r="J26" s="172">
        <v>0</v>
      </c>
      <c r="K26" s="174"/>
      <c r="L26" s="172">
        <v>0</v>
      </c>
      <c r="M26" s="174"/>
      <c r="N26" s="176">
        <v>0</v>
      </c>
      <c r="P26" s="2" t="s">
        <v>67</v>
      </c>
      <c r="Q26" s="3"/>
      <c r="R26" s="250"/>
    </row>
    <row r="27" spans="2:18" s="101" customFormat="1" ht="12.75" customHeight="1" x14ac:dyDescent="0.45">
      <c r="B27" s="382" t="s">
        <v>965</v>
      </c>
      <c r="C27" s="367" t="s">
        <v>1311</v>
      </c>
      <c r="D27" s="58" t="s">
        <v>1007</v>
      </c>
      <c r="E27" s="40">
        <v>21.8</v>
      </c>
      <c r="F27" s="172">
        <v>0</v>
      </c>
      <c r="G27" s="40"/>
      <c r="H27" s="172">
        <v>0</v>
      </c>
      <c r="I27" s="173"/>
      <c r="J27" s="172">
        <v>0</v>
      </c>
      <c r="K27" s="174"/>
      <c r="L27" s="172">
        <v>0</v>
      </c>
      <c r="M27" s="174"/>
      <c r="N27" s="176">
        <v>0</v>
      </c>
      <c r="P27" s="2" t="s">
        <v>68</v>
      </c>
      <c r="Q27" s="3" t="s">
        <v>1041</v>
      </c>
      <c r="R27" s="250"/>
    </row>
    <row r="28" spans="2:18" s="101" customFormat="1" ht="12.75" customHeight="1" x14ac:dyDescent="0.45">
      <c r="B28" s="379"/>
      <c r="C28" s="367"/>
      <c r="D28" s="58" t="s">
        <v>1008</v>
      </c>
      <c r="E28" s="40">
        <v>19.850000000000001</v>
      </c>
      <c r="F28" s="172">
        <v>0</v>
      </c>
      <c r="G28" s="40"/>
      <c r="H28" s="172">
        <v>0</v>
      </c>
      <c r="I28" s="173"/>
      <c r="J28" s="172">
        <v>0</v>
      </c>
      <c r="K28" s="174"/>
      <c r="L28" s="172">
        <v>0</v>
      </c>
      <c r="M28" s="174"/>
      <c r="N28" s="176">
        <v>0</v>
      </c>
      <c r="P28" s="2" t="s">
        <v>47</v>
      </c>
      <c r="Q28" s="3">
        <v>0.1229</v>
      </c>
      <c r="R28" s="250"/>
    </row>
    <row r="29" spans="2:18" s="101" customFormat="1" ht="12.75" customHeight="1" x14ac:dyDescent="0.45">
      <c r="B29" s="379"/>
      <c r="C29" s="367"/>
      <c r="D29" s="58" t="s">
        <v>1009</v>
      </c>
      <c r="E29" s="40">
        <v>21.77</v>
      </c>
      <c r="F29" s="172">
        <v>0</v>
      </c>
      <c r="G29" s="40"/>
      <c r="H29" s="172">
        <v>0</v>
      </c>
      <c r="I29" s="173"/>
      <c r="J29" s="172">
        <v>0</v>
      </c>
      <c r="K29" s="174"/>
      <c r="L29" s="172">
        <v>0</v>
      </c>
      <c r="M29" s="174"/>
      <c r="N29" s="176">
        <v>0</v>
      </c>
      <c r="P29" s="2" t="s">
        <v>49</v>
      </c>
      <c r="Q29" s="3" t="s">
        <v>203</v>
      </c>
      <c r="R29" s="250"/>
    </row>
    <row r="30" spans="2:18" s="101" customFormat="1" ht="12.75" customHeight="1" x14ac:dyDescent="0.45">
      <c r="B30" s="379"/>
      <c r="C30" s="367"/>
      <c r="D30" s="58" t="s">
        <v>988</v>
      </c>
      <c r="E30" s="40">
        <v>20.94</v>
      </c>
      <c r="F30" s="172">
        <v>0</v>
      </c>
      <c r="G30" s="40"/>
      <c r="H30" s="172">
        <v>0</v>
      </c>
      <c r="I30" s="173"/>
      <c r="J30" s="172">
        <v>0</v>
      </c>
      <c r="K30" s="174"/>
      <c r="L30" s="172">
        <v>0</v>
      </c>
      <c r="M30" s="174"/>
      <c r="N30" s="176">
        <v>0</v>
      </c>
      <c r="P30" s="2" t="s">
        <v>70</v>
      </c>
      <c r="Q30" s="3" t="s">
        <v>204</v>
      </c>
      <c r="R30" s="250"/>
    </row>
    <row r="31" spans="2:18" s="101" customFormat="1" ht="12.75" customHeight="1" x14ac:dyDescent="0.45">
      <c r="B31" s="379"/>
      <c r="C31" s="367"/>
      <c r="D31" s="58" t="s">
        <v>1010</v>
      </c>
      <c r="E31" s="40">
        <v>21.64</v>
      </c>
      <c r="F31" s="172">
        <v>0</v>
      </c>
      <c r="G31" s="40"/>
      <c r="H31" s="172">
        <v>0</v>
      </c>
      <c r="I31" s="173"/>
      <c r="J31" s="172">
        <v>0</v>
      </c>
      <c r="K31" s="174"/>
      <c r="L31" s="172">
        <v>0</v>
      </c>
      <c r="M31" s="174"/>
      <c r="N31" s="176">
        <v>0</v>
      </c>
    </row>
    <row r="32" spans="2:18" s="95" customFormat="1" ht="12.75" customHeight="1" x14ac:dyDescent="0.25">
      <c r="B32" s="379"/>
      <c r="C32" s="367" t="s">
        <v>1399</v>
      </c>
      <c r="D32" s="58" t="s">
        <v>1011</v>
      </c>
      <c r="E32" s="40">
        <v>20.93</v>
      </c>
      <c r="F32" s="172">
        <v>0</v>
      </c>
      <c r="G32" s="40"/>
      <c r="H32" s="172">
        <v>0</v>
      </c>
      <c r="I32" s="173"/>
      <c r="J32" s="172">
        <v>0</v>
      </c>
      <c r="K32" s="174"/>
      <c r="L32" s="172">
        <v>0</v>
      </c>
      <c r="M32" s="174"/>
      <c r="N32" s="176">
        <v>0</v>
      </c>
    </row>
    <row r="33" spans="2:18" s="95" customFormat="1" ht="12.75" customHeight="1" x14ac:dyDescent="0.45">
      <c r="B33" s="379"/>
      <c r="C33" s="367"/>
      <c r="D33" s="58" t="s">
        <v>1012</v>
      </c>
      <c r="E33" s="40">
        <v>22.95</v>
      </c>
      <c r="F33" s="172">
        <v>0</v>
      </c>
      <c r="G33" s="40"/>
      <c r="H33" s="172">
        <v>0</v>
      </c>
      <c r="I33" s="173"/>
      <c r="J33" s="172">
        <v>0</v>
      </c>
      <c r="K33" s="174"/>
      <c r="L33" s="172">
        <v>0</v>
      </c>
      <c r="M33" s="174"/>
      <c r="N33" s="176">
        <v>0</v>
      </c>
      <c r="P33" s="2" t="s">
        <v>41</v>
      </c>
      <c r="Q33" s="8" t="s">
        <v>914</v>
      </c>
      <c r="R33" s="250"/>
    </row>
    <row r="34" spans="2:18" s="95" customFormat="1" ht="12.75" customHeight="1" x14ac:dyDescent="0.45">
      <c r="B34" s="379"/>
      <c r="C34" s="367"/>
      <c r="D34" s="58" t="s">
        <v>1013</v>
      </c>
      <c r="E34" s="40">
        <v>21.3</v>
      </c>
      <c r="F34" s="172">
        <v>0</v>
      </c>
      <c r="G34" s="40"/>
      <c r="H34" s="172">
        <v>0</v>
      </c>
      <c r="I34" s="173"/>
      <c r="J34" s="172">
        <v>0</v>
      </c>
      <c r="K34" s="174"/>
      <c r="L34" s="172">
        <v>0</v>
      </c>
      <c r="M34" s="174"/>
      <c r="N34" s="176">
        <v>0</v>
      </c>
      <c r="P34" s="7" t="s">
        <v>43</v>
      </c>
      <c r="Q34" s="8" t="s">
        <v>1004</v>
      </c>
      <c r="R34" s="250"/>
    </row>
    <row r="35" spans="2:18" s="95" customFormat="1" ht="12.75" customHeight="1" x14ac:dyDescent="0.45">
      <c r="B35" s="379"/>
      <c r="C35" s="367"/>
      <c r="D35" s="58" t="s">
        <v>1014</v>
      </c>
      <c r="E35" s="40">
        <v>21.42</v>
      </c>
      <c r="F35" s="172">
        <v>0</v>
      </c>
      <c r="G35" s="40"/>
      <c r="H35" s="172">
        <v>0</v>
      </c>
      <c r="I35" s="173"/>
      <c r="J35" s="172">
        <v>0</v>
      </c>
      <c r="K35" s="174"/>
      <c r="L35" s="172">
        <v>0</v>
      </c>
      <c r="M35" s="174"/>
      <c r="N35" s="176">
        <v>0</v>
      </c>
      <c r="P35" s="7" t="s">
        <v>44</v>
      </c>
      <c r="Q35" s="8" t="s">
        <v>44</v>
      </c>
      <c r="R35" s="250"/>
    </row>
    <row r="36" spans="2:18" s="95" customFormat="1" ht="12.75" customHeight="1" x14ac:dyDescent="0.45">
      <c r="B36" s="380"/>
      <c r="C36" s="367"/>
      <c r="D36" s="58" t="s">
        <v>993</v>
      </c>
      <c r="E36" s="40">
        <v>23.22</v>
      </c>
      <c r="F36" s="172">
        <v>0</v>
      </c>
      <c r="G36" s="40"/>
      <c r="H36" s="172">
        <v>0</v>
      </c>
      <c r="I36" s="173"/>
      <c r="J36" s="172">
        <v>0</v>
      </c>
      <c r="K36" s="174"/>
      <c r="L36" s="172">
        <v>0</v>
      </c>
      <c r="M36" s="174"/>
      <c r="N36" s="176">
        <v>0</v>
      </c>
      <c r="P36" s="7" t="s">
        <v>1003</v>
      </c>
      <c r="Q36" s="8" t="s">
        <v>1005</v>
      </c>
      <c r="R36" s="250"/>
    </row>
    <row r="37" spans="2:18" s="101" customFormat="1" ht="12.75" customHeight="1" x14ac:dyDescent="0.45">
      <c r="B37" s="382" t="s">
        <v>966</v>
      </c>
      <c r="C37" s="367" t="s">
        <v>1311</v>
      </c>
      <c r="D37" s="58" t="s">
        <v>1007</v>
      </c>
      <c r="E37" s="40">
        <v>20.71</v>
      </c>
      <c r="F37" s="172">
        <v>0</v>
      </c>
      <c r="G37" s="40"/>
      <c r="H37" s="172">
        <v>0</v>
      </c>
      <c r="I37" s="173"/>
      <c r="J37" s="172">
        <v>0</v>
      </c>
      <c r="K37" s="174"/>
      <c r="L37" s="172">
        <v>0</v>
      </c>
      <c r="M37" s="174"/>
      <c r="N37" s="176">
        <v>0</v>
      </c>
      <c r="P37" s="2"/>
      <c r="Q37" s="3"/>
      <c r="R37" s="250"/>
    </row>
    <row r="38" spans="2:18" s="101" customFormat="1" ht="12.75" customHeight="1" x14ac:dyDescent="0.45">
      <c r="B38" s="379"/>
      <c r="C38" s="367"/>
      <c r="D38" s="58" t="s">
        <v>1008</v>
      </c>
      <c r="E38" s="40">
        <v>18.329999999999998</v>
      </c>
      <c r="F38" s="172">
        <v>0</v>
      </c>
      <c r="G38" s="40"/>
      <c r="H38" s="172">
        <v>0</v>
      </c>
      <c r="I38" s="173"/>
      <c r="J38" s="172">
        <v>0</v>
      </c>
      <c r="K38" s="174"/>
      <c r="L38" s="172">
        <v>0</v>
      </c>
      <c r="M38" s="174"/>
      <c r="N38" s="176">
        <v>0</v>
      </c>
      <c r="P38" s="2" t="s">
        <v>46</v>
      </c>
      <c r="Q38" s="3"/>
      <c r="R38" s="250"/>
    </row>
    <row r="39" spans="2:18" s="101" customFormat="1" ht="12.75" customHeight="1" x14ac:dyDescent="0.45">
      <c r="B39" s="379"/>
      <c r="C39" s="367"/>
      <c r="D39" s="58" t="s">
        <v>1009</v>
      </c>
      <c r="E39" s="40">
        <v>19.22</v>
      </c>
      <c r="F39" s="172">
        <v>0</v>
      </c>
      <c r="G39" s="40"/>
      <c r="H39" s="172">
        <v>0</v>
      </c>
      <c r="I39" s="173"/>
      <c r="J39" s="172">
        <v>0</v>
      </c>
      <c r="K39" s="174"/>
      <c r="L39" s="172">
        <v>0</v>
      </c>
      <c r="M39" s="174"/>
      <c r="N39" s="176">
        <v>0</v>
      </c>
      <c r="P39" s="7" t="s">
        <v>47</v>
      </c>
      <c r="Q39" s="8">
        <v>1.0800000000000001E-2</v>
      </c>
      <c r="R39" s="250"/>
    </row>
    <row r="40" spans="2:18" s="101" customFormat="1" ht="12.75" customHeight="1" x14ac:dyDescent="0.45">
      <c r="B40" s="379"/>
      <c r="C40" s="367"/>
      <c r="D40" s="58" t="s">
        <v>988</v>
      </c>
      <c r="E40" s="40">
        <v>20.45</v>
      </c>
      <c r="F40" s="172">
        <v>0</v>
      </c>
      <c r="G40" s="40"/>
      <c r="H40" s="172">
        <v>0</v>
      </c>
      <c r="I40" s="173"/>
      <c r="J40" s="172">
        <v>0</v>
      </c>
      <c r="K40" s="174"/>
      <c r="L40" s="172">
        <v>0</v>
      </c>
      <c r="M40" s="174"/>
      <c r="N40" s="176">
        <v>0</v>
      </c>
      <c r="P40" s="7" t="s">
        <v>49</v>
      </c>
      <c r="Q40" s="8" t="s">
        <v>332</v>
      </c>
      <c r="R40" s="250"/>
    </row>
    <row r="41" spans="2:18" s="101" customFormat="1" ht="12.75" customHeight="1" x14ac:dyDescent="0.45">
      <c r="B41" s="379"/>
      <c r="C41" s="367"/>
      <c r="D41" s="58" t="s">
        <v>1010</v>
      </c>
      <c r="E41" s="40">
        <v>18.78</v>
      </c>
      <c r="F41" s="172">
        <v>0</v>
      </c>
      <c r="G41" s="40"/>
      <c r="H41" s="172">
        <v>0</v>
      </c>
      <c r="I41" s="173"/>
      <c r="J41" s="172">
        <v>0</v>
      </c>
      <c r="K41" s="174"/>
      <c r="L41" s="172">
        <v>0</v>
      </c>
      <c r="M41" s="174"/>
      <c r="N41" s="176">
        <v>0</v>
      </c>
      <c r="P41" s="2" t="s">
        <v>51</v>
      </c>
      <c r="Q41" s="3" t="s">
        <v>52</v>
      </c>
      <c r="R41" s="250"/>
    </row>
    <row r="42" spans="2:18" s="95" customFormat="1" ht="12.75" customHeight="1" x14ac:dyDescent="0.45">
      <c r="B42" s="379"/>
      <c r="C42" s="367" t="s">
        <v>1399</v>
      </c>
      <c r="D42" s="58" t="s">
        <v>1011</v>
      </c>
      <c r="E42" s="40">
        <v>21.95</v>
      </c>
      <c r="F42" s="172">
        <v>0</v>
      </c>
      <c r="G42" s="40"/>
      <c r="H42" s="172">
        <v>0</v>
      </c>
      <c r="I42" s="173"/>
      <c r="J42" s="172">
        <v>0</v>
      </c>
      <c r="K42" s="174"/>
      <c r="L42" s="172">
        <v>0</v>
      </c>
      <c r="M42" s="174"/>
      <c r="N42" s="176">
        <v>0</v>
      </c>
      <c r="P42" s="2" t="s">
        <v>53</v>
      </c>
      <c r="Q42" s="3" t="s">
        <v>54</v>
      </c>
      <c r="R42" s="250"/>
    </row>
    <row r="43" spans="2:18" s="95" customFormat="1" ht="12.75" customHeight="1" x14ac:dyDescent="0.45">
      <c r="B43" s="379"/>
      <c r="C43" s="367"/>
      <c r="D43" s="58" t="s">
        <v>1012</v>
      </c>
      <c r="E43" s="40">
        <v>23.4</v>
      </c>
      <c r="F43" s="172">
        <v>0</v>
      </c>
      <c r="G43" s="40"/>
      <c r="H43" s="172">
        <v>0</v>
      </c>
      <c r="I43" s="173"/>
      <c r="J43" s="172">
        <v>0</v>
      </c>
      <c r="K43" s="174"/>
      <c r="L43" s="172">
        <v>0</v>
      </c>
      <c r="M43" s="174"/>
      <c r="N43" s="176">
        <v>0</v>
      </c>
      <c r="P43" s="2" t="s">
        <v>55</v>
      </c>
      <c r="Q43" s="3" t="s">
        <v>1042</v>
      </c>
      <c r="R43" s="250"/>
    </row>
    <row r="44" spans="2:18" s="95" customFormat="1" ht="12.75" customHeight="1" x14ac:dyDescent="0.45">
      <c r="B44" s="379"/>
      <c r="C44" s="367"/>
      <c r="D44" s="58" t="s">
        <v>1013</v>
      </c>
      <c r="E44" s="40">
        <v>22.04</v>
      </c>
      <c r="F44" s="172">
        <v>0</v>
      </c>
      <c r="G44" s="40"/>
      <c r="H44" s="172">
        <v>0</v>
      </c>
      <c r="I44" s="173"/>
      <c r="J44" s="172">
        <v>0</v>
      </c>
      <c r="K44" s="174"/>
      <c r="L44" s="172">
        <v>0</v>
      </c>
      <c r="M44" s="174"/>
      <c r="N44" s="176">
        <v>0</v>
      </c>
      <c r="P44" s="2"/>
      <c r="Q44" s="3"/>
      <c r="R44" s="250"/>
    </row>
    <row r="45" spans="2:18" s="95" customFormat="1" ht="12.75" customHeight="1" x14ac:dyDescent="0.45">
      <c r="B45" s="379"/>
      <c r="C45" s="367"/>
      <c r="D45" s="58" t="s">
        <v>1014</v>
      </c>
      <c r="E45" s="40">
        <v>20.81</v>
      </c>
      <c r="F45" s="172">
        <v>0</v>
      </c>
      <c r="G45" s="40"/>
      <c r="H45" s="172">
        <v>0</v>
      </c>
      <c r="I45" s="173"/>
      <c r="J45" s="172">
        <v>0</v>
      </c>
      <c r="K45" s="174"/>
      <c r="L45" s="172">
        <v>0</v>
      </c>
      <c r="M45" s="174"/>
      <c r="N45" s="176">
        <v>0</v>
      </c>
      <c r="P45" s="2" t="s">
        <v>57</v>
      </c>
      <c r="Q45" s="3"/>
      <c r="R45" s="250"/>
    </row>
    <row r="46" spans="2:18" s="95" customFormat="1" ht="12.75" customHeight="1" x14ac:dyDescent="0.45">
      <c r="B46" s="380"/>
      <c r="C46" s="367"/>
      <c r="D46" s="58" t="s">
        <v>993</v>
      </c>
      <c r="E46" s="40">
        <v>22.7</v>
      </c>
      <c r="F46" s="172">
        <v>0</v>
      </c>
      <c r="G46" s="40"/>
      <c r="H46" s="172">
        <v>0</v>
      </c>
      <c r="I46" s="173"/>
      <c r="J46" s="172">
        <v>0</v>
      </c>
      <c r="K46" s="174"/>
      <c r="L46" s="172">
        <v>0</v>
      </c>
      <c r="M46" s="174"/>
      <c r="N46" s="176">
        <v>0</v>
      </c>
      <c r="P46" s="2" t="s">
        <v>157</v>
      </c>
      <c r="Q46" s="3" t="s">
        <v>1043</v>
      </c>
      <c r="R46" s="250"/>
    </row>
    <row r="47" spans="2:18" s="101" customFormat="1" ht="12.75" customHeight="1" x14ac:dyDescent="0.45">
      <c r="B47" s="382" t="s">
        <v>967</v>
      </c>
      <c r="C47" s="367" t="s">
        <v>1311</v>
      </c>
      <c r="D47" s="58" t="s">
        <v>1007</v>
      </c>
      <c r="E47" s="40">
        <v>20.98</v>
      </c>
      <c r="F47" s="172">
        <v>0</v>
      </c>
      <c r="G47" s="40"/>
      <c r="H47" s="172">
        <v>0</v>
      </c>
      <c r="I47" s="173"/>
      <c r="J47" s="172">
        <v>0</v>
      </c>
      <c r="K47" s="174"/>
      <c r="L47" s="172">
        <v>0</v>
      </c>
      <c r="M47" s="174"/>
      <c r="N47" s="176">
        <v>0</v>
      </c>
      <c r="P47" s="2" t="s">
        <v>497</v>
      </c>
      <c r="Q47" s="3" t="s">
        <v>1044</v>
      </c>
      <c r="R47" s="250"/>
    </row>
    <row r="48" spans="2:18" s="101" customFormat="1" ht="12.75" customHeight="1" x14ac:dyDescent="0.45">
      <c r="B48" s="379"/>
      <c r="C48" s="367"/>
      <c r="D48" s="58" t="s">
        <v>1008</v>
      </c>
      <c r="E48" s="40">
        <v>21.76</v>
      </c>
      <c r="F48" s="172">
        <v>0</v>
      </c>
      <c r="G48" s="40"/>
      <c r="H48" s="172">
        <v>0</v>
      </c>
      <c r="I48" s="173"/>
      <c r="J48" s="172">
        <v>0</v>
      </c>
      <c r="K48" s="174"/>
      <c r="L48" s="172">
        <v>0</v>
      </c>
      <c r="M48" s="174"/>
      <c r="N48" s="176">
        <v>0</v>
      </c>
      <c r="P48" s="2" t="s">
        <v>62</v>
      </c>
      <c r="Q48" s="3" t="s">
        <v>1045</v>
      </c>
      <c r="R48" s="250"/>
    </row>
    <row r="49" spans="2:18" s="101" customFormat="1" ht="12.75" customHeight="1" x14ac:dyDescent="0.45">
      <c r="B49" s="379"/>
      <c r="C49" s="367"/>
      <c r="D49" s="58" t="s">
        <v>1009</v>
      </c>
      <c r="E49" s="40">
        <v>20.7</v>
      </c>
      <c r="F49" s="172">
        <v>0</v>
      </c>
      <c r="G49" s="40"/>
      <c r="H49" s="172">
        <v>0</v>
      </c>
      <c r="I49" s="173"/>
      <c r="J49" s="172">
        <v>0</v>
      </c>
      <c r="K49" s="174"/>
      <c r="L49" s="172">
        <v>0</v>
      </c>
      <c r="M49" s="174"/>
      <c r="N49" s="176">
        <v>0</v>
      </c>
      <c r="P49" s="2" t="s">
        <v>64</v>
      </c>
      <c r="Q49" s="3" t="s">
        <v>1046</v>
      </c>
      <c r="R49" s="250"/>
    </row>
    <row r="50" spans="2:18" s="101" customFormat="1" ht="12.75" customHeight="1" x14ac:dyDescent="0.45">
      <c r="B50" s="379"/>
      <c r="C50" s="367"/>
      <c r="D50" s="58" t="s">
        <v>988</v>
      </c>
      <c r="E50" s="40">
        <v>22.55</v>
      </c>
      <c r="F50" s="172">
        <v>0</v>
      </c>
      <c r="G50" s="40"/>
      <c r="H50" s="172">
        <v>0</v>
      </c>
      <c r="I50" s="173"/>
      <c r="J50" s="172">
        <v>0</v>
      </c>
      <c r="K50" s="174"/>
      <c r="L50" s="172">
        <v>0</v>
      </c>
      <c r="M50" s="174"/>
      <c r="N50" s="176">
        <v>0</v>
      </c>
      <c r="P50" s="2" t="s">
        <v>66</v>
      </c>
      <c r="Q50" s="3">
        <v>0.5766</v>
      </c>
      <c r="R50" s="250"/>
    </row>
    <row r="51" spans="2:18" s="101" customFormat="1" ht="12.75" customHeight="1" x14ac:dyDescent="0.45">
      <c r="B51" s="379"/>
      <c r="C51" s="367"/>
      <c r="D51" s="58" t="s">
        <v>1010</v>
      </c>
      <c r="E51" s="40">
        <v>22.35</v>
      </c>
      <c r="F51" s="172">
        <v>0</v>
      </c>
      <c r="G51" s="40"/>
      <c r="H51" s="172">
        <v>0</v>
      </c>
      <c r="I51" s="173"/>
      <c r="J51" s="172">
        <v>0</v>
      </c>
      <c r="K51" s="174"/>
      <c r="L51" s="172">
        <v>0</v>
      </c>
      <c r="M51" s="174"/>
      <c r="N51" s="176">
        <v>0</v>
      </c>
      <c r="P51" s="2"/>
      <c r="Q51" s="3"/>
      <c r="R51" s="250"/>
    </row>
    <row r="52" spans="2:18" s="95" customFormat="1" ht="12.75" customHeight="1" x14ac:dyDescent="0.45">
      <c r="B52" s="379"/>
      <c r="C52" s="367" t="s">
        <v>1399</v>
      </c>
      <c r="D52" s="58" t="s">
        <v>1011</v>
      </c>
      <c r="E52" s="40">
        <v>21.39</v>
      </c>
      <c r="F52" s="172">
        <v>0</v>
      </c>
      <c r="G52" s="40"/>
      <c r="H52" s="172">
        <v>0</v>
      </c>
      <c r="I52" s="173"/>
      <c r="J52" s="172">
        <v>0</v>
      </c>
      <c r="K52" s="174"/>
      <c r="L52" s="172">
        <v>0</v>
      </c>
      <c r="M52" s="174"/>
      <c r="N52" s="176">
        <v>0</v>
      </c>
      <c r="P52" s="2" t="s">
        <v>67</v>
      </c>
      <c r="Q52" s="3"/>
      <c r="R52" s="250"/>
    </row>
    <row r="53" spans="2:18" s="95" customFormat="1" ht="12.75" customHeight="1" x14ac:dyDescent="0.45">
      <c r="B53" s="379"/>
      <c r="C53" s="367"/>
      <c r="D53" s="58" t="s">
        <v>1012</v>
      </c>
      <c r="E53" s="40">
        <v>22.08</v>
      </c>
      <c r="F53" s="172">
        <v>0</v>
      </c>
      <c r="G53" s="40"/>
      <c r="H53" s="172">
        <v>0</v>
      </c>
      <c r="I53" s="173"/>
      <c r="J53" s="172">
        <v>0</v>
      </c>
      <c r="K53" s="174"/>
      <c r="L53" s="172">
        <v>0</v>
      </c>
      <c r="M53" s="174"/>
      <c r="N53" s="176">
        <v>0</v>
      </c>
      <c r="P53" s="2" t="s">
        <v>68</v>
      </c>
      <c r="Q53" s="3" t="s">
        <v>1047</v>
      </c>
      <c r="R53" s="250"/>
    </row>
    <row r="54" spans="2:18" s="95" customFormat="1" ht="12.75" customHeight="1" x14ac:dyDescent="0.45">
      <c r="B54" s="379"/>
      <c r="C54" s="367"/>
      <c r="D54" s="58" t="s">
        <v>1013</v>
      </c>
      <c r="E54" s="40">
        <v>22.86</v>
      </c>
      <c r="F54" s="172">
        <v>0</v>
      </c>
      <c r="G54" s="40"/>
      <c r="H54" s="172">
        <v>0</v>
      </c>
      <c r="I54" s="173"/>
      <c r="J54" s="172">
        <v>0</v>
      </c>
      <c r="K54" s="174"/>
      <c r="L54" s="172">
        <v>0</v>
      </c>
      <c r="M54" s="174"/>
      <c r="N54" s="176">
        <v>0</v>
      </c>
      <c r="P54" s="2" t="s">
        <v>47</v>
      </c>
      <c r="Q54" s="3">
        <v>0.11990000000000001</v>
      </c>
      <c r="R54" s="250"/>
    </row>
    <row r="55" spans="2:18" s="95" customFormat="1" ht="12.75" customHeight="1" x14ac:dyDescent="0.45">
      <c r="B55" s="379"/>
      <c r="C55" s="367"/>
      <c r="D55" s="58" t="s">
        <v>1014</v>
      </c>
      <c r="E55" s="40">
        <v>19.420000000000002</v>
      </c>
      <c r="F55" s="172">
        <v>0</v>
      </c>
      <c r="G55" s="40"/>
      <c r="H55" s="172">
        <v>0</v>
      </c>
      <c r="I55" s="173"/>
      <c r="J55" s="172">
        <v>0</v>
      </c>
      <c r="K55" s="174"/>
      <c r="L55" s="172">
        <v>0</v>
      </c>
      <c r="M55" s="174"/>
      <c r="N55" s="176">
        <v>0</v>
      </c>
      <c r="P55" s="2" t="s">
        <v>49</v>
      </c>
      <c r="Q55" s="3" t="s">
        <v>203</v>
      </c>
      <c r="R55" s="250"/>
    </row>
    <row r="56" spans="2:18" s="95" customFormat="1" ht="12.75" customHeight="1" x14ac:dyDescent="0.45">
      <c r="B56" s="380"/>
      <c r="C56" s="367"/>
      <c r="D56" s="58" t="s">
        <v>993</v>
      </c>
      <c r="E56" s="40">
        <v>23.67</v>
      </c>
      <c r="F56" s="172">
        <v>0</v>
      </c>
      <c r="G56" s="40"/>
      <c r="H56" s="172">
        <v>0</v>
      </c>
      <c r="I56" s="173"/>
      <c r="J56" s="172">
        <v>0</v>
      </c>
      <c r="K56" s="174"/>
      <c r="L56" s="172">
        <v>0</v>
      </c>
      <c r="M56" s="174"/>
      <c r="N56" s="176">
        <v>0</v>
      </c>
      <c r="P56" s="2" t="s">
        <v>70</v>
      </c>
      <c r="Q56" s="3" t="s">
        <v>204</v>
      </c>
      <c r="R56" s="250"/>
    </row>
    <row r="57" spans="2:18" s="101" customFormat="1" ht="12.75" customHeight="1" x14ac:dyDescent="0.45">
      <c r="B57" s="382" t="s">
        <v>970</v>
      </c>
      <c r="C57" s="367" t="s">
        <v>1311</v>
      </c>
      <c r="D57" s="58" t="s">
        <v>1007</v>
      </c>
      <c r="E57" s="40">
        <v>19.97</v>
      </c>
      <c r="F57" s="172">
        <v>0</v>
      </c>
      <c r="G57" s="40"/>
      <c r="H57" s="172">
        <v>0</v>
      </c>
      <c r="I57" s="173"/>
      <c r="J57" s="172">
        <v>0</v>
      </c>
      <c r="K57" s="174"/>
      <c r="L57" s="172">
        <v>0</v>
      </c>
      <c r="M57" s="174"/>
      <c r="N57" s="176">
        <v>0</v>
      </c>
    </row>
    <row r="58" spans="2:18" s="101" customFormat="1" ht="12.75" customHeight="1" x14ac:dyDescent="0.45">
      <c r="B58" s="379"/>
      <c r="C58" s="367"/>
      <c r="D58" s="58" t="s">
        <v>1008</v>
      </c>
      <c r="E58" s="40">
        <v>21.71</v>
      </c>
      <c r="F58" s="172">
        <v>0</v>
      </c>
      <c r="G58" s="40"/>
      <c r="H58" s="172">
        <v>0</v>
      </c>
      <c r="I58" s="173"/>
      <c r="J58" s="172">
        <v>0</v>
      </c>
      <c r="K58" s="174"/>
      <c r="L58" s="172">
        <v>0</v>
      </c>
      <c r="M58" s="174"/>
      <c r="N58" s="176">
        <v>0</v>
      </c>
    </row>
    <row r="59" spans="2:18" s="101" customFormat="1" ht="12.75" customHeight="1" x14ac:dyDescent="0.45">
      <c r="B59" s="379"/>
      <c r="C59" s="367"/>
      <c r="D59" s="58" t="s">
        <v>1009</v>
      </c>
      <c r="E59" s="40">
        <v>18.329999999999998</v>
      </c>
      <c r="F59" s="172">
        <v>0</v>
      </c>
      <c r="G59" s="40"/>
      <c r="H59" s="172">
        <v>0</v>
      </c>
      <c r="I59" s="173"/>
      <c r="J59" s="172">
        <v>0</v>
      </c>
      <c r="K59" s="174"/>
      <c r="L59" s="172">
        <v>0</v>
      </c>
      <c r="M59" s="174"/>
      <c r="N59" s="176">
        <v>0</v>
      </c>
      <c r="P59" s="2" t="s">
        <v>41</v>
      </c>
      <c r="Q59" s="8" t="s">
        <v>1020</v>
      </c>
      <c r="R59" s="250"/>
    </row>
    <row r="60" spans="2:18" s="101" customFormat="1" ht="12.75" customHeight="1" x14ac:dyDescent="0.45">
      <c r="B60" s="379"/>
      <c r="C60" s="367"/>
      <c r="D60" s="58" t="s">
        <v>988</v>
      </c>
      <c r="E60" s="40">
        <v>21.38</v>
      </c>
      <c r="F60" s="172">
        <v>0</v>
      </c>
      <c r="G60" s="40"/>
      <c r="H60" s="172">
        <v>0</v>
      </c>
      <c r="I60" s="173"/>
      <c r="J60" s="172">
        <v>0</v>
      </c>
      <c r="K60" s="174"/>
      <c r="L60" s="172">
        <v>0</v>
      </c>
      <c r="M60" s="174"/>
      <c r="N60" s="176">
        <v>0</v>
      </c>
      <c r="P60" s="7" t="s">
        <v>43</v>
      </c>
      <c r="Q60" s="8" t="s">
        <v>1004</v>
      </c>
      <c r="R60" s="250"/>
    </row>
    <row r="61" spans="2:18" s="101" customFormat="1" ht="12.75" customHeight="1" x14ac:dyDescent="0.45">
      <c r="B61" s="379"/>
      <c r="C61" s="367"/>
      <c r="D61" s="58" t="s">
        <v>1010</v>
      </c>
      <c r="E61" s="40">
        <v>22.34</v>
      </c>
      <c r="F61" s="172">
        <v>0</v>
      </c>
      <c r="G61" s="40"/>
      <c r="H61" s="172">
        <v>0</v>
      </c>
      <c r="I61" s="173"/>
      <c r="J61" s="172">
        <v>0</v>
      </c>
      <c r="K61" s="174"/>
      <c r="L61" s="172">
        <v>0</v>
      </c>
      <c r="M61" s="174"/>
      <c r="N61" s="176">
        <v>0</v>
      </c>
      <c r="P61" s="7" t="s">
        <v>44</v>
      </c>
      <c r="Q61" s="8" t="s">
        <v>44</v>
      </c>
      <c r="R61" s="250"/>
    </row>
    <row r="62" spans="2:18" s="95" customFormat="1" ht="12.75" customHeight="1" x14ac:dyDescent="0.45">
      <c r="B62" s="379"/>
      <c r="C62" s="367" t="s">
        <v>1399</v>
      </c>
      <c r="D62" s="58" t="s">
        <v>1011</v>
      </c>
      <c r="E62" s="40">
        <v>21.01</v>
      </c>
      <c r="F62" s="172">
        <v>0</v>
      </c>
      <c r="G62" s="40"/>
      <c r="H62" s="172">
        <v>0</v>
      </c>
      <c r="I62" s="173"/>
      <c r="J62" s="172">
        <v>0</v>
      </c>
      <c r="K62" s="174"/>
      <c r="L62" s="172">
        <v>0</v>
      </c>
      <c r="M62" s="174"/>
      <c r="N62" s="176">
        <v>0</v>
      </c>
      <c r="P62" s="7" t="s">
        <v>1003</v>
      </c>
      <c r="Q62" s="8" t="s">
        <v>1005</v>
      </c>
      <c r="R62" s="250"/>
    </row>
    <row r="63" spans="2:18" s="95" customFormat="1" ht="12.75" customHeight="1" x14ac:dyDescent="0.45">
      <c r="B63" s="379"/>
      <c r="C63" s="367"/>
      <c r="D63" s="58" t="s">
        <v>1012</v>
      </c>
      <c r="E63" s="40">
        <v>21.95</v>
      </c>
      <c r="F63" s="172">
        <v>0</v>
      </c>
      <c r="G63" s="40"/>
      <c r="H63" s="172">
        <v>0</v>
      </c>
      <c r="I63" s="173"/>
      <c r="J63" s="172">
        <v>0</v>
      </c>
      <c r="K63" s="174"/>
      <c r="L63" s="172">
        <v>0</v>
      </c>
      <c r="M63" s="174"/>
      <c r="N63" s="176">
        <v>0</v>
      </c>
      <c r="P63" s="2"/>
      <c r="Q63" s="3"/>
      <c r="R63" s="250"/>
    </row>
    <row r="64" spans="2:18" s="95" customFormat="1" ht="12.75" customHeight="1" x14ac:dyDescent="0.45">
      <c r="B64" s="379"/>
      <c r="C64" s="367"/>
      <c r="D64" s="58" t="s">
        <v>1013</v>
      </c>
      <c r="E64" s="40">
        <v>20.5</v>
      </c>
      <c r="F64" s="172">
        <v>0</v>
      </c>
      <c r="G64" s="40"/>
      <c r="H64" s="172">
        <v>0</v>
      </c>
      <c r="I64" s="173"/>
      <c r="J64" s="172">
        <v>0</v>
      </c>
      <c r="K64" s="174"/>
      <c r="L64" s="172">
        <v>0</v>
      </c>
      <c r="M64" s="174"/>
      <c r="N64" s="176">
        <v>0</v>
      </c>
      <c r="P64" s="2" t="s">
        <v>46</v>
      </c>
      <c r="Q64" s="3"/>
      <c r="R64" s="250"/>
    </row>
    <row r="65" spans="2:18" s="95" customFormat="1" ht="12.75" customHeight="1" x14ac:dyDescent="0.45">
      <c r="B65" s="379"/>
      <c r="C65" s="367"/>
      <c r="D65" s="58" t="s">
        <v>1014</v>
      </c>
      <c r="E65" s="40">
        <v>19.48</v>
      </c>
      <c r="F65" s="172">
        <v>0</v>
      </c>
      <c r="G65" s="40"/>
      <c r="H65" s="172">
        <v>0</v>
      </c>
      <c r="I65" s="173"/>
      <c r="J65" s="172">
        <v>0</v>
      </c>
      <c r="K65" s="174"/>
      <c r="L65" s="172">
        <v>0</v>
      </c>
      <c r="M65" s="174"/>
      <c r="N65" s="176">
        <v>0</v>
      </c>
      <c r="P65" s="7" t="s">
        <v>47</v>
      </c>
      <c r="Q65" s="8">
        <v>5.8999999999999999E-3</v>
      </c>
      <c r="R65" s="250"/>
    </row>
    <row r="66" spans="2:18" s="95" customFormat="1" ht="12.75" customHeight="1" x14ac:dyDescent="0.45">
      <c r="B66" s="380"/>
      <c r="C66" s="367"/>
      <c r="D66" s="58" t="s">
        <v>993</v>
      </c>
      <c r="E66" s="40">
        <v>23.58</v>
      </c>
      <c r="F66" s="172">
        <v>0</v>
      </c>
      <c r="G66" s="40"/>
      <c r="H66" s="172">
        <v>0</v>
      </c>
      <c r="I66" s="173"/>
      <c r="J66" s="172">
        <v>0</v>
      </c>
      <c r="K66" s="174"/>
      <c r="L66" s="172">
        <v>0</v>
      </c>
      <c r="M66" s="174"/>
      <c r="N66" s="176">
        <v>0</v>
      </c>
      <c r="P66" s="7" t="s">
        <v>49</v>
      </c>
      <c r="Q66" s="8" t="s">
        <v>146</v>
      </c>
      <c r="R66" s="250"/>
    </row>
    <row r="67" spans="2:18" s="101" customFormat="1" ht="12.75" customHeight="1" x14ac:dyDescent="0.45">
      <c r="B67" s="382" t="s">
        <v>971</v>
      </c>
      <c r="C67" s="367" t="s">
        <v>1311</v>
      </c>
      <c r="D67" s="58" t="s">
        <v>1007</v>
      </c>
      <c r="E67" s="40">
        <v>18.940000000000001</v>
      </c>
      <c r="F67" s="172">
        <v>0</v>
      </c>
      <c r="G67" s="40"/>
      <c r="H67" s="172">
        <v>0</v>
      </c>
      <c r="I67" s="173"/>
      <c r="J67" s="172">
        <v>0</v>
      </c>
      <c r="K67" s="174"/>
      <c r="L67" s="172">
        <v>0</v>
      </c>
      <c r="M67" s="174"/>
      <c r="N67" s="176">
        <v>0</v>
      </c>
      <c r="P67" s="2" t="s">
        <v>51</v>
      </c>
      <c r="Q67" s="3" t="s">
        <v>52</v>
      </c>
      <c r="R67" s="250"/>
    </row>
    <row r="68" spans="2:18" s="101" customFormat="1" ht="12.75" customHeight="1" x14ac:dyDescent="0.45">
      <c r="B68" s="379"/>
      <c r="C68" s="367"/>
      <c r="D68" s="58" t="s">
        <v>1008</v>
      </c>
      <c r="E68" s="40">
        <v>21.41</v>
      </c>
      <c r="F68" s="172">
        <v>0</v>
      </c>
      <c r="G68" s="40"/>
      <c r="H68" s="172">
        <v>0</v>
      </c>
      <c r="I68" s="173"/>
      <c r="J68" s="172">
        <v>1</v>
      </c>
      <c r="K68" s="173" t="s">
        <v>977</v>
      </c>
      <c r="L68" s="172">
        <v>0</v>
      </c>
      <c r="M68" s="174"/>
      <c r="N68" s="176">
        <v>1</v>
      </c>
      <c r="P68" s="2" t="s">
        <v>53</v>
      </c>
      <c r="Q68" s="3" t="s">
        <v>54</v>
      </c>
      <c r="R68" s="250"/>
    </row>
    <row r="69" spans="2:18" s="101" customFormat="1" ht="12.75" customHeight="1" x14ac:dyDescent="0.45">
      <c r="B69" s="379"/>
      <c r="C69" s="367"/>
      <c r="D69" s="58" t="s">
        <v>1009</v>
      </c>
      <c r="E69" s="40">
        <v>17.2</v>
      </c>
      <c r="F69" s="172">
        <v>0</v>
      </c>
      <c r="G69" s="40"/>
      <c r="H69" s="172">
        <v>0</v>
      </c>
      <c r="I69" s="173"/>
      <c r="J69" s="172">
        <v>0</v>
      </c>
      <c r="K69" s="174"/>
      <c r="L69" s="172">
        <v>0</v>
      </c>
      <c r="M69" s="174"/>
      <c r="N69" s="176">
        <v>0</v>
      </c>
      <c r="P69" s="2" t="s">
        <v>55</v>
      </c>
      <c r="Q69" s="3" t="s">
        <v>1048</v>
      </c>
      <c r="R69" s="250"/>
    </row>
    <row r="70" spans="2:18" s="101" customFormat="1" ht="12.75" customHeight="1" x14ac:dyDescent="0.45">
      <c r="B70" s="379"/>
      <c r="C70" s="367"/>
      <c r="D70" s="58" t="s">
        <v>988</v>
      </c>
      <c r="E70" s="40">
        <v>19.670000000000002</v>
      </c>
      <c r="F70" s="172">
        <v>0</v>
      </c>
      <c r="G70" s="40"/>
      <c r="H70" s="172">
        <v>0</v>
      </c>
      <c r="I70" s="173"/>
      <c r="J70" s="172">
        <v>0</v>
      </c>
      <c r="K70" s="174"/>
      <c r="L70" s="172">
        <v>0</v>
      </c>
      <c r="M70" s="174"/>
      <c r="N70" s="176">
        <v>0</v>
      </c>
      <c r="P70" s="2"/>
      <c r="Q70" s="3"/>
      <c r="R70" s="250"/>
    </row>
    <row r="71" spans="2:18" s="101" customFormat="1" ht="12.75" customHeight="1" x14ac:dyDescent="0.45">
      <c r="B71" s="379"/>
      <c r="C71" s="367"/>
      <c r="D71" s="58" t="s">
        <v>1010</v>
      </c>
      <c r="E71" s="40">
        <v>19.97</v>
      </c>
      <c r="F71" s="172">
        <v>0</v>
      </c>
      <c r="G71" s="40"/>
      <c r="H71" s="172">
        <v>0</v>
      </c>
      <c r="I71" s="173"/>
      <c r="J71" s="172">
        <v>0</v>
      </c>
      <c r="K71" s="174"/>
      <c r="L71" s="172">
        <v>0</v>
      </c>
      <c r="M71" s="174"/>
      <c r="N71" s="176">
        <v>0</v>
      </c>
      <c r="P71" s="2" t="s">
        <v>57</v>
      </c>
      <c r="Q71" s="3"/>
      <c r="R71" s="250"/>
    </row>
    <row r="72" spans="2:18" s="95" customFormat="1" ht="12.75" customHeight="1" x14ac:dyDescent="0.45">
      <c r="B72" s="379"/>
      <c r="C72" s="367" t="s">
        <v>1399</v>
      </c>
      <c r="D72" s="58" t="s">
        <v>1011</v>
      </c>
      <c r="E72" s="40">
        <v>19.97</v>
      </c>
      <c r="F72" s="172">
        <v>0</v>
      </c>
      <c r="G72" s="40"/>
      <c r="H72" s="172">
        <v>0</v>
      </c>
      <c r="I72" s="173"/>
      <c r="J72" s="172">
        <v>0</v>
      </c>
      <c r="K72" s="174"/>
      <c r="L72" s="172">
        <v>0</v>
      </c>
      <c r="M72" s="174"/>
      <c r="N72" s="176">
        <v>0</v>
      </c>
      <c r="P72" s="2" t="s">
        <v>157</v>
      </c>
      <c r="Q72" s="3" t="s">
        <v>1049</v>
      </c>
      <c r="R72" s="250"/>
    </row>
    <row r="73" spans="2:18" s="95" customFormat="1" ht="12.75" customHeight="1" x14ac:dyDescent="0.45">
      <c r="B73" s="379"/>
      <c r="C73" s="367"/>
      <c r="D73" s="58" t="s">
        <v>1012</v>
      </c>
      <c r="E73" s="40">
        <v>19.75</v>
      </c>
      <c r="F73" s="172">
        <v>0</v>
      </c>
      <c r="G73" s="40"/>
      <c r="H73" s="172">
        <v>0</v>
      </c>
      <c r="I73" s="173"/>
      <c r="J73" s="172">
        <v>0</v>
      </c>
      <c r="K73" s="174"/>
      <c r="L73" s="172">
        <v>0</v>
      </c>
      <c r="M73" s="174"/>
      <c r="N73" s="176">
        <v>0</v>
      </c>
      <c r="P73" s="2" t="s">
        <v>497</v>
      </c>
      <c r="Q73" s="3" t="s">
        <v>1050</v>
      </c>
      <c r="R73" s="250"/>
    </row>
    <row r="74" spans="2:18" s="95" customFormat="1" ht="12.75" customHeight="1" x14ac:dyDescent="0.45">
      <c r="B74" s="379"/>
      <c r="C74" s="367"/>
      <c r="D74" s="58" t="s">
        <v>1013</v>
      </c>
      <c r="E74" s="40">
        <v>18.73</v>
      </c>
      <c r="F74" s="172">
        <v>0</v>
      </c>
      <c r="G74" s="40"/>
      <c r="H74" s="172">
        <v>0</v>
      </c>
      <c r="I74" s="173"/>
      <c r="J74" s="172">
        <v>0</v>
      </c>
      <c r="K74" s="174"/>
      <c r="L74" s="172">
        <v>0</v>
      </c>
      <c r="M74" s="174"/>
      <c r="N74" s="176">
        <v>0</v>
      </c>
      <c r="P74" s="2" t="s">
        <v>62</v>
      </c>
      <c r="Q74" s="3" t="s">
        <v>1051</v>
      </c>
      <c r="R74" s="250"/>
    </row>
    <row r="75" spans="2:18" s="95" customFormat="1" ht="12.75" customHeight="1" x14ac:dyDescent="0.45">
      <c r="B75" s="379"/>
      <c r="C75" s="367"/>
      <c r="D75" s="58" t="s">
        <v>1014</v>
      </c>
      <c r="E75" s="40">
        <v>19.86</v>
      </c>
      <c r="F75" s="172">
        <v>0</v>
      </c>
      <c r="G75" s="40"/>
      <c r="H75" s="172">
        <v>0</v>
      </c>
      <c r="I75" s="173"/>
      <c r="J75" s="172">
        <v>1</v>
      </c>
      <c r="K75" s="173" t="s">
        <v>977</v>
      </c>
      <c r="L75" s="172">
        <v>0</v>
      </c>
      <c r="M75" s="174"/>
      <c r="N75" s="176">
        <v>1</v>
      </c>
      <c r="P75" s="2" t="s">
        <v>64</v>
      </c>
      <c r="Q75" s="3" t="s">
        <v>1052</v>
      </c>
      <c r="R75" s="250"/>
    </row>
    <row r="76" spans="2:18" s="95" customFormat="1" ht="12.75" customHeight="1" x14ac:dyDescent="0.45">
      <c r="B76" s="380"/>
      <c r="C76" s="367"/>
      <c r="D76" s="58" t="s">
        <v>993</v>
      </c>
      <c r="E76" s="40">
        <v>21</v>
      </c>
      <c r="F76" s="172">
        <v>0</v>
      </c>
      <c r="G76" s="40"/>
      <c r="H76" s="172">
        <v>0</v>
      </c>
      <c r="I76" s="173"/>
      <c r="J76" s="172">
        <v>0</v>
      </c>
      <c r="K76" s="174"/>
      <c r="L76" s="172">
        <v>0</v>
      </c>
      <c r="M76" s="174"/>
      <c r="N76" s="176">
        <v>0</v>
      </c>
      <c r="P76" s="2" t="s">
        <v>66</v>
      </c>
      <c r="Q76" s="3">
        <v>0.63370000000000004</v>
      </c>
      <c r="R76" s="250"/>
    </row>
    <row r="77" spans="2:18" s="101" customFormat="1" ht="12.75" customHeight="1" x14ac:dyDescent="0.45">
      <c r="B77" s="382" t="s">
        <v>973</v>
      </c>
      <c r="C77" s="367" t="s">
        <v>1311</v>
      </c>
      <c r="D77" s="58" t="s">
        <v>1007</v>
      </c>
      <c r="E77" s="40">
        <v>17.73</v>
      </c>
      <c r="F77" s="172">
        <v>0</v>
      </c>
      <c r="G77" s="40"/>
      <c r="H77" s="172">
        <v>1</v>
      </c>
      <c r="I77" s="173" t="s">
        <v>969</v>
      </c>
      <c r="J77" s="172">
        <v>0</v>
      </c>
      <c r="K77" s="174"/>
      <c r="L77" s="172">
        <v>0</v>
      </c>
      <c r="M77" s="174"/>
      <c r="N77" s="176">
        <v>1</v>
      </c>
      <c r="P77" s="2"/>
      <c r="Q77" s="3"/>
      <c r="R77" s="250"/>
    </row>
    <row r="78" spans="2:18" s="101" customFormat="1" ht="12.75" customHeight="1" x14ac:dyDescent="0.45">
      <c r="B78" s="379"/>
      <c r="C78" s="367"/>
      <c r="D78" s="58" t="s">
        <v>1008</v>
      </c>
      <c r="E78" s="40">
        <v>21.92</v>
      </c>
      <c r="F78" s="172">
        <v>0</v>
      </c>
      <c r="G78" s="40"/>
      <c r="H78" s="172">
        <v>0</v>
      </c>
      <c r="I78" s="173"/>
      <c r="J78" s="172">
        <v>1</v>
      </c>
      <c r="K78" s="173" t="s">
        <v>977</v>
      </c>
      <c r="L78" s="172">
        <v>0</v>
      </c>
      <c r="M78" s="174"/>
      <c r="N78" s="176">
        <v>1</v>
      </c>
      <c r="P78" s="2" t="s">
        <v>67</v>
      </c>
      <c r="Q78" s="3"/>
      <c r="R78" s="250"/>
    </row>
    <row r="79" spans="2:18" s="101" customFormat="1" ht="12.75" customHeight="1" x14ac:dyDescent="0.45">
      <c r="B79" s="379"/>
      <c r="C79" s="367"/>
      <c r="D79" s="58" t="s">
        <v>1009</v>
      </c>
      <c r="E79" s="40">
        <v>17.93</v>
      </c>
      <c r="F79" s="172">
        <v>0</v>
      </c>
      <c r="G79" s="40"/>
      <c r="H79" s="172">
        <v>0</v>
      </c>
      <c r="I79" s="173"/>
      <c r="J79" s="172">
        <v>0</v>
      </c>
      <c r="K79" s="174"/>
      <c r="L79" s="172">
        <v>0</v>
      </c>
      <c r="M79" s="174"/>
      <c r="N79" s="176">
        <v>0</v>
      </c>
      <c r="P79" s="2" t="s">
        <v>68</v>
      </c>
      <c r="Q79" s="3" t="s">
        <v>1053</v>
      </c>
      <c r="R79" s="250"/>
    </row>
    <row r="80" spans="2:18" s="101" customFormat="1" ht="12.75" customHeight="1" x14ac:dyDescent="0.45">
      <c r="B80" s="379"/>
      <c r="C80" s="367"/>
      <c r="D80" s="58" t="s">
        <v>988</v>
      </c>
      <c r="E80" s="40">
        <v>19.28</v>
      </c>
      <c r="F80" s="172">
        <v>0</v>
      </c>
      <c r="G80" s="40"/>
      <c r="H80" s="172">
        <v>0</v>
      </c>
      <c r="I80" s="173"/>
      <c r="J80" s="172">
        <v>0</v>
      </c>
      <c r="K80" s="174"/>
      <c r="L80" s="172">
        <v>0</v>
      </c>
      <c r="M80" s="174"/>
      <c r="N80" s="176">
        <v>0</v>
      </c>
      <c r="P80" s="2" t="s">
        <v>47</v>
      </c>
      <c r="Q80" s="3">
        <v>0.87860000000000005</v>
      </c>
      <c r="R80" s="250"/>
    </row>
    <row r="81" spans="2:18" s="101" customFormat="1" ht="12.75" customHeight="1" x14ac:dyDescent="0.45">
      <c r="B81" s="379"/>
      <c r="C81" s="367"/>
      <c r="D81" s="58" t="s">
        <v>1010</v>
      </c>
      <c r="E81" s="40">
        <v>19.37</v>
      </c>
      <c r="F81" s="172">
        <v>0</v>
      </c>
      <c r="G81" s="40"/>
      <c r="H81" s="172">
        <v>1</v>
      </c>
      <c r="I81" s="173" t="s">
        <v>969</v>
      </c>
      <c r="J81" s="172">
        <v>0</v>
      </c>
      <c r="K81" s="174"/>
      <c r="L81" s="172">
        <v>0</v>
      </c>
      <c r="M81" s="174"/>
      <c r="N81" s="176">
        <v>1</v>
      </c>
      <c r="P81" s="2" t="s">
        <v>49</v>
      </c>
      <c r="Q81" s="3" t="s">
        <v>203</v>
      </c>
      <c r="R81" s="250"/>
    </row>
    <row r="82" spans="2:18" s="95" customFormat="1" ht="12.75" customHeight="1" x14ac:dyDescent="0.45">
      <c r="B82" s="379"/>
      <c r="C82" s="367" t="s">
        <v>1399</v>
      </c>
      <c r="D82" s="58" t="s">
        <v>1011</v>
      </c>
      <c r="E82" s="40">
        <v>19.760000000000002</v>
      </c>
      <c r="F82" s="172">
        <v>0</v>
      </c>
      <c r="G82" s="40"/>
      <c r="H82" s="172">
        <v>0</v>
      </c>
      <c r="I82" s="173"/>
      <c r="J82" s="172">
        <v>1</v>
      </c>
      <c r="K82" s="173" t="s">
        <v>977</v>
      </c>
      <c r="L82" s="172">
        <v>0</v>
      </c>
      <c r="M82" s="174"/>
      <c r="N82" s="176">
        <v>1</v>
      </c>
      <c r="P82" s="2" t="s">
        <v>70</v>
      </c>
      <c r="Q82" s="3" t="s">
        <v>204</v>
      </c>
      <c r="R82" s="250"/>
    </row>
    <row r="83" spans="2:18" s="95" customFormat="1" ht="12.75" customHeight="1" x14ac:dyDescent="0.25">
      <c r="B83" s="379"/>
      <c r="C83" s="367"/>
      <c r="D83" s="58" t="s">
        <v>1012</v>
      </c>
      <c r="E83" s="40">
        <v>20.07</v>
      </c>
      <c r="F83" s="172">
        <v>0</v>
      </c>
      <c r="G83" s="40"/>
      <c r="H83" s="172">
        <v>0</v>
      </c>
      <c r="I83" s="173"/>
      <c r="J83" s="172">
        <v>0</v>
      </c>
      <c r="K83" s="174"/>
      <c r="L83" s="172">
        <v>0</v>
      </c>
      <c r="M83" s="174"/>
      <c r="N83" s="176">
        <v>0</v>
      </c>
    </row>
    <row r="84" spans="2:18" s="95" customFormat="1" ht="12.75" customHeight="1" x14ac:dyDescent="0.25">
      <c r="B84" s="379"/>
      <c r="C84" s="367"/>
      <c r="D84" s="58" t="s">
        <v>1013</v>
      </c>
      <c r="E84" s="40">
        <v>18.66</v>
      </c>
      <c r="F84" s="172">
        <v>0</v>
      </c>
      <c r="G84" s="40"/>
      <c r="H84" s="172">
        <v>0</v>
      </c>
      <c r="I84" s="173"/>
      <c r="J84" s="172">
        <v>0</v>
      </c>
      <c r="K84" s="174"/>
      <c r="L84" s="172">
        <v>0</v>
      </c>
      <c r="M84" s="174"/>
      <c r="N84" s="176">
        <v>0</v>
      </c>
    </row>
    <row r="85" spans="2:18" s="95" customFormat="1" ht="12.75" customHeight="1" x14ac:dyDescent="0.45">
      <c r="B85" s="379"/>
      <c r="C85" s="367"/>
      <c r="D85" s="58" t="s">
        <v>1014</v>
      </c>
      <c r="E85" s="40">
        <v>19.149999999999999</v>
      </c>
      <c r="F85" s="172">
        <v>0</v>
      </c>
      <c r="G85" s="40"/>
      <c r="H85" s="172">
        <v>0</v>
      </c>
      <c r="I85" s="173"/>
      <c r="J85" s="172">
        <v>1</v>
      </c>
      <c r="K85" s="173" t="s">
        <v>977</v>
      </c>
      <c r="L85" s="172">
        <v>0</v>
      </c>
      <c r="M85" s="174"/>
      <c r="N85" s="176">
        <v>1</v>
      </c>
      <c r="P85" s="2" t="s">
        <v>41</v>
      </c>
      <c r="Q85" s="8" t="s">
        <v>1021</v>
      </c>
      <c r="R85" s="250"/>
    </row>
    <row r="86" spans="2:18" s="95" customFormat="1" ht="12.75" customHeight="1" x14ac:dyDescent="0.45">
      <c r="B86" s="380"/>
      <c r="C86" s="367"/>
      <c r="D86" s="58" t="s">
        <v>993</v>
      </c>
      <c r="E86" s="40">
        <v>20.16</v>
      </c>
      <c r="F86" s="172">
        <v>0</v>
      </c>
      <c r="G86" s="40"/>
      <c r="H86" s="172">
        <v>0</v>
      </c>
      <c r="I86" s="173"/>
      <c r="J86" s="172">
        <v>0</v>
      </c>
      <c r="K86" s="174"/>
      <c r="L86" s="172">
        <v>0</v>
      </c>
      <c r="M86" s="174"/>
      <c r="N86" s="176">
        <v>0</v>
      </c>
      <c r="P86" s="7" t="s">
        <v>43</v>
      </c>
      <c r="Q86" s="8" t="s">
        <v>1004</v>
      </c>
      <c r="R86" s="250"/>
    </row>
    <row r="87" spans="2:18" s="101" customFormat="1" ht="12.75" customHeight="1" x14ac:dyDescent="0.45">
      <c r="B87" s="382" t="s">
        <v>979</v>
      </c>
      <c r="C87" s="367" t="s">
        <v>1311</v>
      </c>
      <c r="D87" s="58" t="s">
        <v>1007</v>
      </c>
      <c r="E87" s="40">
        <v>16.39</v>
      </c>
      <c r="F87" s="172">
        <v>0</v>
      </c>
      <c r="G87" s="40"/>
      <c r="H87" s="172">
        <v>1</v>
      </c>
      <c r="I87" s="173" t="s">
        <v>969</v>
      </c>
      <c r="J87" s="172">
        <v>2</v>
      </c>
      <c r="K87" s="173" t="s">
        <v>976</v>
      </c>
      <c r="L87" s="172">
        <v>1</v>
      </c>
      <c r="M87" s="173" t="s">
        <v>1015</v>
      </c>
      <c r="N87" s="176">
        <v>4</v>
      </c>
      <c r="P87" s="7" t="s">
        <v>44</v>
      </c>
      <c r="Q87" s="8" t="s">
        <v>44</v>
      </c>
      <c r="R87" s="250"/>
    </row>
    <row r="88" spans="2:18" s="101" customFormat="1" ht="12.75" customHeight="1" x14ac:dyDescent="0.45">
      <c r="B88" s="379"/>
      <c r="C88" s="367"/>
      <c r="D88" s="58" t="s">
        <v>1008</v>
      </c>
      <c r="E88" s="40">
        <v>21.7</v>
      </c>
      <c r="F88" s="172">
        <v>2</v>
      </c>
      <c r="G88" s="40" t="s">
        <v>972</v>
      </c>
      <c r="H88" s="172">
        <v>0</v>
      </c>
      <c r="I88" s="173"/>
      <c r="J88" s="172">
        <v>0</v>
      </c>
      <c r="K88" s="173"/>
      <c r="L88" s="172">
        <v>0</v>
      </c>
      <c r="M88" s="174"/>
      <c r="N88" s="176">
        <v>2</v>
      </c>
      <c r="P88" s="7" t="s">
        <v>1003</v>
      </c>
      <c r="Q88" s="8" t="s">
        <v>1005</v>
      </c>
      <c r="R88" s="250"/>
    </row>
    <row r="89" spans="2:18" s="101" customFormat="1" ht="12.75" customHeight="1" x14ac:dyDescent="0.45">
      <c r="B89" s="379"/>
      <c r="C89" s="367"/>
      <c r="D89" s="58" t="s">
        <v>1009</v>
      </c>
      <c r="E89" s="40">
        <v>18.66</v>
      </c>
      <c r="F89" s="172">
        <v>0</v>
      </c>
      <c r="G89" s="40"/>
      <c r="H89" s="172">
        <v>1</v>
      </c>
      <c r="I89" s="173" t="s">
        <v>969</v>
      </c>
      <c r="J89" s="172">
        <v>1</v>
      </c>
      <c r="K89" s="173" t="s">
        <v>977</v>
      </c>
      <c r="L89" s="172">
        <v>0</v>
      </c>
      <c r="M89" s="174"/>
      <c r="N89" s="176">
        <v>2</v>
      </c>
      <c r="P89" s="2"/>
      <c r="Q89" s="3"/>
      <c r="R89" s="250"/>
    </row>
    <row r="90" spans="2:18" s="101" customFormat="1" ht="12.75" customHeight="1" x14ac:dyDescent="0.45">
      <c r="B90" s="379"/>
      <c r="C90" s="367"/>
      <c r="D90" s="58" t="s">
        <v>988</v>
      </c>
      <c r="E90" s="40">
        <v>20.21</v>
      </c>
      <c r="F90" s="172">
        <v>0</v>
      </c>
      <c r="G90" s="40"/>
      <c r="H90" s="172">
        <v>0</v>
      </c>
      <c r="I90" s="173"/>
      <c r="J90" s="172">
        <v>2</v>
      </c>
      <c r="K90" s="173" t="s">
        <v>978</v>
      </c>
      <c r="L90" s="172">
        <v>0</v>
      </c>
      <c r="M90" s="174"/>
      <c r="N90" s="176">
        <v>2</v>
      </c>
      <c r="P90" s="2" t="s">
        <v>46</v>
      </c>
      <c r="Q90" s="3"/>
      <c r="R90" s="250"/>
    </row>
    <row r="91" spans="2:18" s="101" customFormat="1" ht="12.75" customHeight="1" x14ac:dyDescent="0.45">
      <c r="B91" s="379"/>
      <c r="C91" s="367"/>
      <c r="D91" s="58" t="s">
        <v>1010</v>
      </c>
      <c r="E91" s="40">
        <v>20.75</v>
      </c>
      <c r="F91" s="172">
        <v>0</v>
      </c>
      <c r="G91" s="40"/>
      <c r="H91" s="172">
        <v>0</v>
      </c>
      <c r="I91" s="173"/>
      <c r="J91" s="172">
        <v>2</v>
      </c>
      <c r="K91" s="173" t="s">
        <v>976</v>
      </c>
      <c r="L91" s="172">
        <v>0</v>
      </c>
      <c r="M91" s="174"/>
      <c r="N91" s="176">
        <v>2</v>
      </c>
      <c r="P91" s="7" t="s">
        <v>47</v>
      </c>
      <c r="Q91" s="8">
        <v>3.3E-3</v>
      </c>
      <c r="R91" s="250"/>
    </row>
    <row r="92" spans="2:18" s="95" customFormat="1" ht="12.75" customHeight="1" x14ac:dyDescent="0.45">
      <c r="B92" s="379"/>
      <c r="C92" s="367" t="s">
        <v>1399</v>
      </c>
      <c r="D92" s="58" t="s">
        <v>1011</v>
      </c>
      <c r="E92" s="40">
        <v>19.579999999999998</v>
      </c>
      <c r="F92" s="172">
        <v>0</v>
      </c>
      <c r="G92" s="40"/>
      <c r="H92" s="172">
        <v>1</v>
      </c>
      <c r="I92" s="173" t="s">
        <v>969</v>
      </c>
      <c r="J92" s="172">
        <v>2</v>
      </c>
      <c r="K92" s="173" t="s">
        <v>976</v>
      </c>
      <c r="L92" s="172">
        <v>0</v>
      </c>
      <c r="M92" s="174"/>
      <c r="N92" s="176">
        <v>3</v>
      </c>
      <c r="P92" s="7" t="s">
        <v>49</v>
      </c>
      <c r="Q92" s="8" t="s">
        <v>146</v>
      </c>
      <c r="R92" s="250"/>
    </row>
    <row r="93" spans="2:18" s="95" customFormat="1" ht="12.75" customHeight="1" x14ac:dyDescent="0.45">
      <c r="B93" s="379"/>
      <c r="C93" s="367"/>
      <c r="D93" s="58" t="s">
        <v>1012</v>
      </c>
      <c r="E93" s="40">
        <v>20.05</v>
      </c>
      <c r="F93" s="172">
        <v>1</v>
      </c>
      <c r="G93" s="40" t="s">
        <v>968</v>
      </c>
      <c r="H93" s="172">
        <v>1</v>
      </c>
      <c r="I93" s="173" t="s">
        <v>969</v>
      </c>
      <c r="J93" s="172">
        <v>0</v>
      </c>
      <c r="K93" s="173"/>
      <c r="L93" s="172">
        <v>0</v>
      </c>
      <c r="M93" s="174"/>
      <c r="N93" s="176">
        <v>2</v>
      </c>
      <c r="P93" s="2" t="s">
        <v>51</v>
      </c>
      <c r="Q93" s="3" t="s">
        <v>52</v>
      </c>
      <c r="R93" s="250"/>
    </row>
    <row r="94" spans="2:18" s="95" customFormat="1" ht="12.75" customHeight="1" x14ac:dyDescent="0.45">
      <c r="B94" s="379"/>
      <c r="C94" s="367"/>
      <c r="D94" s="58" t="s">
        <v>1013</v>
      </c>
      <c r="E94" s="40">
        <v>20.170000000000002</v>
      </c>
      <c r="F94" s="172">
        <v>0</v>
      </c>
      <c r="G94" s="40"/>
      <c r="H94" s="172">
        <v>0</v>
      </c>
      <c r="I94" s="173"/>
      <c r="J94" s="172">
        <v>0</v>
      </c>
      <c r="K94" s="174"/>
      <c r="L94" s="172">
        <v>0</v>
      </c>
      <c r="M94" s="174"/>
      <c r="N94" s="176">
        <v>0</v>
      </c>
      <c r="P94" s="2" t="s">
        <v>53</v>
      </c>
      <c r="Q94" s="3" t="s">
        <v>54</v>
      </c>
      <c r="R94" s="250"/>
    </row>
    <row r="95" spans="2:18" s="95" customFormat="1" ht="12.75" customHeight="1" x14ac:dyDescent="0.45">
      <c r="B95" s="379"/>
      <c r="C95" s="367"/>
      <c r="D95" s="58" t="s">
        <v>1014</v>
      </c>
      <c r="E95" s="40">
        <v>19.05</v>
      </c>
      <c r="F95" s="172">
        <v>0</v>
      </c>
      <c r="G95" s="40"/>
      <c r="H95" s="172">
        <v>0</v>
      </c>
      <c r="I95" s="173"/>
      <c r="J95" s="172">
        <v>1</v>
      </c>
      <c r="K95" s="173" t="s">
        <v>974</v>
      </c>
      <c r="L95" s="172">
        <v>0</v>
      </c>
      <c r="M95" s="174"/>
      <c r="N95" s="176">
        <v>1</v>
      </c>
      <c r="P95" s="2" t="s">
        <v>55</v>
      </c>
      <c r="Q95" s="3" t="s">
        <v>1054</v>
      </c>
      <c r="R95" s="250"/>
    </row>
    <row r="96" spans="2:18" s="95" customFormat="1" ht="12.75" customHeight="1" x14ac:dyDescent="0.45">
      <c r="B96" s="380"/>
      <c r="C96" s="367"/>
      <c r="D96" s="58" t="s">
        <v>993</v>
      </c>
      <c r="E96" s="40">
        <v>19.28</v>
      </c>
      <c r="F96" s="172">
        <v>0</v>
      </c>
      <c r="G96" s="40"/>
      <c r="H96" s="172">
        <v>1</v>
      </c>
      <c r="I96" s="173" t="s">
        <v>969</v>
      </c>
      <c r="J96" s="172">
        <v>0</v>
      </c>
      <c r="K96" s="174"/>
      <c r="L96" s="172">
        <v>0</v>
      </c>
      <c r="M96" s="174"/>
      <c r="N96" s="176">
        <v>1</v>
      </c>
      <c r="P96" s="2"/>
      <c r="Q96" s="3"/>
      <c r="R96" s="250"/>
    </row>
    <row r="97" spans="2:18" s="101" customFormat="1" ht="12.75" customHeight="1" x14ac:dyDescent="0.45">
      <c r="B97" s="382" t="s">
        <v>980</v>
      </c>
      <c r="C97" s="367" t="s">
        <v>1311</v>
      </c>
      <c r="D97" s="58" t="s">
        <v>1007</v>
      </c>
      <c r="E97" s="40">
        <v>15.87</v>
      </c>
      <c r="F97" s="172">
        <v>2</v>
      </c>
      <c r="G97" s="40" t="s">
        <v>1016</v>
      </c>
      <c r="H97" s="172">
        <v>1</v>
      </c>
      <c r="I97" s="173" t="s">
        <v>969</v>
      </c>
      <c r="J97" s="172">
        <v>2</v>
      </c>
      <c r="K97" s="173" t="s">
        <v>976</v>
      </c>
      <c r="L97" s="172">
        <v>1</v>
      </c>
      <c r="M97" s="173" t="s">
        <v>1015</v>
      </c>
      <c r="N97" s="176">
        <v>6</v>
      </c>
      <c r="P97" s="2" t="s">
        <v>57</v>
      </c>
      <c r="Q97" s="3"/>
      <c r="R97" s="250"/>
    </row>
    <row r="98" spans="2:18" s="101" customFormat="1" ht="12.75" customHeight="1" x14ac:dyDescent="0.45">
      <c r="B98" s="379"/>
      <c r="C98" s="367"/>
      <c r="D98" s="58" t="s">
        <v>1008</v>
      </c>
      <c r="E98" s="40">
        <v>19.87</v>
      </c>
      <c r="F98" s="172">
        <v>2</v>
      </c>
      <c r="G98" s="40" t="s">
        <v>972</v>
      </c>
      <c r="H98" s="172">
        <v>1</v>
      </c>
      <c r="I98" s="173" t="s">
        <v>969</v>
      </c>
      <c r="J98" s="172">
        <v>1</v>
      </c>
      <c r="K98" s="173" t="s">
        <v>974</v>
      </c>
      <c r="L98" s="172">
        <v>0</v>
      </c>
      <c r="M98" s="174"/>
      <c r="N98" s="176">
        <v>4</v>
      </c>
      <c r="P98" s="2" t="s">
        <v>157</v>
      </c>
      <c r="Q98" s="3" t="s">
        <v>1055</v>
      </c>
      <c r="R98" s="250"/>
    </row>
    <row r="99" spans="2:18" s="101" customFormat="1" ht="12.75" customHeight="1" x14ac:dyDescent="0.45">
      <c r="B99" s="379"/>
      <c r="C99" s="367"/>
      <c r="D99" s="58" t="s">
        <v>1009</v>
      </c>
      <c r="E99" s="40">
        <v>18.54</v>
      </c>
      <c r="F99" s="172">
        <v>1</v>
      </c>
      <c r="G99" s="40" t="s">
        <v>968</v>
      </c>
      <c r="H99" s="172">
        <v>1</v>
      </c>
      <c r="I99" s="173" t="s">
        <v>969</v>
      </c>
      <c r="J99" s="172">
        <v>2</v>
      </c>
      <c r="K99" s="173" t="s">
        <v>978</v>
      </c>
      <c r="L99" s="172">
        <v>0</v>
      </c>
      <c r="M99" s="174"/>
      <c r="N99" s="176">
        <v>4</v>
      </c>
      <c r="P99" s="2" t="s">
        <v>497</v>
      </c>
      <c r="Q99" s="3" t="s">
        <v>1056</v>
      </c>
      <c r="R99" s="250"/>
    </row>
    <row r="100" spans="2:18" s="101" customFormat="1" ht="12.75" customHeight="1" x14ac:dyDescent="0.45">
      <c r="B100" s="379"/>
      <c r="C100" s="367"/>
      <c r="D100" s="58" t="s">
        <v>988</v>
      </c>
      <c r="E100" s="40">
        <v>19.47</v>
      </c>
      <c r="F100" s="172">
        <v>2</v>
      </c>
      <c r="G100" s="40" t="s">
        <v>1016</v>
      </c>
      <c r="H100" s="172">
        <v>1</v>
      </c>
      <c r="I100" s="173" t="s">
        <v>969</v>
      </c>
      <c r="J100" s="172">
        <v>2</v>
      </c>
      <c r="K100" s="173" t="s">
        <v>978</v>
      </c>
      <c r="L100" s="172">
        <v>0</v>
      </c>
      <c r="M100" s="174"/>
      <c r="N100" s="176">
        <v>5</v>
      </c>
      <c r="P100" s="2" t="s">
        <v>62</v>
      </c>
      <c r="Q100" s="3" t="s">
        <v>1057</v>
      </c>
      <c r="R100" s="250"/>
    </row>
    <row r="101" spans="2:18" s="101" customFormat="1" ht="12.75" customHeight="1" x14ac:dyDescent="0.45">
      <c r="B101" s="379"/>
      <c r="C101" s="367"/>
      <c r="D101" s="58" t="s">
        <v>1010</v>
      </c>
      <c r="E101" s="40">
        <v>19.600000000000001</v>
      </c>
      <c r="F101" s="172">
        <v>1</v>
      </c>
      <c r="G101" s="40" t="s">
        <v>968</v>
      </c>
      <c r="H101" s="172">
        <v>1</v>
      </c>
      <c r="I101" s="173" t="s">
        <v>969</v>
      </c>
      <c r="J101" s="172">
        <v>2</v>
      </c>
      <c r="K101" s="173" t="s">
        <v>976</v>
      </c>
      <c r="L101" s="172">
        <v>0</v>
      </c>
      <c r="M101" s="174"/>
      <c r="N101" s="176">
        <v>4</v>
      </c>
      <c r="P101" s="2" t="s">
        <v>64</v>
      </c>
      <c r="Q101" s="3" t="s">
        <v>1058</v>
      </c>
      <c r="R101" s="250"/>
    </row>
    <row r="102" spans="2:18" s="95" customFormat="1" ht="12.75" customHeight="1" x14ac:dyDescent="0.45">
      <c r="B102" s="379"/>
      <c r="C102" s="367" t="s">
        <v>1399</v>
      </c>
      <c r="D102" s="58" t="s">
        <v>1011</v>
      </c>
      <c r="E102" s="40">
        <v>19.95</v>
      </c>
      <c r="F102" s="172">
        <v>0</v>
      </c>
      <c r="G102" s="40"/>
      <c r="H102" s="172">
        <v>0</v>
      </c>
      <c r="I102" s="173"/>
      <c r="J102" s="172">
        <v>0</v>
      </c>
      <c r="K102" s="173"/>
      <c r="L102" s="172">
        <v>0</v>
      </c>
      <c r="M102" s="174"/>
      <c r="N102" s="176">
        <v>0</v>
      </c>
      <c r="P102" s="2" t="s">
        <v>66</v>
      </c>
      <c r="Q102" s="3">
        <v>0.68089999999999995</v>
      </c>
      <c r="R102" s="250"/>
    </row>
    <row r="103" spans="2:18" s="95" customFormat="1" ht="12.75" customHeight="1" x14ac:dyDescent="0.45">
      <c r="B103" s="379"/>
      <c r="C103" s="367"/>
      <c r="D103" s="58" t="s">
        <v>1012</v>
      </c>
      <c r="E103" s="40">
        <v>20.22</v>
      </c>
      <c r="F103" s="172">
        <v>1</v>
      </c>
      <c r="G103" s="40" t="s">
        <v>968</v>
      </c>
      <c r="H103" s="172">
        <v>1</v>
      </c>
      <c r="I103" s="173" t="s">
        <v>969</v>
      </c>
      <c r="J103" s="172">
        <v>0</v>
      </c>
      <c r="K103" s="173"/>
      <c r="L103" s="172">
        <v>0</v>
      </c>
      <c r="M103" s="174"/>
      <c r="N103" s="176">
        <v>2</v>
      </c>
      <c r="P103" s="2"/>
      <c r="Q103" s="3"/>
      <c r="R103" s="250"/>
    </row>
    <row r="104" spans="2:18" s="95" customFormat="1" ht="12.75" customHeight="1" x14ac:dyDescent="0.45">
      <c r="B104" s="379"/>
      <c r="C104" s="367"/>
      <c r="D104" s="58" t="s">
        <v>1013</v>
      </c>
      <c r="E104" s="40">
        <v>19.510000000000002</v>
      </c>
      <c r="F104" s="172">
        <v>0</v>
      </c>
      <c r="G104" s="40"/>
      <c r="H104" s="172">
        <v>0</v>
      </c>
      <c r="I104" s="173"/>
      <c r="J104" s="172">
        <v>0</v>
      </c>
      <c r="K104" s="174"/>
      <c r="L104" s="172">
        <v>0</v>
      </c>
      <c r="M104" s="174"/>
      <c r="N104" s="176">
        <v>0</v>
      </c>
      <c r="P104" s="2" t="s">
        <v>67</v>
      </c>
      <c r="Q104" s="3"/>
      <c r="R104" s="250"/>
    </row>
    <row r="105" spans="2:18" s="95" customFormat="1" ht="12.75" customHeight="1" x14ac:dyDescent="0.45">
      <c r="B105" s="379"/>
      <c r="C105" s="367"/>
      <c r="D105" s="58" t="s">
        <v>1014</v>
      </c>
      <c r="E105" s="40">
        <v>18.5</v>
      </c>
      <c r="F105" s="172">
        <v>2</v>
      </c>
      <c r="G105" s="40" t="s">
        <v>1016</v>
      </c>
      <c r="H105" s="172">
        <v>1</v>
      </c>
      <c r="I105" s="173" t="s">
        <v>969</v>
      </c>
      <c r="J105" s="172">
        <v>2</v>
      </c>
      <c r="K105" s="173" t="s">
        <v>978</v>
      </c>
      <c r="L105" s="172">
        <v>0</v>
      </c>
      <c r="M105" s="174"/>
      <c r="N105" s="176">
        <v>5</v>
      </c>
      <c r="P105" s="2" t="s">
        <v>68</v>
      </c>
      <c r="Q105" s="3" t="s">
        <v>1059</v>
      </c>
      <c r="R105" s="250"/>
    </row>
    <row r="106" spans="2:18" s="95" customFormat="1" ht="12.75" customHeight="1" x14ac:dyDescent="0.45">
      <c r="B106" s="380"/>
      <c r="C106" s="367"/>
      <c r="D106" s="58" t="s">
        <v>993</v>
      </c>
      <c r="E106" s="40">
        <v>19.68</v>
      </c>
      <c r="F106" s="172">
        <v>0</v>
      </c>
      <c r="G106" s="40"/>
      <c r="H106" s="172">
        <v>1</v>
      </c>
      <c r="I106" s="173" t="s">
        <v>969</v>
      </c>
      <c r="J106" s="172">
        <v>2</v>
      </c>
      <c r="K106" s="173" t="s">
        <v>978</v>
      </c>
      <c r="L106" s="172">
        <v>0</v>
      </c>
      <c r="M106" s="174"/>
      <c r="N106" s="176">
        <v>3</v>
      </c>
      <c r="P106" s="2" t="s">
        <v>47</v>
      </c>
      <c r="Q106" s="3">
        <v>0.80120000000000002</v>
      </c>
      <c r="R106" s="250"/>
    </row>
    <row r="107" spans="2:18" s="101" customFormat="1" ht="12.75" customHeight="1" x14ac:dyDescent="0.45">
      <c r="B107" s="382" t="s">
        <v>982</v>
      </c>
      <c r="C107" s="367" t="s">
        <v>1311</v>
      </c>
      <c r="D107" s="58" t="s">
        <v>1007</v>
      </c>
      <c r="E107" s="40">
        <v>17.350000000000001</v>
      </c>
      <c r="F107" s="172">
        <v>2</v>
      </c>
      <c r="G107" s="40" t="s">
        <v>1016</v>
      </c>
      <c r="H107" s="172">
        <v>2</v>
      </c>
      <c r="I107" s="173" t="s">
        <v>1018</v>
      </c>
      <c r="J107" s="172">
        <v>1</v>
      </c>
      <c r="K107" s="173" t="s">
        <v>974</v>
      </c>
      <c r="L107" s="172">
        <v>1</v>
      </c>
      <c r="M107" s="173" t="s">
        <v>1015</v>
      </c>
      <c r="N107" s="176">
        <v>6</v>
      </c>
      <c r="P107" s="2" t="s">
        <v>49</v>
      </c>
      <c r="Q107" s="3" t="s">
        <v>203</v>
      </c>
      <c r="R107" s="250"/>
    </row>
    <row r="108" spans="2:18" s="101" customFormat="1" ht="12.75" customHeight="1" x14ac:dyDescent="0.45">
      <c r="B108" s="379"/>
      <c r="C108" s="367"/>
      <c r="D108" s="58" t="s">
        <v>1008</v>
      </c>
      <c r="E108" s="40">
        <v>19.760000000000002</v>
      </c>
      <c r="F108" s="172">
        <v>2</v>
      </c>
      <c r="G108" s="40" t="s">
        <v>972</v>
      </c>
      <c r="H108" s="172">
        <v>2</v>
      </c>
      <c r="I108" s="173" t="s">
        <v>1019</v>
      </c>
      <c r="J108" s="172">
        <v>0</v>
      </c>
      <c r="K108" s="173"/>
      <c r="L108" s="172">
        <v>0</v>
      </c>
      <c r="M108" s="174"/>
      <c r="N108" s="176">
        <v>4</v>
      </c>
      <c r="P108" s="2" t="s">
        <v>70</v>
      </c>
      <c r="Q108" s="3" t="s">
        <v>204</v>
      </c>
      <c r="R108" s="250"/>
    </row>
    <row r="109" spans="2:18" s="101" customFormat="1" ht="12.75" customHeight="1" x14ac:dyDescent="0.45">
      <c r="B109" s="379"/>
      <c r="C109" s="367"/>
      <c r="D109" s="58" t="s">
        <v>1009</v>
      </c>
      <c r="E109" s="40">
        <v>16.510000000000002</v>
      </c>
      <c r="F109" s="172">
        <v>2</v>
      </c>
      <c r="G109" s="40" t="s">
        <v>972</v>
      </c>
      <c r="H109" s="172">
        <v>2</v>
      </c>
      <c r="I109" s="173" t="s">
        <v>1019</v>
      </c>
      <c r="J109" s="172">
        <v>1</v>
      </c>
      <c r="K109" s="173" t="s">
        <v>977</v>
      </c>
      <c r="L109" s="172">
        <v>0</v>
      </c>
      <c r="M109" s="174"/>
      <c r="N109" s="176">
        <v>5</v>
      </c>
    </row>
    <row r="110" spans="2:18" s="101" customFormat="1" ht="12.75" customHeight="1" x14ac:dyDescent="0.45">
      <c r="B110" s="379"/>
      <c r="C110" s="367"/>
      <c r="D110" s="58" t="s">
        <v>988</v>
      </c>
      <c r="E110" s="40">
        <v>18.82</v>
      </c>
      <c r="F110" s="172">
        <v>2</v>
      </c>
      <c r="G110" s="40" t="s">
        <v>1016</v>
      </c>
      <c r="H110" s="172">
        <v>2</v>
      </c>
      <c r="I110" s="173" t="s">
        <v>1019</v>
      </c>
      <c r="J110" s="172">
        <v>1</v>
      </c>
      <c r="K110" s="173" t="s">
        <v>974</v>
      </c>
      <c r="L110" s="172">
        <v>0</v>
      </c>
      <c r="M110" s="174"/>
      <c r="N110" s="176">
        <v>5</v>
      </c>
    </row>
    <row r="111" spans="2:18" s="101" customFormat="1" ht="12.75" customHeight="1" x14ac:dyDescent="0.45">
      <c r="B111" s="379"/>
      <c r="C111" s="367"/>
      <c r="D111" s="58" t="s">
        <v>1010</v>
      </c>
      <c r="E111" s="40">
        <v>18.39</v>
      </c>
      <c r="F111" s="172">
        <v>2</v>
      </c>
      <c r="G111" s="40" t="s">
        <v>972</v>
      </c>
      <c r="H111" s="172">
        <v>2</v>
      </c>
      <c r="I111" s="173" t="s">
        <v>1018</v>
      </c>
      <c r="J111" s="172">
        <v>2</v>
      </c>
      <c r="K111" s="173" t="s">
        <v>976</v>
      </c>
      <c r="L111" s="172">
        <v>0</v>
      </c>
      <c r="M111" s="174"/>
      <c r="N111" s="176">
        <v>6</v>
      </c>
      <c r="P111" s="2" t="s">
        <v>41</v>
      </c>
      <c r="Q111" s="8" t="s">
        <v>1024</v>
      </c>
      <c r="R111" s="250"/>
    </row>
    <row r="112" spans="2:18" s="95" customFormat="1" ht="12.75" customHeight="1" x14ac:dyDescent="0.45">
      <c r="B112" s="379"/>
      <c r="C112" s="367" t="s">
        <v>1399</v>
      </c>
      <c r="D112" s="58" t="s">
        <v>1011</v>
      </c>
      <c r="E112" s="40">
        <v>18.41</v>
      </c>
      <c r="F112" s="172">
        <v>0</v>
      </c>
      <c r="G112" s="40"/>
      <c r="H112" s="172">
        <v>1</v>
      </c>
      <c r="I112" s="173" t="s">
        <v>969</v>
      </c>
      <c r="J112" s="172">
        <v>0</v>
      </c>
      <c r="K112" s="173"/>
      <c r="L112" s="172">
        <v>0</v>
      </c>
      <c r="M112" s="174"/>
      <c r="N112" s="176">
        <v>1</v>
      </c>
      <c r="P112" s="7" t="s">
        <v>43</v>
      </c>
      <c r="Q112" s="8" t="s">
        <v>1004</v>
      </c>
      <c r="R112" s="250"/>
    </row>
    <row r="113" spans="2:18" s="95" customFormat="1" ht="12.75" customHeight="1" x14ac:dyDescent="0.45">
      <c r="B113" s="379"/>
      <c r="C113" s="367"/>
      <c r="D113" s="58" t="s">
        <v>1012</v>
      </c>
      <c r="E113" s="40">
        <v>20.71</v>
      </c>
      <c r="F113" s="172">
        <v>0</v>
      </c>
      <c r="G113" s="40"/>
      <c r="H113" s="172">
        <v>1</v>
      </c>
      <c r="I113" s="173" t="s">
        <v>969</v>
      </c>
      <c r="J113" s="172">
        <v>0</v>
      </c>
      <c r="K113" s="173"/>
      <c r="L113" s="172">
        <v>0</v>
      </c>
      <c r="M113" s="174"/>
      <c r="N113" s="176">
        <v>1</v>
      </c>
      <c r="P113" s="7" t="s">
        <v>44</v>
      </c>
      <c r="Q113" s="8" t="s">
        <v>44</v>
      </c>
      <c r="R113" s="250"/>
    </row>
    <row r="114" spans="2:18" s="95" customFormat="1" ht="12.75" customHeight="1" x14ac:dyDescent="0.45">
      <c r="B114" s="379"/>
      <c r="C114" s="367"/>
      <c r="D114" s="58" t="s">
        <v>1013</v>
      </c>
      <c r="E114" s="40">
        <v>18.14</v>
      </c>
      <c r="F114" s="172">
        <v>0</v>
      </c>
      <c r="G114" s="40"/>
      <c r="H114" s="172">
        <v>0</v>
      </c>
      <c r="I114" s="173"/>
      <c r="J114" s="172">
        <v>0</v>
      </c>
      <c r="K114" s="174"/>
      <c r="L114" s="172">
        <v>0</v>
      </c>
      <c r="M114" s="174"/>
      <c r="N114" s="176">
        <v>0</v>
      </c>
      <c r="P114" s="7" t="s">
        <v>1003</v>
      </c>
      <c r="Q114" s="8" t="s">
        <v>1005</v>
      </c>
      <c r="R114" s="250"/>
    </row>
    <row r="115" spans="2:18" s="95" customFormat="1" ht="12.75" customHeight="1" x14ac:dyDescent="0.45">
      <c r="B115" s="379"/>
      <c r="C115" s="367"/>
      <c r="D115" s="58" t="s">
        <v>1014</v>
      </c>
      <c r="E115" s="40">
        <v>19.010000000000002</v>
      </c>
      <c r="F115" s="172">
        <v>2</v>
      </c>
      <c r="G115" s="40" t="s">
        <v>1016</v>
      </c>
      <c r="H115" s="172">
        <v>1</v>
      </c>
      <c r="I115" s="173" t="s">
        <v>969</v>
      </c>
      <c r="J115" s="172">
        <v>2</v>
      </c>
      <c r="K115" s="173" t="s">
        <v>978</v>
      </c>
      <c r="L115" s="172">
        <v>0</v>
      </c>
      <c r="M115" s="174"/>
      <c r="N115" s="176">
        <v>5</v>
      </c>
      <c r="P115" s="2"/>
      <c r="Q115" s="3"/>
      <c r="R115" s="250"/>
    </row>
    <row r="116" spans="2:18" s="95" customFormat="1" ht="12.75" customHeight="1" x14ac:dyDescent="0.45">
      <c r="B116" s="380"/>
      <c r="C116" s="367"/>
      <c r="D116" s="58" t="s">
        <v>993</v>
      </c>
      <c r="E116" s="40">
        <v>18.43</v>
      </c>
      <c r="F116" s="172">
        <v>1</v>
      </c>
      <c r="G116" s="40" t="s">
        <v>968</v>
      </c>
      <c r="H116" s="172">
        <v>1</v>
      </c>
      <c r="I116" s="173" t="s">
        <v>969</v>
      </c>
      <c r="J116" s="172">
        <v>1</v>
      </c>
      <c r="K116" s="173" t="s">
        <v>974</v>
      </c>
      <c r="L116" s="172">
        <v>0</v>
      </c>
      <c r="M116" s="174"/>
      <c r="N116" s="176">
        <v>3</v>
      </c>
      <c r="P116" s="2" t="s">
        <v>46</v>
      </c>
      <c r="Q116" s="3"/>
      <c r="R116" s="250"/>
    </row>
    <row r="117" spans="2:18" s="101" customFormat="1" ht="12.75" customHeight="1" x14ac:dyDescent="0.45">
      <c r="B117" s="382" t="s">
        <v>983</v>
      </c>
      <c r="C117" s="367" t="s">
        <v>1311</v>
      </c>
      <c r="D117" s="58" t="s">
        <v>1007</v>
      </c>
      <c r="E117" s="40">
        <v>17.170000000000002</v>
      </c>
      <c r="F117" s="172">
        <v>2</v>
      </c>
      <c r="G117" s="40" t="s">
        <v>1016</v>
      </c>
      <c r="H117" s="172">
        <v>2</v>
      </c>
      <c r="I117" s="173" t="s">
        <v>1018</v>
      </c>
      <c r="J117" s="172">
        <v>2</v>
      </c>
      <c r="K117" s="173" t="s">
        <v>978</v>
      </c>
      <c r="L117" s="172">
        <v>1</v>
      </c>
      <c r="M117" s="173" t="s">
        <v>1015</v>
      </c>
      <c r="N117" s="176">
        <v>7</v>
      </c>
      <c r="P117" s="7" t="s">
        <v>47</v>
      </c>
      <c r="Q117" s="8">
        <v>2.69E-2</v>
      </c>
      <c r="R117" s="250"/>
    </row>
    <row r="118" spans="2:18" s="101" customFormat="1" ht="12.75" customHeight="1" x14ac:dyDescent="0.45">
      <c r="B118" s="379"/>
      <c r="C118" s="367"/>
      <c r="D118" s="58" t="s">
        <v>1008</v>
      </c>
      <c r="E118" s="40">
        <v>20.329999999999998</v>
      </c>
      <c r="F118" s="172">
        <v>2</v>
      </c>
      <c r="G118" s="40" t="s">
        <v>972</v>
      </c>
      <c r="H118" s="172">
        <v>2</v>
      </c>
      <c r="I118" s="173" t="s">
        <v>1019</v>
      </c>
      <c r="J118" s="172">
        <v>0</v>
      </c>
      <c r="K118" s="173"/>
      <c r="L118" s="172">
        <v>0</v>
      </c>
      <c r="M118" s="174"/>
      <c r="N118" s="176">
        <v>4</v>
      </c>
      <c r="P118" s="7" t="s">
        <v>49</v>
      </c>
      <c r="Q118" s="8" t="s">
        <v>332</v>
      </c>
      <c r="R118" s="250"/>
    </row>
    <row r="119" spans="2:18" s="101" customFormat="1" ht="12.75" customHeight="1" x14ac:dyDescent="0.45">
      <c r="B119" s="379"/>
      <c r="C119" s="367"/>
      <c r="D119" s="58" t="s">
        <v>1009</v>
      </c>
      <c r="E119" s="40">
        <v>18.48</v>
      </c>
      <c r="F119" s="172">
        <v>2</v>
      </c>
      <c r="G119" s="40" t="s">
        <v>972</v>
      </c>
      <c r="H119" s="172">
        <v>2</v>
      </c>
      <c r="I119" s="173" t="s">
        <v>1019</v>
      </c>
      <c r="J119" s="172">
        <v>0</v>
      </c>
      <c r="K119" s="173"/>
      <c r="L119" s="172">
        <v>0</v>
      </c>
      <c r="M119" s="174"/>
      <c r="N119" s="176">
        <v>4</v>
      </c>
      <c r="P119" s="2" t="s">
        <v>51</v>
      </c>
      <c r="Q119" s="3" t="s">
        <v>52</v>
      </c>
      <c r="R119" s="250"/>
    </row>
    <row r="120" spans="2:18" s="101" customFormat="1" ht="12.75" customHeight="1" x14ac:dyDescent="0.45">
      <c r="B120" s="379"/>
      <c r="C120" s="367"/>
      <c r="D120" s="58" t="s">
        <v>988</v>
      </c>
      <c r="E120" s="40">
        <v>19.47</v>
      </c>
      <c r="F120" s="172">
        <v>2</v>
      </c>
      <c r="G120" s="40" t="s">
        <v>1016</v>
      </c>
      <c r="H120" s="172">
        <v>2</v>
      </c>
      <c r="I120" s="173" t="s">
        <v>1019</v>
      </c>
      <c r="J120" s="172">
        <v>2</v>
      </c>
      <c r="K120" s="173" t="s">
        <v>978</v>
      </c>
      <c r="L120" s="172">
        <v>0</v>
      </c>
      <c r="M120" s="174"/>
      <c r="N120" s="176">
        <v>6</v>
      </c>
      <c r="P120" s="2" t="s">
        <v>53</v>
      </c>
      <c r="Q120" s="3" t="s">
        <v>54</v>
      </c>
      <c r="R120" s="250"/>
    </row>
    <row r="121" spans="2:18" s="101" customFormat="1" ht="12.75" customHeight="1" x14ac:dyDescent="0.45">
      <c r="B121" s="379"/>
      <c r="C121" s="367"/>
      <c r="D121" s="58" t="s">
        <v>1010</v>
      </c>
      <c r="E121" s="40">
        <v>19.170000000000002</v>
      </c>
      <c r="F121" s="172">
        <v>2</v>
      </c>
      <c r="G121" s="40" t="s">
        <v>972</v>
      </c>
      <c r="H121" s="172">
        <v>2</v>
      </c>
      <c r="I121" s="173" t="s">
        <v>1018</v>
      </c>
      <c r="J121" s="172">
        <v>0</v>
      </c>
      <c r="K121" s="173"/>
      <c r="L121" s="172">
        <v>0</v>
      </c>
      <c r="M121" s="174"/>
      <c r="N121" s="176">
        <v>4</v>
      </c>
      <c r="P121" s="2" t="s">
        <v>55</v>
      </c>
      <c r="Q121" s="3" t="s">
        <v>1060</v>
      </c>
      <c r="R121" s="250"/>
    </row>
    <row r="122" spans="2:18" s="95" customFormat="1" ht="12.75" customHeight="1" x14ac:dyDescent="0.45">
      <c r="B122" s="379"/>
      <c r="C122" s="367" t="s">
        <v>1399</v>
      </c>
      <c r="D122" s="58" t="s">
        <v>1011</v>
      </c>
      <c r="E122" s="40">
        <v>19.41</v>
      </c>
      <c r="F122" s="172">
        <v>0</v>
      </c>
      <c r="G122" s="40"/>
      <c r="H122" s="172">
        <v>1</v>
      </c>
      <c r="I122" s="173" t="s">
        <v>969</v>
      </c>
      <c r="J122" s="172">
        <v>0</v>
      </c>
      <c r="K122" s="173"/>
      <c r="L122" s="172">
        <v>0</v>
      </c>
      <c r="M122" s="174"/>
      <c r="N122" s="176">
        <v>1</v>
      </c>
      <c r="P122" s="2"/>
      <c r="Q122" s="3"/>
      <c r="R122" s="250"/>
    </row>
    <row r="123" spans="2:18" s="95" customFormat="1" ht="12.75" customHeight="1" x14ac:dyDescent="0.45">
      <c r="B123" s="379"/>
      <c r="C123" s="367"/>
      <c r="D123" s="58" t="s">
        <v>1012</v>
      </c>
      <c r="E123" s="40">
        <v>20.190000000000001</v>
      </c>
      <c r="F123" s="172">
        <v>1</v>
      </c>
      <c r="G123" s="40" t="s">
        <v>981</v>
      </c>
      <c r="H123" s="172">
        <v>1</v>
      </c>
      <c r="I123" s="173" t="s">
        <v>969</v>
      </c>
      <c r="J123" s="172">
        <v>0</v>
      </c>
      <c r="K123" s="173"/>
      <c r="L123" s="172">
        <v>0</v>
      </c>
      <c r="M123" s="174"/>
      <c r="N123" s="176">
        <v>2</v>
      </c>
      <c r="P123" s="2" t="s">
        <v>57</v>
      </c>
      <c r="Q123" s="3"/>
      <c r="R123" s="250"/>
    </row>
    <row r="124" spans="2:18" s="95" customFormat="1" ht="12.75" customHeight="1" x14ac:dyDescent="0.45">
      <c r="B124" s="379"/>
      <c r="C124" s="367"/>
      <c r="D124" s="58" t="s">
        <v>1013</v>
      </c>
      <c r="E124" s="40">
        <v>19.22</v>
      </c>
      <c r="F124" s="172">
        <v>0</v>
      </c>
      <c r="G124" s="40"/>
      <c r="H124" s="172">
        <v>0</v>
      </c>
      <c r="I124" s="173"/>
      <c r="J124" s="172">
        <v>0</v>
      </c>
      <c r="K124" s="174"/>
      <c r="L124" s="172">
        <v>0</v>
      </c>
      <c r="M124" s="174"/>
      <c r="N124" s="176">
        <v>0</v>
      </c>
      <c r="P124" s="2" t="s">
        <v>247</v>
      </c>
      <c r="Q124" s="3" t="s">
        <v>1061</v>
      </c>
      <c r="R124" s="250"/>
    </row>
    <row r="125" spans="2:18" s="95" customFormat="1" ht="12.75" customHeight="1" x14ac:dyDescent="0.45">
      <c r="B125" s="379"/>
      <c r="C125" s="367"/>
      <c r="D125" s="58" t="s">
        <v>1014</v>
      </c>
      <c r="E125" s="40">
        <v>19.61</v>
      </c>
      <c r="F125" s="172">
        <v>1</v>
      </c>
      <c r="G125" s="40" t="s">
        <v>981</v>
      </c>
      <c r="H125" s="172">
        <v>1</v>
      </c>
      <c r="I125" s="173" t="s">
        <v>969</v>
      </c>
      <c r="J125" s="172">
        <v>1</v>
      </c>
      <c r="K125" s="173" t="s">
        <v>974</v>
      </c>
      <c r="L125" s="172">
        <v>0</v>
      </c>
      <c r="M125" s="174"/>
      <c r="N125" s="176">
        <v>3</v>
      </c>
      <c r="P125" s="2" t="s">
        <v>60</v>
      </c>
      <c r="Q125" s="3" t="s">
        <v>1062</v>
      </c>
      <c r="R125" s="250"/>
    </row>
    <row r="126" spans="2:18" s="95" customFormat="1" ht="12.75" customHeight="1" x14ac:dyDescent="0.45">
      <c r="B126" s="380"/>
      <c r="C126" s="367"/>
      <c r="D126" s="58" t="s">
        <v>993</v>
      </c>
      <c r="E126" s="40">
        <v>19.07</v>
      </c>
      <c r="F126" s="172">
        <v>1</v>
      </c>
      <c r="G126" s="40" t="s">
        <v>968</v>
      </c>
      <c r="H126" s="172">
        <v>2</v>
      </c>
      <c r="I126" s="173" t="s">
        <v>1018</v>
      </c>
      <c r="J126" s="172">
        <v>0</v>
      </c>
      <c r="K126" s="173"/>
      <c r="L126" s="172">
        <v>0</v>
      </c>
      <c r="M126" s="174"/>
      <c r="N126" s="176">
        <v>3</v>
      </c>
      <c r="P126" s="2" t="s">
        <v>62</v>
      </c>
      <c r="Q126" s="3" t="s">
        <v>1063</v>
      </c>
      <c r="R126" s="250"/>
    </row>
    <row r="127" spans="2:18" s="101" customFormat="1" ht="12.75" customHeight="1" x14ac:dyDescent="0.45">
      <c r="B127" s="382" t="s">
        <v>984</v>
      </c>
      <c r="C127" s="367" t="s">
        <v>1311</v>
      </c>
      <c r="D127" s="58" t="s">
        <v>1007</v>
      </c>
      <c r="E127" s="40">
        <v>18.059999999999999</v>
      </c>
      <c r="F127" s="172">
        <v>2</v>
      </c>
      <c r="G127" s="40" t="s">
        <v>1016</v>
      </c>
      <c r="H127" s="172">
        <v>2</v>
      </c>
      <c r="I127" s="173" t="s">
        <v>1018</v>
      </c>
      <c r="J127" s="172">
        <v>2</v>
      </c>
      <c r="K127" s="173" t="s">
        <v>978</v>
      </c>
      <c r="L127" s="172">
        <v>0</v>
      </c>
      <c r="M127" s="173"/>
      <c r="N127" s="176">
        <v>6</v>
      </c>
      <c r="P127" s="2" t="s">
        <v>64</v>
      </c>
      <c r="Q127" s="3" t="s">
        <v>1064</v>
      </c>
      <c r="R127" s="250"/>
    </row>
    <row r="128" spans="2:18" s="101" customFormat="1" ht="12.75" customHeight="1" x14ac:dyDescent="0.45">
      <c r="B128" s="379"/>
      <c r="C128" s="367"/>
      <c r="D128" s="58" t="s">
        <v>1008</v>
      </c>
      <c r="E128" s="40">
        <v>21.22</v>
      </c>
      <c r="F128" s="172">
        <v>2</v>
      </c>
      <c r="G128" s="40" t="s">
        <v>972</v>
      </c>
      <c r="H128" s="172">
        <v>1</v>
      </c>
      <c r="I128" s="173" t="s">
        <v>969</v>
      </c>
      <c r="J128" s="172">
        <v>1</v>
      </c>
      <c r="K128" s="173" t="s">
        <v>974</v>
      </c>
      <c r="L128" s="172">
        <v>0</v>
      </c>
      <c r="M128" s="174"/>
      <c r="N128" s="176">
        <v>4</v>
      </c>
      <c r="P128" s="2" t="s">
        <v>66</v>
      </c>
      <c r="Q128" s="3">
        <v>0.47760000000000002</v>
      </c>
      <c r="R128" s="250"/>
    </row>
    <row r="129" spans="2:18" s="101" customFormat="1" ht="12.75" customHeight="1" x14ac:dyDescent="0.45">
      <c r="B129" s="379"/>
      <c r="C129" s="367"/>
      <c r="D129" s="58" t="s">
        <v>1009</v>
      </c>
      <c r="E129" s="40">
        <v>19.21</v>
      </c>
      <c r="F129" s="172">
        <v>2</v>
      </c>
      <c r="G129" s="40" t="s">
        <v>972</v>
      </c>
      <c r="H129" s="172">
        <v>2</v>
      </c>
      <c r="I129" s="173" t="s">
        <v>1019</v>
      </c>
      <c r="J129" s="172">
        <v>1</v>
      </c>
      <c r="K129" s="173" t="s">
        <v>977</v>
      </c>
      <c r="L129" s="172">
        <v>0</v>
      </c>
      <c r="M129" s="174"/>
      <c r="N129" s="176">
        <v>5</v>
      </c>
      <c r="P129" s="2"/>
      <c r="Q129" s="3"/>
      <c r="R129" s="250"/>
    </row>
    <row r="130" spans="2:18" s="101" customFormat="1" ht="12.75" customHeight="1" x14ac:dyDescent="0.45">
      <c r="B130" s="379"/>
      <c r="C130" s="367"/>
      <c r="D130" s="58" t="s">
        <v>988</v>
      </c>
      <c r="E130" s="40">
        <v>19.82</v>
      </c>
      <c r="F130" s="172">
        <v>2</v>
      </c>
      <c r="G130" s="40" t="s">
        <v>1016</v>
      </c>
      <c r="H130" s="172">
        <v>2</v>
      </c>
      <c r="I130" s="173" t="s">
        <v>1019</v>
      </c>
      <c r="J130" s="172">
        <v>2</v>
      </c>
      <c r="K130" s="173" t="s">
        <v>978</v>
      </c>
      <c r="L130" s="172">
        <v>0</v>
      </c>
      <c r="M130" s="174"/>
      <c r="N130" s="176">
        <v>6</v>
      </c>
      <c r="P130" s="2" t="s">
        <v>67</v>
      </c>
      <c r="Q130" s="3"/>
      <c r="R130" s="250"/>
    </row>
    <row r="131" spans="2:18" s="101" customFormat="1" ht="12.75" customHeight="1" x14ac:dyDescent="0.45">
      <c r="B131" s="379"/>
      <c r="C131" s="367"/>
      <c r="D131" s="58" t="s">
        <v>1010</v>
      </c>
      <c r="E131" s="40">
        <v>20.61</v>
      </c>
      <c r="F131" s="172">
        <v>2</v>
      </c>
      <c r="G131" s="40" t="s">
        <v>972</v>
      </c>
      <c r="H131" s="172">
        <v>1</v>
      </c>
      <c r="I131" s="173" t="s">
        <v>969</v>
      </c>
      <c r="J131" s="172">
        <v>0</v>
      </c>
      <c r="K131" s="173"/>
      <c r="L131" s="172">
        <v>0</v>
      </c>
      <c r="M131" s="174"/>
      <c r="N131" s="176">
        <v>3</v>
      </c>
      <c r="P131" s="2" t="s">
        <v>68</v>
      </c>
      <c r="Q131" s="3" t="s">
        <v>1065</v>
      </c>
      <c r="R131" s="250"/>
    </row>
    <row r="132" spans="2:18" s="95" customFormat="1" ht="12.75" customHeight="1" x14ac:dyDescent="0.45">
      <c r="B132" s="379"/>
      <c r="C132" s="367" t="s">
        <v>1399</v>
      </c>
      <c r="D132" s="58" t="s">
        <v>1011</v>
      </c>
      <c r="E132" s="40">
        <v>20.38</v>
      </c>
      <c r="F132" s="172">
        <v>1</v>
      </c>
      <c r="G132" s="40" t="s">
        <v>981</v>
      </c>
      <c r="H132" s="172">
        <v>0</v>
      </c>
      <c r="I132" s="173"/>
      <c r="J132" s="172">
        <v>0</v>
      </c>
      <c r="K132" s="173"/>
      <c r="L132" s="172">
        <v>0</v>
      </c>
      <c r="M132" s="174"/>
      <c r="N132" s="176">
        <v>1</v>
      </c>
      <c r="P132" s="2" t="s">
        <v>47</v>
      </c>
      <c r="Q132" s="3">
        <v>5.6000000000000001E-2</v>
      </c>
      <c r="R132" s="250"/>
    </row>
    <row r="133" spans="2:18" s="95" customFormat="1" ht="12.75" customHeight="1" x14ac:dyDescent="0.45">
      <c r="B133" s="379"/>
      <c r="C133" s="367"/>
      <c r="D133" s="58" t="s">
        <v>1012</v>
      </c>
      <c r="E133" s="40">
        <v>21.08</v>
      </c>
      <c r="F133" s="172">
        <v>1</v>
      </c>
      <c r="G133" s="40" t="s">
        <v>981</v>
      </c>
      <c r="H133" s="172">
        <v>1</v>
      </c>
      <c r="I133" s="173" t="s">
        <v>969</v>
      </c>
      <c r="J133" s="172">
        <v>0</v>
      </c>
      <c r="K133" s="173"/>
      <c r="L133" s="172">
        <v>0</v>
      </c>
      <c r="M133" s="174"/>
      <c r="N133" s="176">
        <v>2</v>
      </c>
      <c r="P133" s="2" t="s">
        <v>49</v>
      </c>
      <c r="Q133" s="3" t="s">
        <v>203</v>
      </c>
      <c r="R133" s="250"/>
    </row>
    <row r="134" spans="2:18" s="95" customFormat="1" ht="12.75" customHeight="1" x14ac:dyDescent="0.45">
      <c r="B134" s="379"/>
      <c r="C134" s="367"/>
      <c r="D134" s="58" t="s">
        <v>1013</v>
      </c>
      <c r="E134" s="40">
        <v>19.71</v>
      </c>
      <c r="F134" s="172">
        <v>0</v>
      </c>
      <c r="G134" s="40"/>
      <c r="H134" s="172">
        <v>0</v>
      </c>
      <c r="I134" s="173"/>
      <c r="J134" s="172">
        <v>0</v>
      </c>
      <c r="K134" s="174"/>
      <c r="L134" s="172">
        <v>0</v>
      </c>
      <c r="M134" s="174"/>
      <c r="N134" s="176">
        <v>0</v>
      </c>
      <c r="P134" s="2" t="s">
        <v>70</v>
      </c>
      <c r="Q134" s="3" t="s">
        <v>204</v>
      </c>
      <c r="R134" s="250"/>
    </row>
    <row r="135" spans="2:18" s="95" customFormat="1" ht="12.75" customHeight="1" x14ac:dyDescent="0.25">
      <c r="B135" s="379"/>
      <c r="C135" s="367"/>
      <c r="D135" s="58" t="s">
        <v>1014</v>
      </c>
      <c r="E135" s="40">
        <v>20.48</v>
      </c>
      <c r="F135" s="172">
        <v>1</v>
      </c>
      <c r="G135" s="40" t="s">
        <v>981</v>
      </c>
      <c r="H135" s="172">
        <v>1</v>
      </c>
      <c r="I135" s="173" t="s">
        <v>969</v>
      </c>
      <c r="J135" s="172">
        <v>1</v>
      </c>
      <c r="K135" s="173" t="s">
        <v>974</v>
      </c>
      <c r="L135" s="172">
        <v>0</v>
      </c>
      <c r="M135" s="174"/>
      <c r="N135" s="176">
        <v>3</v>
      </c>
    </row>
    <row r="136" spans="2:18" s="95" customFormat="1" ht="12.75" customHeight="1" x14ac:dyDescent="0.25">
      <c r="B136" s="380"/>
      <c r="C136" s="367"/>
      <c r="D136" s="58" t="s">
        <v>993</v>
      </c>
      <c r="E136" s="40">
        <v>20.66</v>
      </c>
      <c r="F136" s="172">
        <v>1</v>
      </c>
      <c r="G136" s="40" t="s">
        <v>968</v>
      </c>
      <c r="H136" s="172">
        <v>1</v>
      </c>
      <c r="I136" s="173" t="s">
        <v>969</v>
      </c>
      <c r="J136" s="172">
        <v>0</v>
      </c>
      <c r="K136" s="173"/>
      <c r="L136" s="172">
        <v>0</v>
      </c>
      <c r="M136" s="174"/>
      <c r="N136" s="176">
        <v>2</v>
      </c>
    </row>
    <row r="137" spans="2:18" s="101" customFormat="1" ht="12.75" customHeight="1" x14ac:dyDescent="0.3">
      <c r="B137" s="382" t="s">
        <v>1025</v>
      </c>
      <c r="C137" s="367" t="s">
        <v>1311</v>
      </c>
      <c r="D137" s="58" t="s">
        <v>1007</v>
      </c>
      <c r="E137" s="40">
        <v>17.989999999999998</v>
      </c>
      <c r="F137" s="172">
        <v>2</v>
      </c>
      <c r="G137" s="40" t="s">
        <v>1016</v>
      </c>
      <c r="H137" s="172">
        <v>3</v>
      </c>
      <c r="I137" s="173" t="s">
        <v>1022</v>
      </c>
      <c r="J137" s="172">
        <v>2</v>
      </c>
      <c r="K137" s="173" t="s">
        <v>978</v>
      </c>
      <c r="L137" s="172">
        <v>0</v>
      </c>
      <c r="M137" s="173"/>
      <c r="N137" s="176">
        <v>7</v>
      </c>
      <c r="P137" s="2" t="s">
        <v>41</v>
      </c>
      <c r="Q137" s="8" t="s">
        <v>1026</v>
      </c>
    </row>
    <row r="138" spans="2:18" s="101" customFormat="1" ht="12.75" customHeight="1" x14ac:dyDescent="0.3">
      <c r="B138" s="379"/>
      <c r="C138" s="367"/>
      <c r="D138" s="58" t="s">
        <v>1008</v>
      </c>
      <c r="E138" s="40">
        <v>20.41</v>
      </c>
      <c r="F138" s="172">
        <v>2</v>
      </c>
      <c r="G138" s="40" t="s">
        <v>972</v>
      </c>
      <c r="H138" s="172">
        <v>1</v>
      </c>
      <c r="I138" s="173" t="s">
        <v>969</v>
      </c>
      <c r="J138" s="172">
        <v>1</v>
      </c>
      <c r="K138" s="173" t="s">
        <v>974</v>
      </c>
      <c r="L138" s="172">
        <v>0</v>
      </c>
      <c r="M138" s="174"/>
      <c r="N138" s="176">
        <v>4</v>
      </c>
      <c r="P138" s="7" t="s">
        <v>43</v>
      </c>
      <c r="Q138" s="8" t="s">
        <v>1004</v>
      </c>
    </row>
    <row r="139" spans="2:18" s="101" customFormat="1" ht="12.75" customHeight="1" x14ac:dyDescent="0.3">
      <c r="B139" s="379"/>
      <c r="C139" s="367"/>
      <c r="D139" s="58" t="s">
        <v>1009</v>
      </c>
      <c r="E139" s="40">
        <v>20.18</v>
      </c>
      <c r="F139" s="172">
        <v>1</v>
      </c>
      <c r="G139" s="40" t="s">
        <v>981</v>
      </c>
      <c r="H139" s="172">
        <v>1</v>
      </c>
      <c r="I139" s="173" t="s">
        <v>969</v>
      </c>
      <c r="J139" s="172">
        <v>0</v>
      </c>
      <c r="K139" s="173"/>
      <c r="L139" s="172">
        <v>0</v>
      </c>
      <c r="M139" s="174"/>
      <c r="N139" s="176">
        <v>2</v>
      </c>
      <c r="P139" s="7" t="s">
        <v>44</v>
      </c>
      <c r="Q139" s="8" t="s">
        <v>44</v>
      </c>
    </row>
    <row r="140" spans="2:18" s="101" customFormat="1" ht="12.75" customHeight="1" x14ac:dyDescent="0.3">
      <c r="B140" s="379"/>
      <c r="C140" s="367"/>
      <c r="D140" s="58" t="s">
        <v>988</v>
      </c>
      <c r="E140" s="40">
        <v>19.559999999999999</v>
      </c>
      <c r="F140" s="172">
        <v>2</v>
      </c>
      <c r="G140" s="40" t="s">
        <v>1016</v>
      </c>
      <c r="H140" s="172">
        <v>3</v>
      </c>
      <c r="I140" s="173" t="s">
        <v>1023</v>
      </c>
      <c r="J140" s="172">
        <v>2</v>
      </c>
      <c r="K140" s="173" t="s">
        <v>978</v>
      </c>
      <c r="L140" s="172">
        <v>0</v>
      </c>
      <c r="M140" s="174"/>
      <c r="N140" s="176">
        <v>7</v>
      </c>
      <c r="P140" s="7" t="s">
        <v>1003</v>
      </c>
      <c r="Q140" s="8" t="s">
        <v>1005</v>
      </c>
    </row>
    <row r="141" spans="2:18" s="101" customFormat="1" ht="12.75" customHeight="1" x14ac:dyDescent="0.25">
      <c r="B141" s="379"/>
      <c r="C141" s="367"/>
      <c r="D141" s="58" t="s">
        <v>1010</v>
      </c>
      <c r="E141" s="40">
        <v>20.82</v>
      </c>
      <c r="F141" s="172">
        <v>2</v>
      </c>
      <c r="G141" s="40" t="s">
        <v>972</v>
      </c>
      <c r="H141" s="172">
        <v>0</v>
      </c>
      <c r="I141" s="173"/>
      <c r="J141" s="172">
        <v>0</v>
      </c>
      <c r="K141" s="173"/>
      <c r="L141" s="172">
        <v>0</v>
      </c>
      <c r="M141" s="174"/>
      <c r="N141" s="176">
        <v>2</v>
      </c>
      <c r="P141" s="2"/>
      <c r="Q141" s="3"/>
    </row>
    <row r="142" spans="2:18" s="95" customFormat="1" ht="12.75" customHeight="1" x14ac:dyDescent="0.25">
      <c r="B142" s="379"/>
      <c r="C142" s="367" t="s">
        <v>1399</v>
      </c>
      <c r="D142" s="58" t="s">
        <v>1011</v>
      </c>
      <c r="E142" s="40">
        <v>20.04</v>
      </c>
      <c r="F142" s="172">
        <v>1</v>
      </c>
      <c r="G142" s="40" t="s">
        <v>981</v>
      </c>
      <c r="H142" s="172">
        <v>0</v>
      </c>
      <c r="I142" s="173"/>
      <c r="J142" s="172">
        <v>0</v>
      </c>
      <c r="K142" s="173"/>
      <c r="L142" s="172">
        <v>0</v>
      </c>
      <c r="M142" s="174"/>
      <c r="N142" s="176">
        <v>1</v>
      </c>
      <c r="P142" s="2" t="s">
        <v>46</v>
      </c>
      <c r="Q142" s="3"/>
    </row>
    <row r="143" spans="2:18" s="95" customFormat="1" ht="12.75" customHeight="1" x14ac:dyDescent="0.3">
      <c r="B143" s="379"/>
      <c r="C143" s="367"/>
      <c r="D143" s="58" t="s">
        <v>1012</v>
      </c>
      <c r="E143" s="40">
        <v>21.29</v>
      </c>
      <c r="F143" s="172">
        <v>1</v>
      </c>
      <c r="G143" s="40" t="s">
        <v>981</v>
      </c>
      <c r="H143" s="172">
        <v>1</v>
      </c>
      <c r="I143" s="173" t="s">
        <v>969</v>
      </c>
      <c r="J143" s="172">
        <v>0</v>
      </c>
      <c r="K143" s="173"/>
      <c r="L143" s="172">
        <v>0</v>
      </c>
      <c r="M143" s="174"/>
      <c r="N143" s="176">
        <v>2</v>
      </c>
      <c r="P143" s="7" t="s">
        <v>47</v>
      </c>
      <c r="Q143" s="8">
        <v>3.1099999999999999E-2</v>
      </c>
    </row>
    <row r="144" spans="2:18" s="95" customFormat="1" ht="12.75" customHeight="1" x14ac:dyDescent="0.3">
      <c r="B144" s="379"/>
      <c r="C144" s="367"/>
      <c r="D144" s="58" t="s">
        <v>1013</v>
      </c>
      <c r="E144" s="40">
        <v>19.82</v>
      </c>
      <c r="F144" s="172">
        <v>0</v>
      </c>
      <c r="G144" s="40"/>
      <c r="H144" s="172">
        <v>0</v>
      </c>
      <c r="I144" s="173"/>
      <c r="J144" s="172">
        <v>0</v>
      </c>
      <c r="K144" s="174"/>
      <c r="L144" s="172">
        <v>0</v>
      </c>
      <c r="M144" s="174"/>
      <c r="N144" s="176">
        <v>0</v>
      </c>
      <c r="P144" s="7" t="s">
        <v>49</v>
      </c>
      <c r="Q144" s="8" t="s">
        <v>332</v>
      </c>
    </row>
    <row r="145" spans="2:17" s="95" customFormat="1" ht="12.75" customHeight="1" x14ac:dyDescent="0.25">
      <c r="B145" s="379"/>
      <c r="C145" s="367"/>
      <c r="D145" s="58" t="s">
        <v>1014</v>
      </c>
      <c r="E145" s="40">
        <v>20.04</v>
      </c>
      <c r="F145" s="172">
        <v>1</v>
      </c>
      <c r="G145" s="40" t="s">
        <v>981</v>
      </c>
      <c r="H145" s="172">
        <v>0</v>
      </c>
      <c r="I145" s="173"/>
      <c r="J145" s="172">
        <v>0</v>
      </c>
      <c r="K145" s="173"/>
      <c r="L145" s="172">
        <v>0</v>
      </c>
      <c r="M145" s="174"/>
      <c r="N145" s="176">
        <v>1</v>
      </c>
      <c r="P145" s="2" t="s">
        <v>51</v>
      </c>
      <c r="Q145" s="3" t="s">
        <v>52</v>
      </c>
    </row>
    <row r="146" spans="2:17" s="95" customFormat="1" ht="12.75" customHeight="1" x14ac:dyDescent="0.25">
      <c r="B146" s="380"/>
      <c r="C146" s="367"/>
      <c r="D146" s="58" t="s">
        <v>993</v>
      </c>
      <c r="E146" s="40">
        <v>20.69</v>
      </c>
      <c r="F146" s="172">
        <v>1</v>
      </c>
      <c r="G146" s="40" t="s">
        <v>981</v>
      </c>
      <c r="H146" s="172">
        <v>1</v>
      </c>
      <c r="I146" s="173" t="s">
        <v>969</v>
      </c>
      <c r="J146" s="172">
        <v>0</v>
      </c>
      <c r="K146" s="173"/>
      <c r="L146" s="172">
        <v>0</v>
      </c>
      <c r="M146" s="174"/>
      <c r="N146" s="176">
        <v>2</v>
      </c>
      <c r="P146" s="2" t="s">
        <v>53</v>
      </c>
      <c r="Q146" s="3" t="s">
        <v>54</v>
      </c>
    </row>
    <row r="147" spans="2:17" s="101" customFormat="1" ht="12.75" customHeight="1" x14ac:dyDescent="0.25">
      <c r="B147" s="382" t="s">
        <v>1027</v>
      </c>
      <c r="C147" s="367" t="s">
        <v>1311</v>
      </c>
      <c r="D147" s="58" t="s">
        <v>1007</v>
      </c>
      <c r="E147" s="40">
        <v>17.22</v>
      </c>
      <c r="F147" s="172">
        <v>2</v>
      </c>
      <c r="G147" s="40" t="s">
        <v>1016</v>
      </c>
      <c r="H147" s="172">
        <v>3</v>
      </c>
      <c r="I147" s="173" t="s">
        <v>1022</v>
      </c>
      <c r="J147" s="172">
        <v>2</v>
      </c>
      <c r="K147" s="173" t="s">
        <v>978</v>
      </c>
      <c r="L147" s="172">
        <v>0</v>
      </c>
      <c r="M147" s="173"/>
      <c r="N147" s="176">
        <v>7</v>
      </c>
      <c r="P147" s="2" t="s">
        <v>55</v>
      </c>
      <c r="Q147" s="3" t="s">
        <v>1031</v>
      </c>
    </row>
    <row r="148" spans="2:17" s="101" customFormat="1" ht="12.75" customHeight="1" x14ac:dyDescent="0.25">
      <c r="B148" s="379"/>
      <c r="C148" s="367"/>
      <c r="D148" s="58" t="s">
        <v>1008</v>
      </c>
      <c r="E148" s="40">
        <v>20.079999999999998</v>
      </c>
      <c r="F148" s="172">
        <v>2</v>
      </c>
      <c r="G148" s="40" t="s">
        <v>972</v>
      </c>
      <c r="H148" s="172">
        <v>1</v>
      </c>
      <c r="I148" s="173" t="s">
        <v>969</v>
      </c>
      <c r="J148" s="172">
        <v>0</v>
      </c>
      <c r="K148" s="173"/>
      <c r="L148" s="172">
        <v>0</v>
      </c>
      <c r="M148" s="174"/>
      <c r="N148" s="176">
        <v>3</v>
      </c>
      <c r="P148" s="2"/>
      <c r="Q148" s="3"/>
    </row>
    <row r="149" spans="2:17" s="101" customFormat="1" ht="12.75" customHeight="1" x14ac:dyDescent="0.25">
      <c r="B149" s="379"/>
      <c r="C149" s="367"/>
      <c r="D149" s="58" t="s">
        <v>1009</v>
      </c>
      <c r="E149" s="40">
        <v>20.97</v>
      </c>
      <c r="F149" s="172">
        <v>1</v>
      </c>
      <c r="G149" s="40" t="s">
        <v>981</v>
      </c>
      <c r="H149" s="172">
        <v>0</v>
      </c>
      <c r="I149" s="173"/>
      <c r="J149" s="172">
        <v>1</v>
      </c>
      <c r="K149" s="173" t="s">
        <v>975</v>
      </c>
      <c r="L149" s="172">
        <v>0</v>
      </c>
      <c r="M149" s="174"/>
      <c r="N149" s="176">
        <v>2</v>
      </c>
      <c r="P149" s="2" t="s">
        <v>57</v>
      </c>
      <c r="Q149" s="3"/>
    </row>
    <row r="150" spans="2:17" s="101" customFormat="1" ht="12.75" customHeight="1" x14ac:dyDescent="0.25">
      <c r="B150" s="379"/>
      <c r="C150" s="367"/>
      <c r="D150" s="58" t="s">
        <v>988</v>
      </c>
      <c r="E150" s="40">
        <v>20.8</v>
      </c>
      <c r="F150" s="172">
        <v>2</v>
      </c>
      <c r="G150" s="40" t="s">
        <v>1016</v>
      </c>
      <c r="H150" s="172">
        <v>1</v>
      </c>
      <c r="I150" s="173" t="s">
        <v>969</v>
      </c>
      <c r="J150" s="172">
        <v>2</v>
      </c>
      <c r="K150" s="173" t="s">
        <v>976</v>
      </c>
      <c r="L150" s="172">
        <v>0</v>
      </c>
      <c r="M150" s="174"/>
      <c r="N150" s="176">
        <v>5</v>
      </c>
      <c r="P150" s="2" t="s">
        <v>247</v>
      </c>
      <c r="Q150" s="3" t="s">
        <v>1032</v>
      </c>
    </row>
    <row r="151" spans="2:17" s="101" customFormat="1" ht="12.75" customHeight="1" x14ac:dyDescent="0.25">
      <c r="B151" s="379"/>
      <c r="C151" s="367"/>
      <c r="D151" s="58" t="s">
        <v>1010</v>
      </c>
      <c r="E151" s="40">
        <v>20.75</v>
      </c>
      <c r="F151" s="172">
        <v>1</v>
      </c>
      <c r="G151" s="40" t="s">
        <v>981</v>
      </c>
      <c r="H151" s="172">
        <v>0</v>
      </c>
      <c r="I151" s="173"/>
      <c r="J151" s="172">
        <v>0</v>
      </c>
      <c r="K151" s="173"/>
      <c r="L151" s="172">
        <v>0</v>
      </c>
      <c r="M151" s="174"/>
      <c r="N151" s="176">
        <v>1</v>
      </c>
      <c r="P151" s="2" t="s">
        <v>497</v>
      </c>
      <c r="Q151" s="3" t="s">
        <v>1033</v>
      </c>
    </row>
    <row r="152" spans="2:17" s="95" customFormat="1" ht="12.75" customHeight="1" x14ac:dyDescent="0.25">
      <c r="B152" s="379"/>
      <c r="C152" s="367" t="s">
        <v>1399</v>
      </c>
      <c r="D152" s="58" t="s">
        <v>1011</v>
      </c>
      <c r="E152" s="40">
        <v>20.53</v>
      </c>
      <c r="F152" s="172">
        <v>0</v>
      </c>
      <c r="G152" s="40"/>
      <c r="H152" s="172">
        <v>0</v>
      </c>
      <c r="I152" s="173"/>
      <c r="J152" s="172">
        <v>0</v>
      </c>
      <c r="K152" s="173"/>
      <c r="L152" s="172">
        <v>0</v>
      </c>
      <c r="M152" s="174"/>
      <c r="N152" s="176">
        <v>0</v>
      </c>
      <c r="P152" s="2" t="s">
        <v>62</v>
      </c>
      <c r="Q152" s="3" t="s">
        <v>1034</v>
      </c>
    </row>
    <row r="153" spans="2:17" s="95" customFormat="1" ht="12.75" customHeight="1" x14ac:dyDescent="0.25">
      <c r="B153" s="379"/>
      <c r="C153" s="367"/>
      <c r="D153" s="58" t="s">
        <v>1012</v>
      </c>
      <c r="E153" s="40">
        <v>21.26</v>
      </c>
      <c r="F153" s="172">
        <v>0</v>
      </c>
      <c r="G153" s="40"/>
      <c r="H153" s="172">
        <v>0</v>
      </c>
      <c r="I153" s="173"/>
      <c r="J153" s="172">
        <v>0</v>
      </c>
      <c r="K153" s="173"/>
      <c r="L153" s="172">
        <v>0</v>
      </c>
      <c r="M153" s="174"/>
      <c r="N153" s="176">
        <v>0</v>
      </c>
      <c r="P153" s="2" t="s">
        <v>64</v>
      </c>
      <c r="Q153" s="3" t="s">
        <v>1035</v>
      </c>
    </row>
    <row r="154" spans="2:17" s="95" customFormat="1" ht="12.75" customHeight="1" x14ac:dyDescent="0.25">
      <c r="B154" s="379"/>
      <c r="C154" s="367"/>
      <c r="D154" s="58" t="s">
        <v>1013</v>
      </c>
      <c r="E154" s="40">
        <v>20.71</v>
      </c>
      <c r="F154" s="172">
        <v>0</v>
      </c>
      <c r="G154" s="40"/>
      <c r="H154" s="172">
        <v>0</v>
      </c>
      <c r="I154" s="173"/>
      <c r="J154" s="172">
        <v>0</v>
      </c>
      <c r="K154" s="174"/>
      <c r="L154" s="172">
        <v>0</v>
      </c>
      <c r="M154" s="174"/>
      <c r="N154" s="176">
        <v>0</v>
      </c>
      <c r="P154" s="2" t="s">
        <v>66</v>
      </c>
      <c r="Q154" s="3">
        <v>0.46010000000000001</v>
      </c>
    </row>
    <row r="155" spans="2:17" s="95" customFormat="1" ht="12.75" customHeight="1" x14ac:dyDescent="0.25">
      <c r="B155" s="379"/>
      <c r="C155" s="367"/>
      <c r="D155" s="58" t="s">
        <v>1014</v>
      </c>
      <c r="E155" s="40">
        <v>20.8</v>
      </c>
      <c r="F155" s="172">
        <v>0</v>
      </c>
      <c r="G155" s="40"/>
      <c r="H155" s="172">
        <v>0</v>
      </c>
      <c r="I155" s="173"/>
      <c r="J155" s="172">
        <v>1</v>
      </c>
      <c r="K155" s="173" t="s">
        <v>974</v>
      </c>
      <c r="L155" s="172">
        <v>0</v>
      </c>
      <c r="M155" s="174"/>
      <c r="N155" s="176">
        <v>1</v>
      </c>
      <c r="P155" s="2"/>
      <c r="Q155" s="3"/>
    </row>
    <row r="156" spans="2:17" s="95" customFormat="1" ht="12.75" customHeight="1" x14ac:dyDescent="0.25">
      <c r="B156" s="380"/>
      <c r="C156" s="367"/>
      <c r="D156" s="58" t="s">
        <v>993</v>
      </c>
      <c r="E156" s="40">
        <v>21.07</v>
      </c>
      <c r="F156" s="172">
        <v>2</v>
      </c>
      <c r="G156" s="40" t="s">
        <v>972</v>
      </c>
      <c r="H156" s="172">
        <v>0</v>
      </c>
      <c r="I156" s="173"/>
      <c r="J156" s="172">
        <v>0</v>
      </c>
      <c r="K156" s="173"/>
      <c r="L156" s="172">
        <v>0</v>
      </c>
      <c r="M156" s="174"/>
      <c r="N156" s="176">
        <v>2</v>
      </c>
      <c r="P156" s="2" t="s">
        <v>67</v>
      </c>
      <c r="Q156" s="3"/>
    </row>
    <row r="157" spans="2:17" s="101" customFormat="1" ht="12.75" customHeight="1" x14ac:dyDescent="0.25">
      <c r="B157" s="382" t="s">
        <v>1028</v>
      </c>
      <c r="C157" s="367" t="s">
        <v>1311</v>
      </c>
      <c r="D157" s="58" t="s">
        <v>1007</v>
      </c>
      <c r="E157" s="40">
        <v>17.2</v>
      </c>
      <c r="F157" s="172">
        <v>2</v>
      </c>
      <c r="G157" s="40" t="s">
        <v>1016</v>
      </c>
      <c r="H157" s="172">
        <v>3</v>
      </c>
      <c r="I157" s="173" t="s">
        <v>1022</v>
      </c>
      <c r="J157" s="172">
        <v>2</v>
      </c>
      <c r="K157" s="173" t="s">
        <v>978</v>
      </c>
      <c r="L157" s="172">
        <v>0</v>
      </c>
      <c r="M157" s="173"/>
      <c r="N157" s="176">
        <v>7</v>
      </c>
      <c r="P157" s="2" t="s">
        <v>68</v>
      </c>
      <c r="Q157" s="3" t="s">
        <v>1036</v>
      </c>
    </row>
    <row r="158" spans="2:17" s="101" customFormat="1" ht="12.75" customHeight="1" x14ac:dyDescent="0.25">
      <c r="B158" s="379"/>
      <c r="C158" s="367"/>
      <c r="D158" s="58" t="s">
        <v>1008</v>
      </c>
      <c r="E158" s="40">
        <v>20.170000000000002</v>
      </c>
      <c r="F158" s="172">
        <v>1</v>
      </c>
      <c r="G158" s="40" t="s">
        <v>981</v>
      </c>
      <c r="H158" s="172">
        <v>1</v>
      </c>
      <c r="I158" s="173" t="s">
        <v>969</v>
      </c>
      <c r="J158" s="172">
        <v>1</v>
      </c>
      <c r="K158" s="173" t="s">
        <v>975</v>
      </c>
      <c r="L158" s="172">
        <v>0</v>
      </c>
      <c r="M158" s="174"/>
      <c r="N158" s="176">
        <v>3</v>
      </c>
      <c r="P158" s="2" t="s">
        <v>47</v>
      </c>
      <c r="Q158" s="3">
        <v>8.1000000000000003E-2</v>
      </c>
    </row>
    <row r="159" spans="2:17" s="101" customFormat="1" ht="12.75" customHeight="1" x14ac:dyDescent="0.25">
      <c r="B159" s="379"/>
      <c r="C159" s="367"/>
      <c r="D159" s="58" t="s">
        <v>1009</v>
      </c>
      <c r="E159" s="40">
        <v>21.52</v>
      </c>
      <c r="F159" s="172">
        <v>1</v>
      </c>
      <c r="G159" s="40" t="s">
        <v>981</v>
      </c>
      <c r="H159" s="172">
        <v>0</v>
      </c>
      <c r="I159" s="173"/>
      <c r="J159" s="172">
        <v>0</v>
      </c>
      <c r="K159" s="173"/>
      <c r="L159" s="172">
        <v>0</v>
      </c>
      <c r="M159" s="174"/>
      <c r="N159" s="176">
        <v>1</v>
      </c>
      <c r="P159" s="2" t="s">
        <v>49</v>
      </c>
      <c r="Q159" s="3" t="s">
        <v>203</v>
      </c>
    </row>
    <row r="160" spans="2:17" s="101" customFormat="1" ht="12.75" customHeight="1" x14ac:dyDescent="0.25">
      <c r="B160" s="379"/>
      <c r="C160" s="367"/>
      <c r="D160" s="58" t="s">
        <v>988</v>
      </c>
      <c r="E160" s="40">
        <v>21.66</v>
      </c>
      <c r="F160" s="172">
        <v>1</v>
      </c>
      <c r="G160" s="40" t="s">
        <v>981</v>
      </c>
      <c r="H160" s="172">
        <v>1</v>
      </c>
      <c r="I160" s="173" t="s">
        <v>969</v>
      </c>
      <c r="J160" s="172">
        <v>2</v>
      </c>
      <c r="K160" s="173" t="s">
        <v>976</v>
      </c>
      <c r="L160" s="172">
        <v>0</v>
      </c>
      <c r="M160" s="174"/>
      <c r="N160" s="176">
        <v>4</v>
      </c>
      <c r="P160" s="2" t="s">
        <v>70</v>
      </c>
      <c r="Q160" s="3" t="s">
        <v>204</v>
      </c>
    </row>
    <row r="161" spans="2:14" s="101" customFormat="1" ht="12.75" customHeight="1" x14ac:dyDescent="0.45">
      <c r="B161" s="379"/>
      <c r="C161" s="367"/>
      <c r="D161" s="58" t="s">
        <v>1010</v>
      </c>
      <c r="E161" s="40">
        <v>20.98</v>
      </c>
      <c r="F161" s="172">
        <v>1</v>
      </c>
      <c r="G161" s="40" t="s">
        <v>981</v>
      </c>
      <c r="H161" s="172">
        <v>0</v>
      </c>
      <c r="I161" s="173"/>
      <c r="J161" s="172">
        <v>0</v>
      </c>
      <c r="K161" s="173"/>
      <c r="L161" s="172">
        <v>0</v>
      </c>
      <c r="M161" s="174"/>
      <c r="N161" s="176">
        <v>1</v>
      </c>
    </row>
    <row r="162" spans="2:14" s="95" customFormat="1" ht="12.75" customHeight="1" x14ac:dyDescent="0.25">
      <c r="B162" s="379"/>
      <c r="C162" s="367" t="s">
        <v>1399</v>
      </c>
      <c r="D162" s="58" t="s">
        <v>1011</v>
      </c>
      <c r="E162" s="40">
        <v>20.309999999999999</v>
      </c>
      <c r="F162" s="172">
        <v>0</v>
      </c>
      <c r="G162" s="40"/>
      <c r="H162" s="172">
        <v>0</v>
      </c>
      <c r="I162" s="173"/>
      <c r="J162" s="172">
        <v>0</v>
      </c>
      <c r="K162" s="173"/>
      <c r="L162" s="172">
        <v>0</v>
      </c>
      <c r="M162" s="174"/>
      <c r="N162" s="176">
        <v>0</v>
      </c>
    </row>
    <row r="163" spans="2:14" s="95" customFormat="1" ht="12.75" customHeight="1" x14ac:dyDescent="0.25">
      <c r="B163" s="379"/>
      <c r="C163" s="367"/>
      <c r="D163" s="58" t="s">
        <v>1012</v>
      </c>
      <c r="E163" s="40">
        <v>22.01</v>
      </c>
      <c r="F163" s="172">
        <v>0</v>
      </c>
      <c r="G163" s="40"/>
      <c r="H163" s="172">
        <v>0</v>
      </c>
      <c r="I163" s="173"/>
      <c r="J163" s="172">
        <v>0</v>
      </c>
      <c r="K163" s="173"/>
      <c r="L163" s="172">
        <v>0</v>
      </c>
      <c r="M163" s="174"/>
      <c r="N163" s="176">
        <v>0</v>
      </c>
    </row>
    <row r="164" spans="2:14" s="95" customFormat="1" ht="12.75" customHeight="1" x14ac:dyDescent="0.25">
      <c r="B164" s="379"/>
      <c r="C164" s="367"/>
      <c r="D164" s="58" t="s">
        <v>1013</v>
      </c>
      <c r="E164" s="40">
        <v>21.32</v>
      </c>
      <c r="F164" s="172">
        <v>0</v>
      </c>
      <c r="G164" s="40"/>
      <c r="H164" s="172">
        <v>0</v>
      </c>
      <c r="I164" s="173"/>
      <c r="J164" s="172">
        <v>0</v>
      </c>
      <c r="K164" s="174"/>
      <c r="L164" s="172">
        <v>0</v>
      </c>
      <c r="M164" s="174"/>
      <c r="N164" s="176">
        <v>0</v>
      </c>
    </row>
    <row r="165" spans="2:14" s="95" customFormat="1" ht="12.75" customHeight="1" x14ac:dyDescent="0.25">
      <c r="B165" s="379"/>
      <c r="C165" s="367"/>
      <c r="D165" s="58" t="s">
        <v>1014</v>
      </c>
      <c r="E165" s="40">
        <v>20.96</v>
      </c>
      <c r="F165" s="172">
        <v>0</v>
      </c>
      <c r="G165" s="40"/>
      <c r="H165" s="172">
        <v>0</v>
      </c>
      <c r="I165" s="173"/>
      <c r="J165" s="172">
        <v>1</v>
      </c>
      <c r="K165" s="173" t="s">
        <v>974</v>
      </c>
      <c r="L165" s="172">
        <v>0</v>
      </c>
      <c r="M165" s="174"/>
      <c r="N165" s="176">
        <v>1</v>
      </c>
    </row>
    <row r="166" spans="2:14" s="95" customFormat="1" ht="12.75" customHeight="1" x14ac:dyDescent="0.25">
      <c r="B166" s="380"/>
      <c r="C166" s="367"/>
      <c r="D166" s="58" t="s">
        <v>993</v>
      </c>
      <c r="E166" s="40">
        <v>21.29</v>
      </c>
      <c r="F166" s="172">
        <v>2</v>
      </c>
      <c r="G166" s="40" t="s">
        <v>972</v>
      </c>
      <c r="H166" s="172">
        <v>1</v>
      </c>
      <c r="I166" s="173" t="s">
        <v>969</v>
      </c>
      <c r="J166" s="172">
        <v>0</v>
      </c>
      <c r="K166" s="173"/>
      <c r="L166" s="172">
        <v>0</v>
      </c>
      <c r="M166" s="174"/>
      <c r="N166" s="176">
        <v>3</v>
      </c>
    </row>
    <row r="167" spans="2:14" s="101" customFormat="1" ht="12.75" customHeight="1" x14ac:dyDescent="0.45">
      <c r="B167" s="382" t="s">
        <v>1029</v>
      </c>
      <c r="C167" s="367" t="s">
        <v>1311</v>
      </c>
      <c r="D167" s="58" t="s">
        <v>1007</v>
      </c>
      <c r="E167" s="40">
        <v>16.98</v>
      </c>
      <c r="F167" s="172">
        <v>2</v>
      </c>
      <c r="G167" s="40" t="s">
        <v>1016</v>
      </c>
      <c r="H167" s="172">
        <v>3</v>
      </c>
      <c r="I167" s="173" t="s">
        <v>1022</v>
      </c>
      <c r="J167" s="172">
        <v>2</v>
      </c>
      <c r="K167" s="173" t="s">
        <v>978</v>
      </c>
      <c r="L167" s="172">
        <v>0</v>
      </c>
      <c r="M167" s="173"/>
      <c r="N167" s="176">
        <v>7</v>
      </c>
    </row>
    <row r="168" spans="2:14" s="101" customFormat="1" ht="12.75" customHeight="1" x14ac:dyDescent="0.45">
      <c r="B168" s="379"/>
      <c r="C168" s="367"/>
      <c r="D168" s="58" t="s">
        <v>1008</v>
      </c>
      <c r="E168" s="40">
        <v>19.489999999999998</v>
      </c>
      <c r="F168" s="172">
        <v>1</v>
      </c>
      <c r="G168" s="40" t="s">
        <v>981</v>
      </c>
      <c r="H168" s="172">
        <v>0</v>
      </c>
      <c r="I168" s="173"/>
      <c r="J168" s="172">
        <v>1</v>
      </c>
      <c r="K168" s="173" t="s">
        <v>975</v>
      </c>
      <c r="L168" s="172">
        <v>0</v>
      </c>
      <c r="M168" s="174"/>
      <c r="N168" s="176">
        <v>2</v>
      </c>
    </row>
    <row r="169" spans="2:14" s="101" customFormat="1" ht="12.75" customHeight="1" x14ac:dyDescent="0.45">
      <c r="B169" s="379"/>
      <c r="C169" s="367"/>
      <c r="D169" s="58" t="s">
        <v>1009</v>
      </c>
      <c r="E169" s="40">
        <v>20.88</v>
      </c>
      <c r="F169" s="172">
        <v>1</v>
      </c>
      <c r="G169" s="40" t="s">
        <v>981</v>
      </c>
      <c r="H169" s="172">
        <v>0</v>
      </c>
      <c r="I169" s="173"/>
      <c r="J169" s="172">
        <v>0</v>
      </c>
      <c r="K169" s="173"/>
      <c r="L169" s="172">
        <v>0</v>
      </c>
      <c r="M169" s="174"/>
      <c r="N169" s="176">
        <v>1</v>
      </c>
    </row>
    <row r="170" spans="2:14" s="101" customFormat="1" ht="12.75" customHeight="1" x14ac:dyDescent="0.45">
      <c r="B170" s="379"/>
      <c r="C170" s="367"/>
      <c r="D170" s="58" t="s">
        <v>988</v>
      </c>
      <c r="E170" s="40">
        <v>21.58</v>
      </c>
      <c r="F170" s="172">
        <v>1</v>
      </c>
      <c r="G170" s="40" t="s">
        <v>981</v>
      </c>
      <c r="H170" s="172">
        <v>0</v>
      </c>
      <c r="I170" s="173"/>
      <c r="J170" s="172">
        <v>1</v>
      </c>
      <c r="K170" s="173" t="s">
        <v>977</v>
      </c>
      <c r="L170" s="172">
        <v>0</v>
      </c>
      <c r="M170" s="174"/>
      <c r="N170" s="176">
        <v>2</v>
      </c>
    </row>
    <row r="171" spans="2:14" s="101" customFormat="1" ht="12.75" customHeight="1" x14ac:dyDescent="0.45">
      <c r="B171" s="379"/>
      <c r="C171" s="367"/>
      <c r="D171" s="58" t="s">
        <v>1010</v>
      </c>
      <c r="E171" s="40">
        <v>20.239999999999998</v>
      </c>
      <c r="F171" s="172">
        <v>1</v>
      </c>
      <c r="G171" s="40" t="s">
        <v>981</v>
      </c>
      <c r="H171" s="172">
        <v>0</v>
      </c>
      <c r="I171" s="173"/>
      <c r="J171" s="172">
        <v>0</v>
      </c>
      <c r="K171" s="173"/>
      <c r="L171" s="172">
        <v>0</v>
      </c>
      <c r="M171" s="174"/>
      <c r="N171" s="176">
        <v>1</v>
      </c>
    </row>
    <row r="172" spans="2:14" s="95" customFormat="1" ht="12.75" customHeight="1" x14ac:dyDescent="0.25">
      <c r="B172" s="379"/>
      <c r="C172" s="367" t="s">
        <v>1399</v>
      </c>
      <c r="D172" s="58" t="s">
        <v>1011</v>
      </c>
      <c r="E172" s="40">
        <v>20.36</v>
      </c>
      <c r="F172" s="172">
        <v>0</v>
      </c>
      <c r="G172" s="40"/>
      <c r="H172" s="172">
        <v>0</v>
      </c>
      <c r="I172" s="173"/>
      <c r="J172" s="172">
        <v>0</v>
      </c>
      <c r="K172" s="173"/>
      <c r="L172" s="172">
        <v>0</v>
      </c>
      <c r="M172" s="174"/>
      <c r="N172" s="176">
        <v>0</v>
      </c>
    </row>
    <row r="173" spans="2:14" s="95" customFormat="1" ht="12.75" customHeight="1" x14ac:dyDescent="0.25">
      <c r="B173" s="379"/>
      <c r="C173" s="367"/>
      <c r="D173" s="58" t="s">
        <v>1012</v>
      </c>
      <c r="E173" s="40">
        <v>21.99</v>
      </c>
      <c r="F173" s="172">
        <v>0</v>
      </c>
      <c r="G173" s="40"/>
      <c r="H173" s="172">
        <v>0</v>
      </c>
      <c r="I173" s="173"/>
      <c r="J173" s="172">
        <v>0</v>
      </c>
      <c r="K173" s="173"/>
      <c r="L173" s="172">
        <v>0</v>
      </c>
      <c r="M173" s="174"/>
      <c r="N173" s="176">
        <v>0</v>
      </c>
    </row>
    <row r="174" spans="2:14" s="95" customFormat="1" ht="12.75" customHeight="1" x14ac:dyDescent="0.25">
      <c r="B174" s="379"/>
      <c r="C174" s="367"/>
      <c r="D174" s="58" t="s">
        <v>1013</v>
      </c>
      <c r="E174" s="40">
        <v>20.53</v>
      </c>
      <c r="F174" s="172">
        <v>0</v>
      </c>
      <c r="G174" s="40"/>
      <c r="H174" s="172">
        <v>0</v>
      </c>
      <c r="I174" s="173"/>
      <c r="J174" s="172">
        <v>0</v>
      </c>
      <c r="K174" s="174"/>
      <c r="L174" s="172">
        <v>0</v>
      </c>
      <c r="M174" s="174"/>
      <c r="N174" s="176">
        <v>0</v>
      </c>
    </row>
    <row r="175" spans="2:14" s="95" customFormat="1" ht="12.75" customHeight="1" x14ac:dyDescent="0.25">
      <c r="B175" s="379"/>
      <c r="C175" s="367"/>
      <c r="D175" s="58" t="s">
        <v>1014</v>
      </c>
      <c r="E175" s="40">
        <v>21.42</v>
      </c>
      <c r="F175" s="172">
        <v>0</v>
      </c>
      <c r="G175" s="40"/>
      <c r="H175" s="172">
        <v>0</v>
      </c>
      <c r="I175" s="173"/>
      <c r="J175" s="172">
        <v>0</v>
      </c>
      <c r="K175" s="173"/>
      <c r="L175" s="172">
        <v>0</v>
      </c>
      <c r="M175" s="174"/>
      <c r="N175" s="176">
        <v>0</v>
      </c>
    </row>
    <row r="176" spans="2:14" s="95" customFormat="1" ht="12.75" customHeight="1" x14ac:dyDescent="0.25">
      <c r="B176" s="380"/>
      <c r="C176" s="367"/>
      <c r="D176" s="58" t="s">
        <v>993</v>
      </c>
      <c r="E176" s="40">
        <v>20.87</v>
      </c>
      <c r="F176" s="172">
        <v>1</v>
      </c>
      <c r="G176" s="40" t="s">
        <v>981</v>
      </c>
      <c r="H176" s="172">
        <v>0</v>
      </c>
      <c r="I176" s="173"/>
      <c r="J176" s="172">
        <v>0</v>
      </c>
      <c r="K176" s="173"/>
      <c r="L176" s="172">
        <v>0</v>
      </c>
      <c r="M176" s="174"/>
      <c r="N176" s="176">
        <v>1</v>
      </c>
    </row>
    <row r="177" spans="2:14" s="101" customFormat="1" ht="12.75" customHeight="1" x14ac:dyDescent="0.45">
      <c r="B177" s="382" t="s">
        <v>1030</v>
      </c>
      <c r="C177" s="367" t="s">
        <v>1311</v>
      </c>
      <c r="D177" s="58" t="s">
        <v>1007</v>
      </c>
      <c r="E177" s="40">
        <v>17.02</v>
      </c>
      <c r="F177" s="172">
        <v>2</v>
      </c>
      <c r="G177" s="40" t="s">
        <v>1016</v>
      </c>
      <c r="H177" s="172">
        <v>3</v>
      </c>
      <c r="I177" s="173" t="s">
        <v>1022</v>
      </c>
      <c r="J177" s="172">
        <v>2</v>
      </c>
      <c r="K177" s="173" t="s">
        <v>978</v>
      </c>
      <c r="L177" s="172">
        <v>0</v>
      </c>
      <c r="M177" s="173"/>
      <c r="N177" s="176">
        <v>7</v>
      </c>
    </row>
    <row r="178" spans="2:14" s="101" customFormat="1" ht="12.75" customHeight="1" x14ac:dyDescent="0.45">
      <c r="B178" s="379"/>
      <c r="C178" s="367"/>
      <c r="D178" s="58" t="s">
        <v>1008</v>
      </c>
      <c r="E178" s="40">
        <v>21.36</v>
      </c>
      <c r="F178" s="172">
        <v>1</v>
      </c>
      <c r="G178" s="40" t="s">
        <v>981</v>
      </c>
      <c r="H178" s="172">
        <v>0</v>
      </c>
      <c r="I178" s="173"/>
      <c r="J178" s="172">
        <v>0</v>
      </c>
      <c r="K178" s="173"/>
      <c r="L178" s="172">
        <v>0</v>
      </c>
      <c r="M178" s="174"/>
      <c r="N178" s="176">
        <v>1</v>
      </c>
    </row>
    <row r="179" spans="2:14" s="101" customFormat="1" ht="12.75" customHeight="1" x14ac:dyDescent="0.45">
      <c r="B179" s="379"/>
      <c r="C179" s="367"/>
      <c r="D179" s="58" t="s">
        <v>1009</v>
      </c>
      <c r="E179" s="40">
        <v>21.1</v>
      </c>
      <c r="F179" s="172">
        <v>1</v>
      </c>
      <c r="G179" s="40" t="s">
        <v>981</v>
      </c>
      <c r="H179" s="172">
        <v>0</v>
      </c>
      <c r="I179" s="173"/>
      <c r="J179" s="172">
        <v>0</v>
      </c>
      <c r="K179" s="173"/>
      <c r="L179" s="172">
        <v>0</v>
      </c>
      <c r="M179" s="174"/>
      <c r="N179" s="176">
        <v>1</v>
      </c>
    </row>
    <row r="180" spans="2:14" s="101" customFormat="1" ht="12.75" customHeight="1" x14ac:dyDescent="0.45">
      <c r="B180" s="379"/>
      <c r="C180" s="367"/>
      <c r="D180" s="58" t="s">
        <v>988</v>
      </c>
      <c r="E180" s="40">
        <v>22.11</v>
      </c>
      <c r="F180" s="172">
        <v>1</v>
      </c>
      <c r="G180" s="40" t="s">
        <v>981</v>
      </c>
      <c r="H180" s="172">
        <v>0</v>
      </c>
      <c r="I180" s="173"/>
      <c r="J180" s="172">
        <v>1</v>
      </c>
      <c r="K180" s="173" t="s">
        <v>977</v>
      </c>
      <c r="L180" s="172">
        <v>0</v>
      </c>
      <c r="M180" s="174"/>
      <c r="N180" s="176">
        <v>2</v>
      </c>
    </row>
    <row r="181" spans="2:14" s="101" customFormat="1" ht="12.75" customHeight="1" x14ac:dyDescent="0.45">
      <c r="B181" s="379"/>
      <c r="C181" s="367"/>
      <c r="D181" s="58" t="s">
        <v>1010</v>
      </c>
      <c r="E181" s="40">
        <v>19.399999999999999</v>
      </c>
      <c r="F181" s="172">
        <v>2</v>
      </c>
      <c r="G181" s="40" t="s">
        <v>972</v>
      </c>
      <c r="H181" s="172">
        <v>0</v>
      </c>
      <c r="I181" s="173"/>
      <c r="J181" s="172">
        <v>0</v>
      </c>
      <c r="K181" s="173"/>
      <c r="L181" s="172">
        <v>0</v>
      </c>
      <c r="M181" s="174"/>
      <c r="N181" s="176">
        <v>2</v>
      </c>
    </row>
    <row r="182" spans="2:14" s="95" customFormat="1" ht="12.75" customHeight="1" x14ac:dyDescent="0.25">
      <c r="B182" s="379"/>
      <c r="C182" s="367" t="s">
        <v>1399</v>
      </c>
      <c r="D182" s="58" t="s">
        <v>1011</v>
      </c>
      <c r="E182" s="40">
        <v>20.66</v>
      </c>
      <c r="F182" s="172">
        <v>0</v>
      </c>
      <c r="G182" s="40"/>
      <c r="H182" s="172">
        <v>0</v>
      </c>
      <c r="I182" s="173"/>
      <c r="J182" s="172">
        <v>0</v>
      </c>
      <c r="K182" s="173"/>
      <c r="L182" s="172">
        <v>0</v>
      </c>
      <c r="M182" s="174"/>
      <c r="N182" s="176">
        <v>0</v>
      </c>
    </row>
    <row r="183" spans="2:14" s="95" customFormat="1" ht="12.75" customHeight="1" x14ac:dyDescent="0.25">
      <c r="B183" s="379"/>
      <c r="C183" s="367"/>
      <c r="D183" s="58" t="s">
        <v>1012</v>
      </c>
      <c r="E183" s="40">
        <v>22.07</v>
      </c>
      <c r="F183" s="172">
        <v>0</v>
      </c>
      <c r="G183" s="40"/>
      <c r="H183" s="172">
        <v>0</v>
      </c>
      <c r="I183" s="173"/>
      <c r="J183" s="172">
        <v>0</v>
      </c>
      <c r="K183" s="173"/>
      <c r="L183" s="172">
        <v>0</v>
      </c>
      <c r="M183" s="174"/>
      <c r="N183" s="176">
        <v>0</v>
      </c>
    </row>
    <row r="184" spans="2:14" s="95" customFormat="1" ht="12.75" customHeight="1" x14ac:dyDescent="0.25">
      <c r="B184" s="379"/>
      <c r="C184" s="367"/>
      <c r="D184" s="58" t="s">
        <v>1013</v>
      </c>
      <c r="E184" s="40">
        <v>20.23</v>
      </c>
      <c r="F184" s="172">
        <v>0</v>
      </c>
      <c r="G184" s="40"/>
      <c r="H184" s="172">
        <v>0</v>
      </c>
      <c r="I184" s="173"/>
      <c r="J184" s="172">
        <v>0</v>
      </c>
      <c r="K184" s="174"/>
      <c r="L184" s="172">
        <v>0</v>
      </c>
      <c r="M184" s="174"/>
      <c r="N184" s="176">
        <v>0</v>
      </c>
    </row>
    <row r="185" spans="2:14" s="95" customFormat="1" ht="12.75" customHeight="1" x14ac:dyDescent="0.25">
      <c r="B185" s="379"/>
      <c r="C185" s="367"/>
      <c r="D185" s="58" t="s">
        <v>1014</v>
      </c>
      <c r="E185" s="40">
        <v>22.12</v>
      </c>
      <c r="F185" s="172">
        <v>0</v>
      </c>
      <c r="G185" s="40"/>
      <c r="H185" s="172">
        <v>0</v>
      </c>
      <c r="I185" s="173"/>
      <c r="J185" s="172">
        <v>0</v>
      </c>
      <c r="K185" s="173"/>
      <c r="L185" s="172">
        <v>0</v>
      </c>
      <c r="M185" s="174"/>
      <c r="N185" s="176">
        <v>0</v>
      </c>
    </row>
    <row r="186" spans="2:14" s="95" customFormat="1" ht="12.75" customHeight="1" x14ac:dyDescent="0.25">
      <c r="B186" s="380"/>
      <c r="C186" s="367"/>
      <c r="D186" s="58" t="s">
        <v>993</v>
      </c>
      <c r="E186" s="40">
        <v>21.6</v>
      </c>
      <c r="F186" s="172">
        <v>0</v>
      </c>
      <c r="G186" s="40"/>
      <c r="H186" s="172">
        <v>1</v>
      </c>
      <c r="I186" s="173" t="s">
        <v>969</v>
      </c>
      <c r="J186" s="172">
        <v>0</v>
      </c>
      <c r="K186" s="173"/>
      <c r="L186" s="172">
        <v>0</v>
      </c>
      <c r="M186" s="174"/>
      <c r="N186" s="176">
        <v>1</v>
      </c>
    </row>
    <row r="187" spans="2:14" s="95" customFormat="1" ht="12.75" customHeight="1" x14ac:dyDescent="0.3">
      <c r="D187" s="5"/>
      <c r="E187" s="96"/>
      <c r="F187" s="98"/>
      <c r="G187" s="98"/>
      <c r="H187" s="98"/>
      <c r="N187" s="99"/>
    </row>
    <row r="188" spans="2:14" s="95" customFormat="1" ht="13" x14ac:dyDescent="0.3">
      <c r="D188" s="5"/>
      <c r="E188" s="96"/>
      <c r="F188" s="98"/>
      <c r="G188" s="98"/>
      <c r="H188" s="98"/>
      <c r="N188" s="99"/>
    </row>
    <row r="189" spans="2:14" s="95" customFormat="1" ht="13" x14ac:dyDescent="0.3">
      <c r="D189" s="5"/>
      <c r="E189" s="96"/>
      <c r="F189" s="98"/>
      <c r="G189" s="98"/>
      <c r="H189" s="98"/>
      <c r="N189" s="99"/>
    </row>
  </sheetData>
  <mergeCells count="67">
    <mergeCell ref="L5:M6"/>
    <mergeCell ref="N5:N6"/>
    <mergeCell ref="C7:C11"/>
    <mergeCell ref="C12:C16"/>
    <mergeCell ref="F4:G4"/>
    <mergeCell ref="H4:I4"/>
    <mergeCell ref="J4:K4"/>
    <mergeCell ref="L4:M4"/>
    <mergeCell ref="C5:C6"/>
    <mergeCell ref="D5:D6"/>
    <mergeCell ref="E5:E6"/>
    <mergeCell ref="F5:G6"/>
    <mergeCell ref="H5:I6"/>
    <mergeCell ref="J5:K6"/>
    <mergeCell ref="C17:C21"/>
    <mergeCell ref="C22:C26"/>
    <mergeCell ref="C47:C51"/>
    <mergeCell ref="C52:C56"/>
    <mergeCell ref="C57:C61"/>
    <mergeCell ref="C27:C31"/>
    <mergeCell ref="C32:C36"/>
    <mergeCell ref="C37:C41"/>
    <mergeCell ref="C42:C46"/>
    <mergeCell ref="B7:B16"/>
    <mergeCell ref="B17:B26"/>
    <mergeCell ref="B27:B36"/>
    <mergeCell ref="B37:B46"/>
    <mergeCell ref="B5:B6"/>
    <mergeCell ref="B47:B56"/>
    <mergeCell ref="B57:B66"/>
    <mergeCell ref="B67:B76"/>
    <mergeCell ref="C67:C71"/>
    <mergeCell ref="C72:C76"/>
    <mergeCell ref="C62:C66"/>
    <mergeCell ref="B77:B86"/>
    <mergeCell ref="C77:C81"/>
    <mergeCell ref="C82:C86"/>
    <mergeCell ref="B87:B96"/>
    <mergeCell ref="C87:C91"/>
    <mergeCell ref="C92:C96"/>
    <mergeCell ref="B97:B106"/>
    <mergeCell ref="C97:C101"/>
    <mergeCell ref="C102:C106"/>
    <mergeCell ref="B107:B116"/>
    <mergeCell ref="C107:C111"/>
    <mergeCell ref="C112:C116"/>
    <mergeCell ref="B117:B126"/>
    <mergeCell ref="C117:C121"/>
    <mergeCell ref="C122:C126"/>
    <mergeCell ref="B127:B136"/>
    <mergeCell ref="C127:C131"/>
    <mergeCell ref="C132:C136"/>
    <mergeCell ref="B137:B146"/>
    <mergeCell ref="C137:C141"/>
    <mergeCell ref="C142:C146"/>
    <mergeCell ref="B147:B156"/>
    <mergeCell ref="C147:C151"/>
    <mergeCell ref="C152:C156"/>
    <mergeCell ref="B177:B186"/>
    <mergeCell ref="C177:C181"/>
    <mergeCell ref="C182:C186"/>
    <mergeCell ref="B157:B166"/>
    <mergeCell ref="C157:C161"/>
    <mergeCell ref="C162:C166"/>
    <mergeCell ref="B167:B176"/>
    <mergeCell ref="C167:C171"/>
    <mergeCell ref="C172:C176"/>
  </mergeCells>
  <phoneticPr fontId="3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7EC9F-9BFE-49F9-BD55-4C68B796268E}">
  <dimension ref="B2:L57"/>
  <sheetViews>
    <sheetView zoomScale="90" zoomScaleNormal="90" workbookViewId="0">
      <selection activeCell="P41" sqref="P41"/>
    </sheetView>
  </sheetViews>
  <sheetFormatPr defaultColWidth="9" defaultRowHeight="14" x14ac:dyDescent="0.45"/>
  <cols>
    <col min="1" max="1" width="6.25" style="14" customWidth="1"/>
    <col min="2" max="2" width="11.5" style="14" bestFit="1" customWidth="1"/>
    <col min="3" max="3" width="11.25" style="14" bestFit="1" customWidth="1"/>
    <col min="4" max="4" width="10.83203125" style="14" customWidth="1"/>
    <col min="5" max="5" width="11.08203125" style="14" customWidth="1"/>
    <col min="6" max="6" width="9" style="14" customWidth="1"/>
    <col min="7" max="7" width="10.33203125" style="14" customWidth="1"/>
    <col min="8" max="9" width="9.33203125" style="14" customWidth="1"/>
    <col min="10" max="10" width="10" style="14" customWidth="1"/>
    <col min="11" max="11" width="7" style="14" customWidth="1"/>
    <col min="12" max="16384" width="9" style="14"/>
  </cols>
  <sheetData>
    <row r="2" spans="2:12" x14ac:dyDescent="0.45">
      <c r="I2" s="13"/>
    </row>
    <row r="3" spans="2:12" s="101" customFormat="1" ht="13" x14ac:dyDescent="0.45">
      <c r="B3" s="24"/>
      <c r="C3" s="24" t="s">
        <v>1086</v>
      </c>
    </row>
    <row r="4" spans="2:12" s="101" customFormat="1" ht="12.5" x14ac:dyDescent="0.45"/>
    <row r="5" spans="2:12" s="102" customFormat="1" ht="13" x14ac:dyDescent="0.45">
      <c r="C5" s="13"/>
      <c r="D5" s="13"/>
      <c r="E5" s="13"/>
      <c r="F5" s="13"/>
      <c r="G5" s="13"/>
      <c r="H5" s="13"/>
      <c r="I5" s="13"/>
      <c r="J5" s="13" t="s">
        <v>1400</v>
      </c>
    </row>
    <row r="6" spans="2:12" s="102" customFormat="1" ht="12.5" x14ac:dyDescent="0.45">
      <c r="B6" s="67"/>
      <c r="C6" s="58" t="s">
        <v>1066</v>
      </c>
      <c r="D6" s="58" t="s">
        <v>1067</v>
      </c>
      <c r="E6" s="58" t="s">
        <v>1068</v>
      </c>
      <c r="F6" s="58" t="s">
        <v>1069</v>
      </c>
      <c r="G6" s="58" t="s">
        <v>1070</v>
      </c>
      <c r="H6" s="58" t="s">
        <v>1071</v>
      </c>
      <c r="I6" s="58" t="s">
        <v>1072</v>
      </c>
      <c r="J6" s="58" t="s">
        <v>1073</v>
      </c>
    </row>
    <row r="7" spans="2:12" s="101" customFormat="1" ht="12.5" x14ac:dyDescent="0.45">
      <c r="B7" s="385" t="s">
        <v>1075</v>
      </c>
      <c r="C7" s="67">
        <v>9.5000000000000001E-2</v>
      </c>
      <c r="D7" s="67">
        <v>5.8000000000000003E-2</v>
      </c>
      <c r="E7" s="67">
        <v>5.2999999999999999E-2</v>
      </c>
      <c r="F7" s="67">
        <v>5.8999999999999997E-2</v>
      </c>
      <c r="G7" s="67">
        <v>6.2E-2</v>
      </c>
      <c r="H7" s="67">
        <v>6.8000000000000005E-2</v>
      </c>
      <c r="I7" s="67">
        <v>5.8000000000000003E-2</v>
      </c>
      <c r="J7" s="67">
        <v>5.8000000000000003E-2</v>
      </c>
    </row>
    <row r="8" spans="2:12" s="101" customFormat="1" ht="12.5" x14ac:dyDescent="0.45">
      <c r="B8" s="387"/>
      <c r="C8" s="67">
        <v>0.113</v>
      </c>
      <c r="D8" s="67">
        <v>5.8999999999999997E-2</v>
      </c>
      <c r="E8" s="67">
        <v>5.6000000000000001E-2</v>
      </c>
      <c r="F8" s="67">
        <v>6.5000000000000002E-2</v>
      </c>
      <c r="G8" s="67">
        <v>6.4000000000000001E-2</v>
      </c>
      <c r="H8" s="67">
        <v>0.08</v>
      </c>
      <c r="I8" s="67">
        <v>6.6000000000000003E-2</v>
      </c>
      <c r="J8" s="67">
        <v>8.8999999999999996E-2</v>
      </c>
    </row>
    <row r="9" spans="2:12" s="101" customFormat="1" ht="12.5" x14ac:dyDescent="0.25">
      <c r="B9" s="385" t="s">
        <v>1074</v>
      </c>
      <c r="C9" s="67">
        <v>2.4500000000000002</v>
      </c>
      <c r="D9" s="67">
        <v>2.5369999999999999</v>
      </c>
      <c r="E9" s="67">
        <v>2.3330000000000002</v>
      </c>
      <c r="F9" s="67">
        <v>0.89600000000000002</v>
      </c>
      <c r="G9" s="67">
        <v>0.14799999999999999</v>
      </c>
      <c r="H9" s="67">
        <v>6.0999999999999999E-2</v>
      </c>
      <c r="I9" s="67">
        <v>6.7000000000000004E-2</v>
      </c>
      <c r="J9" s="67">
        <v>5.1999999999999998E-2</v>
      </c>
      <c r="L9" s="95"/>
    </row>
    <row r="10" spans="2:12" s="101" customFormat="1" ht="12.5" x14ac:dyDescent="0.25">
      <c r="B10" s="387"/>
      <c r="C10" s="67">
        <v>2.4489999999999998</v>
      </c>
      <c r="D10" s="67">
        <v>2.4950000000000001</v>
      </c>
      <c r="E10" s="67">
        <v>2.258</v>
      </c>
      <c r="F10" s="67">
        <v>0.874</v>
      </c>
      <c r="G10" s="67">
        <v>0.14699999999999999</v>
      </c>
      <c r="H10" s="67">
        <v>5.8000000000000003E-2</v>
      </c>
      <c r="I10" s="67">
        <v>5.3999999999999999E-2</v>
      </c>
      <c r="J10" s="67">
        <v>6.9000000000000006E-2</v>
      </c>
      <c r="L10" s="95"/>
    </row>
    <row r="11" spans="2:12" s="101" customFormat="1" ht="12.5" x14ac:dyDescent="0.25">
      <c r="L11" s="95"/>
    </row>
    <row r="12" spans="2:12" x14ac:dyDescent="0.3">
      <c r="L12" s="25"/>
    </row>
    <row r="13" spans="2:12" x14ac:dyDescent="0.3">
      <c r="B13" s="21"/>
      <c r="E13" s="22"/>
      <c r="F13" s="22"/>
      <c r="H13" s="22"/>
      <c r="I13" s="22"/>
      <c r="L13" s="25"/>
    </row>
    <row r="14" spans="2:12" x14ac:dyDescent="0.3">
      <c r="B14" s="21"/>
      <c r="E14" s="22"/>
      <c r="F14" s="22"/>
      <c r="H14" s="22"/>
      <c r="I14" s="22"/>
      <c r="L14" s="25"/>
    </row>
    <row r="15" spans="2:12" x14ac:dyDescent="0.3">
      <c r="B15" s="21"/>
      <c r="E15" s="22"/>
      <c r="F15" s="22"/>
      <c r="H15" s="22"/>
      <c r="I15" s="22"/>
      <c r="L15" s="25"/>
    </row>
    <row r="16" spans="2:12" x14ac:dyDescent="0.3">
      <c r="B16" s="21"/>
      <c r="E16" s="22"/>
      <c r="F16" s="22"/>
      <c r="H16" s="22"/>
      <c r="I16" s="22"/>
      <c r="L16" s="25"/>
    </row>
    <row r="17" spans="2:12" x14ac:dyDescent="0.3">
      <c r="B17" s="21"/>
      <c r="E17" s="22"/>
      <c r="F17" s="22"/>
      <c r="H17" s="22"/>
      <c r="I17" s="22"/>
      <c r="L17" s="25"/>
    </row>
    <row r="18" spans="2:12" x14ac:dyDescent="0.3">
      <c r="B18" s="21"/>
      <c r="E18" s="22"/>
      <c r="F18" s="22"/>
      <c r="H18" s="22"/>
      <c r="I18" s="22"/>
      <c r="L18" s="25"/>
    </row>
    <row r="19" spans="2:12" x14ac:dyDescent="0.3">
      <c r="B19" s="21"/>
      <c r="E19" s="22"/>
      <c r="F19" s="22"/>
      <c r="H19" s="22"/>
      <c r="I19" s="22"/>
      <c r="L19" s="25"/>
    </row>
    <row r="20" spans="2:12" x14ac:dyDescent="0.3">
      <c r="B20" s="21"/>
      <c r="E20" s="22"/>
      <c r="F20" s="22"/>
      <c r="H20" s="22"/>
      <c r="I20" s="22"/>
      <c r="L20" s="25"/>
    </row>
    <row r="21" spans="2:12" x14ac:dyDescent="0.3">
      <c r="B21" s="21"/>
      <c r="E21" s="22"/>
      <c r="F21" s="22"/>
      <c r="H21" s="22"/>
      <c r="I21" s="22"/>
      <c r="L21" s="25"/>
    </row>
    <row r="22" spans="2:12" x14ac:dyDescent="0.3">
      <c r="B22" s="21"/>
      <c r="E22" s="22"/>
      <c r="F22" s="22"/>
      <c r="H22" s="22"/>
      <c r="I22" s="22"/>
      <c r="L22" s="25"/>
    </row>
    <row r="23" spans="2:12" x14ac:dyDescent="0.3">
      <c r="B23" s="21"/>
      <c r="E23" s="22"/>
      <c r="F23" s="22"/>
      <c r="H23" s="22"/>
      <c r="I23" s="22"/>
      <c r="L23" s="25"/>
    </row>
    <row r="24" spans="2:12" x14ac:dyDescent="0.3">
      <c r="B24" s="21"/>
      <c r="E24" s="22"/>
      <c r="F24" s="22"/>
      <c r="H24" s="22"/>
      <c r="I24" s="22"/>
      <c r="L24" s="25"/>
    </row>
    <row r="25" spans="2:12" x14ac:dyDescent="0.3">
      <c r="B25" s="21"/>
      <c r="L25" s="25"/>
    </row>
    <row r="26" spans="2:12" x14ac:dyDescent="0.3">
      <c r="E26" s="24"/>
      <c r="L26" s="25"/>
    </row>
    <row r="27" spans="2:12" x14ac:dyDescent="0.3">
      <c r="L27" s="25"/>
    </row>
    <row r="28" spans="2:12" x14ac:dyDescent="0.3">
      <c r="C28" s="78"/>
      <c r="D28" s="24"/>
      <c r="F28" s="78"/>
      <c r="G28" s="24"/>
      <c r="I28" s="78"/>
      <c r="J28" s="24"/>
      <c r="L28" s="25"/>
    </row>
    <row r="29" spans="2:12" x14ac:dyDescent="0.3">
      <c r="L29" s="25"/>
    </row>
    <row r="30" spans="2:12" x14ac:dyDescent="0.3">
      <c r="L30" s="25"/>
    </row>
    <row r="31" spans="2:12" x14ac:dyDescent="0.3">
      <c r="L31" s="25"/>
    </row>
    <row r="32" spans="2:12" x14ac:dyDescent="0.3">
      <c r="L32" s="25"/>
    </row>
    <row r="34" spans="8:12" x14ac:dyDescent="0.3">
      <c r="L34" s="25"/>
    </row>
    <row r="35" spans="8:12" x14ac:dyDescent="0.3">
      <c r="L35" s="25"/>
    </row>
    <row r="36" spans="8:12" x14ac:dyDescent="0.3">
      <c r="L36" s="25"/>
    </row>
    <row r="37" spans="8:12" x14ac:dyDescent="0.3">
      <c r="L37" s="25"/>
    </row>
    <row r="38" spans="8:12" x14ac:dyDescent="0.3">
      <c r="H38" s="78"/>
      <c r="L38" s="25"/>
    </row>
    <row r="39" spans="8:12" x14ac:dyDescent="0.3">
      <c r="L39" s="25"/>
    </row>
    <row r="40" spans="8:12" x14ac:dyDescent="0.3">
      <c r="L40" s="25"/>
    </row>
    <row r="41" spans="8:12" x14ac:dyDescent="0.3">
      <c r="L41" s="25"/>
    </row>
    <row r="42" spans="8:12" x14ac:dyDescent="0.3">
      <c r="L42" s="25"/>
    </row>
    <row r="43" spans="8:12" x14ac:dyDescent="0.3">
      <c r="L43" s="25"/>
    </row>
    <row r="44" spans="8:12" x14ac:dyDescent="0.3">
      <c r="L44" s="25"/>
    </row>
    <row r="45" spans="8:12" x14ac:dyDescent="0.3">
      <c r="L45" s="25"/>
    </row>
    <row r="46" spans="8:12" x14ac:dyDescent="0.3">
      <c r="L46" s="25"/>
    </row>
    <row r="47" spans="8:12" x14ac:dyDescent="0.3">
      <c r="L47" s="25"/>
    </row>
    <row r="48" spans="8:12" x14ac:dyDescent="0.3">
      <c r="L48" s="25"/>
    </row>
    <row r="49" spans="12:12" x14ac:dyDescent="0.3">
      <c r="L49" s="25"/>
    </row>
    <row r="50" spans="12:12" x14ac:dyDescent="0.3">
      <c r="L50" s="25"/>
    </row>
    <row r="51" spans="12:12" x14ac:dyDescent="0.3">
      <c r="L51" s="25"/>
    </row>
    <row r="52" spans="12:12" x14ac:dyDescent="0.3">
      <c r="L52" s="25"/>
    </row>
    <row r="53" spans="12:12" x14ac:dyDescent="0.3">
      <c r="L53" s="25"/>
    </row>
    <row r="54" spans="12:12" x14ac:dyDescent="0.3">
      <c r="L54" s="25"/>
    </row>
    <row r="55" spans="12:12" x14ac:dyDescent="0.3">
      <c r="L55" s="25"/>
    </row>
    <row r="56" spans="12:12" x14ac:dyDescent="0.3">
      <c r="L56" s="25"/>
    </row>
    <row r="57" spans="12:12" x14ac:dyDescent="0.3">
      <c r="L57" s="25"/>
    </row>
  </sheetData>
  <mergeCells count="2">
    <mergeCell ref="B9:B10"/>
    <mergeCell ref="B7:B8"/>
  </mergeCells>
  <phoneticPr fontId="3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683E-7720-4030-A0E3-94BD49954414}">
  <dimension ref="B2:Y18"/>
  <sheetViews>
    <sheetView zoomScale="90" zoomScaleNormal="90" workbookViewId="0">
      <selection activeCell="L29" sqref="L29"/>
    </sheetView>
  </sheetViews>
  <sheetFormatPr defaultColWidth="9" defaultRowHeight="14" x14ac:dyDescent="0.3"/>
  <cols>
    <col min="1" max="1" width="9" style="25"/>
    <col min="2" max="2" width="14.33203125" style="37" customWidth="1"/>
    <col min="3" max="3" width="6.33203125" style="35" customWidth="1"/>
    <col min="4" max="5" width="6.5" style="36" customWidth="1"/>
    <col min="6" max="6" width="7.5" style="36" bestFit="1" customWidth="1"/>
    <col min="7" max="7" width="6.33203125" style="25" bestFit="1" customWidth="1"/>
    <col min="8" max="8" width="6.75" style="25" customWidth="1"/>
    <col min="9" max="9" width="6.33203125" style="25" bestFit="1" customWidth="1"/>
    <col min="10" max="10" width="6.75" style="25" customWidth="1"/>
    <col min="11" max="11" width="6.33203125" style="25" bestFit="1" customWidth="1"/>
    <col min="12" max="12" width="6.75" style="25" customWidth="1"/>
    <col min="13" max="13" width="6.33203125" style="25" bestFit="1" customWidth="1"/>
    <col min="14" max="14" width="6.75" style="25" customWidth="1"/>
    <col min="15" max="15" width="6.33203125" style="25" bestFit="1" customWidth="1"/>
    <col min="16" max="16" width="6.75" style="25" customWidth="1"/>
    <col min="17" max="17" width="6.33203125" style="25" bestFit="1" customWidth="1"/>
    <col min="18" max="18" width="6.75" style="25" customWidth="1"/>
    <col min="19" max="19" width="5.75" style="25" customWidth="1"/>
    <col min="20" max="20" width="7.58203125" style="25" customWidth="1"/>
    <col min="21" max="22" width="9" style="25"/>
    <col min="23" max="23" width="5.75" style="25" customWidth="1"/>
    <col min="24" max="24" width="31.08203125" style="25" bestFit="1" customWidth="1"/>
    <col min="25" max="25" width="7.5" style="25" bestFit="1" customWidth="1"/>
    <col min="26" max="16384" width="9" style="25"/>
  </cols>
  <sheetData>
    <row r="2" spans="2:25" s="95" customFormat="1" ht="13" x14ac:dyDescent="0.25">
      <c r="C2" s="100" t="s">
        <v>1304</v>
      </c>
      <c r="D2" s="101"/>
      <c r="E2" s="101"/>
    </row>
    <row r="3" spans="2:25" s="95" customFormat="1" ht="13" x14ac:dyDescent="0.25">
      <c r="C3" s="100"/>
      <c r="D3" s="101"/>
      <c r="E3" s="101"/>
    </row>
    <row r="4" spans="2:25" s="95" customFormat="1" ht="12.75" customHeight="1" x14ac:dyDescent="0.3">
      <c r="B4" s="5"/>
      <c r="C4" s="96"/>
      <c r="D4" s="98"/>
      <c r="E4" s="98"/>
      <c r="F4" s="98"/>
      <c r="X4" s="103" t="s">
        <v>71</v>
      </c>
    </row>
    <row r="5" spans="2:25" s="95" customFormat="1" ht="12.75" customHeight="1" x14ac:dyDescent="0.25">
      <c r="B5" s="4"/>
      <c r="C5" s="27" t="s">
        <v>72</v>
      </c>
      <c r="D5" s="263" t="s">
        <v>101</v>
      </c>
      <c r="E5" s="358" t="s">
        <v>1322</v>
      </c>
      <c r="F5" s="359"/>
      <c r="G5" s="358" t="s">
        <v>1373</v>
      </c>
      <c r="H5" s="359"/>
      <c r="I5" s="358" t="s">
        <v>1374</v>
      </c>
      <c r="J5" s="359"/>
      <c r="K5" s="358" t="s">
        <v>1375</v>
      </c>
      <c r="L5" s="359"/>
      <c r="M5" s="358" t="s">
        <v>1376</v>
      </c>
      <c r="N5" s="359"/>
      <c r="O5" s="358" t="s">
        <v>1377</v>
      </c>
      <c r="P5" s="359"/>
      <c r="Q5" s="358" t="s">
        <v>1378</v>
      </c>
      <c r="R5" s="359"/>
      <c r="S5" s="358" t="s">
        <v>1379</v>
      </c>
      <c r="T5" s="359"/>
    </row>
    <row r="6" spans="2:25" s="95" customFormat="1" ht="12.75" customHeight="1" x14ac:dyDescent="0.3">
      <c r="B6" s="4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X6" s="7" t="s">
        <v>140</v>
      </c>
      <c r="Y6" s="3"/>
    </row>
    <row r="7" spans="2:25" s="95" customFormat="1" ht="12.75" customHeight="1" x14ac:dyDescent="0.25">
      <c r="B7" s="354" t="s">
        <v>1390</v>
      </c>
      <c r="C7" s="58" t="s">
        <v>1382</v>
      </c>
      <c r="D7" s="92">
        <v>28.02</v>
      </c>
      <c r="E7" s="40">
        <v>27.38</v>
      </c>
      <c r="F7" s="47">
        <f>E7/D7*100</f>
        <v>97.715917201998565</v>
      </c>
      <c r="G7" s="40">
        <v>27.03</v>
      </c>
      <c r="H7" s="47">
        <f t="shared" ref="H7:H14" si="0">G7/D7*100</f>
        <v>96.466809421841546</v>
      </c>
      <c r="I7" s="40">
        <v>28.33</v>
      </c>
      <c r="J7" s="47">
        <f t="shared" ref="J7:J14" si="1">I7/D7*100</f>
        <v>101.10635260528194</v>
      </c>
      <c r="K7" s="40">
        <v>27.04</v>
      </c>
      <c r="L7" s="47">
        <f t="shared" ref="L7:L14" si="2">K7/D7*100</f>
        <v>96.502498215560323</v>
      </c>
      <c r="M7" s="40">
        <v>26.91</v>
      </c>
      <c r="N7" s="47">
        <f t="shared" ref="N7:N14" si="3">M7/D7*100</f>
        <v>96.038543897216272</v>
      </c>
      <c r="O7" s="40">
        <v>28.34</v>
      </c>
      <c r="P7" s="47">
        <f t="shared" ref="P7:P14" si="4">O7/D7*100</f>
        <v>101.14204139900072</v>
      </c>
      <c r="Q7" s="40">
        <v>28.47</v>
      </c>
      <c r="R7" s="47">
        <f t="shared" ref="R7:R14" si="5">Q7/D7*100</f>
        <v>101.60599571734474</v>
      </c>
      <c r="S7" s="40">
        <v>27.9</v>
      </c>
      <c r="T7" s="47">
        <f>S7/D7*100</f>
        <v>99.571734475374726</v>
      </c>
      <c r="U7" s="49" t="s">
        <v>1380</v>
      </c>
      <c r="V7" s="342"/>
      <c r="X7" s="2"/>
      <c r="Y7" s="3"/>
    </row>
    <row r="8" spans="2:25" s="95" customFormat="1" ht="12.75" customHeight="1" x14ac:dyDescent="0.25">
      <c r="B8" s="354"/>
      <c r="C8" s="58" t="s">
        <v>1383</v>
      </c>
      <c r="D8" s="92">
        <v>26.49</v>
      </c>
      <c r="E8" s="40">
        <v>26.38</v>
      </c>
      <c r="F8" s="47">
        <f t="shared" ref="F8:F14" si="6">E8/D8*100</f>
        <v>99.584748961872407</v>
      </c>
      <c r="G8" s="40">
        <v>26.3</v>
      </c>
      <c r="H8" s="47">
        <f t="shared" si="0"/>
        <v>99.282748206870536</v>
      </c>
      <c r="I8" s="40">
        <v>27.41</v>
      </c>
      <c r="J8" s="47">
        <f t="shared" si="1"/>
        <v>103.47300868252172</v>
      </c>
      <c r="K8" s="40">
        <v>26.63</v>
      </c>
      <c r="L8" s="47">
        <f t="shared" si="2"/>
        <v>100.5285013212533</v>
      </c>
      <c r="M8" s="40">
        <v>27.28</v>
      </c>
      <c r="N8" s="47">
        <f t="shared" si="3"/>
        <v>102.98225745564365</v>
      </c>
      <c r="O8" s="40">
        <v>26.6</v>
      </c>
      <c r="P8" s="47">
        <f t="shared" si="4"/>
        <v>100.41525103812761</v>
      </c>
      <c r="Q8" s="40">
        <v>26.93</v>
      </c>
      <c r="R8" s="47">
        <f t="shared" si="5"/>
        <v>101.66100415251039</v>
      </c>
      <c r="S8" s="40">
        <v>26.66</v>
      </c>
      <c r="T8" s="47">
        <f t="shared" ref="T8:T14" si="7">S8/D8*100</f>
        <v>100.64175160437902</v>
      </c>
      <c r="U8" s="94" t="s">
        <v>1381</v>
      </c>
      <c r="V8" s="343"/>
      <c r="X8" s="2" t="s">
        <v>141</v>
      </c>
      <c r="Y8" s="3"/>
    </row>
    <row r="9" spans="2:25" s="95" customFormat="1" ht="12.75" customHeight="1" x14ac:dyDescent="0.25">
      <c r="B9" s="354"/>
      <c r="C9" s="58" t="s">
        <v>1384</v>
      </c>
      <c r="D9" s="92">
        <v>28.47</v>
      </c>
      <c r="E9" s="40">
        <v>27.48</v>
      </c>
      <c r="F9" s="47">
        <f t="shared" si="6"/>
        <v>96.522655426765027</v>
      </c>
      <c r="G9" s="40">
        <v>27.66</v>
      </c>
      <c r="H9" s="47">
        <f t="shared" si="0"/>
        <v>97.154899894625927</v>
      </c>
      <c r="I9" s="40">
        <v>28.08</v>
      </c>
      <c r="J9" s="47">
        <f t="shared" si="1"/>
        <v>98.630136986301366</v>
      </c>
      <c r="K9" s="40">
        <v>28.19</v>
      </c>
      <c r="L9" s="47">
        <f t="shared" si="2"/>
        <v>99.016508605549717</v>
      </c>
      <c r="M9" s="40">
        <v>28.28</v>
      </c>
      <c r="N9" s="47">
        <f t="shared" si="3"/>
        <v>99.33263083948016</v>
      </c>
      <c r="O9" s="40">
        <v>26.24</v>
      </c>
      <c r="P9" s="47">
        <f t="shared" si="4"/>
        <v>92.167193537056548</v>
      </c>
      <c r="Q9" s="40">
        <v>26.44</v>
      </c>
      <c r="R9" s="47">
        <f t="shared" si="5"/>
        <v>92.869687390235342</v>
      </c>
      <c r="S9" s="94" t="s">
        <v>292</v>
      </c>
      <c r="T9" s="93"/>
      <c r="X9" s="2" t="s">
        <v>142</v>
      </c>
      <c r="Y9" s="3">
        <v>1.393</v>
      </c>
    </row>
    <row r="10" spans="2:25" s="95" customFormat="1" ht="12.75" customHeight="1" x14ac:dyDescent="0.25">
      <c r="B10" s="354"/>
      <c r="C10" s="58" t="s">
        <v>1385</v>
      </c>
      <c r="D10" s="92">
        <v>30.44</v>
      </c>
      <c r="E10" s="40">
        <v>29.54</v>
      </c>
      <c r="F10" s="47">
        <f t="shared" si="6"/>
        <v>97.043363994743743</v>
      </c>
      <c r="G10" s="40">
        <v>29.36</v>
      </c>
      <c r="H10" s="47">
        <f t="shared" si="0"/>
        <v>96.452036793692514</v>
      </c>
      <c r="I10" s="40">
        <v>29.97</v>
      </c>
      <c r="J10" s="47">
        <f t="shared" si="1"/>
        <v>98.455978975032849</v>
      </c>
      <c r="K10" s="40">
        <v>29.72</v>
      </c>
      <c r="L10" s="47">
        <f t="shared" si="2"/>
        <v>97.634691195795</v>
      </c>
      <c r="M10" s="40">
        <v>30.02</v>
      </c>
      <c r="N10" s="47">
        <f t="shared" si="3"/>
        <v>98.620236530880419</v>
      </c>
      <c r="O10" s="40">
        <v>29.67</v>
      </c>
      <c r="P10" s="47">
        <f t="shared" si="4"/>
        <v>97.470433639947444</v>
      </c>
      <c r="Q10" s="40">
        <v>30.29</v>
      </c>
      <c r="R10" s="47">
        <f t="shared" si="5"/>
        <v>99.507227332457276</v>
      </c>
      <c r="S10" s="40">
        <v>29.33</v>
      </c>
      <c r="T10" s="47">
        <f t="shared" si="7"/>
        <v>96.353482260183952</v>
      </c>
      <c r="U10" s="94" t="s">
        <v>110</v>
      </c>
      <c r="V10" s="93"/>
      <c r="X10" s="2" t="s">
        <v>143</v>
      </c>
      <c r="Y10" s="3">
        <v>1</v>
      </c>
    </row>
    <row r="11" spans="2:25" s="95" customFormat="1" ht="12.75" customHeight="1" x14ac:dyDescent="0.3">
      <c r="B11" s="354" t="s">
        <v>1391</v>
      </c>
      <c r="C11" s="58" t="s">
        <v>1386</v>
      </c>
      <c r="D11" s="92">
        <v>27.79</v>
      </c>
      <c r="E11" s="40">
        <v>26.95</v>
      </c>
      <c r="F11" s="47">
        <f t="shared" si="6"/>
        <v>96.977329974811084</v>
      </c>
      <c r="G11" s="40">
        <v>27.07</v>
      </c>
      <c r="H11" s="47">
        <f t="shared" si="0"/>
        <v>97.409139978409513</v>
      </c>
      <c r="I11" s="40">
        <v>27.49</v>
      </c>
      <c r="J11" s="47">
        <f t="shared" si="1"/>
        <v>98.920474991003957</v>
      </c>
      <c r="K11" s="40">
        <v>27.55</v>
      </c>
      <c r="L11" s="47">
        <f t="shared" si="2"/>
        <v>99.136379992803171</v>
      </c>
      <c r="M11" s="40">
        <v>28.02</v>
      </c>
      <c r="N11" s="47">
        <f t="shared" si="3"/>
        <v>100.82763584023029</v>
      </c>
      <c r="O11" s="40">
        <v>27.65</v>
      </c>
      <c r="P11" s="47">
        <f t="shared" si="4"/>
        <v>99.496221662468514</v>
      </c>
      <c r="Q11" s="40">
        <v>27.6</v>
      </c>
      <c r="R11" s="47">
        <f t="shared" si="5"/>
        <v>99.316300827635857</v>
      </c>
      <c r="S11" s="40">
        <v>27.57</v>
      </c>
      <c r="T11" s="47">
        <f t="shared" si="7"/>
        <v>99.208348326736242</v>
      </c>
      <c r="U11" s="49" t="s">
        <v>1380</v>
      </c>
      <c r="V11" s="342"/>
      <c r="X11" s="7" t="s">
        <v>47</v>
      </c>
      <c r="Y11" s="8">
        <v>0.2379</v>
      </c>
    </row>
    <row r="12" spans="2:25" s="95" customFormat="1" ht="12.75" customHeight="1" x14ac:dyDescent="0.3">
      <c r="B12" s="354"/>
      <c r="C12" s="58" t="s">
        <v>1387</v>
      </c>
      <c r="D12" s="92">
        <v>30.92</v>
      </c>
      <c r="E12" s="40">
        <v>29.83</v>
      </c>
      <c r="F12" s="47">
        <f t="shared" si="6"/>
        <v>96.47477360931434</v>
      </c>
      <c r="G12" s="40">
        <v>29.48</v>
      </c>
      <c r="H12" s="47">
        <f t="shared" si="0"/>
        <v>95.342820181112543</v>
      </c>
      <c r="I12" s="40">
        <v>30.05</v>
      </c>
      <c r="J12" s="47">
        <f t="shared" si="1"/>
        <v>97.186287192755501</v>
      </c>
      <c r="K12" s="40">
        <v>29.83</v>
      </c>
      <c r="L12" s="47">
        <f t="shared" si="2"/>
        <v>96.47477360931434</v>
      </c>
      <c r="M12" s="40">
        <v>30.14</v>
      </c>
      <c r="N12" s="47">
        <f t="shared" si="3"/>
        <v>97.477360931435967</v>
      </c>
      <c r="O12" s="40">
        <v>29.83</v>
      </c>
      <c r="P12" s="47">
        <f t="shared" si="4"/>
        <v>96.47477360931434</v>
      </c>
      <c r="Q12" s="40">
        <v>30.17</v>
      </c>
      <c r="R12" s="47">
        <f t="shared" si="5"/>
        <v>97.574385510996123</v>
      </c>
      <c r="S12" s="40">
        <v>29.65</v>
      </c>
      <c r="T12" s="47">
        <f t="shared" si="7"/>
        <v>95.892626131953421</v>
      </c>
      <c r="U12" s="49" t="s">
        <v>1380</v>
      </c>
      <c r="V12" s="342"/>
      <c r="X12" s="7" t="s">
        <v>49</v>
      </c>
      <c r="Y12" s="8" t="s">
        <v>203</v>
      </c>
    </row>
    <row r="13" spans="2:25" s="95" customFormat="1" ht="12.75" customHeight="1" x14ac:dyDescent="0.25">
      <c r="B13" s="354"/>
      <c r="C13" s="58" t="s">
        <v>1388</v>
      </c>
      <c r="D13" s="92">
        <v>31.13</v>
      </c>
      <c r="E13" s="40">
        <v>30.99</v>
      </c>
      <c r="F13" s="47">
        <f t="shared" si="6"/>
        <v>99.55027304850627</v>
      </c>
      <c r="G13" s="40">
        <v>30.68</v>
      </c>
      <c r="H13" s="47">
        <f t="shared" si="0"/>
        <v>98.554449084484418</v>
      </c>
      <c r="I13" s="40">
        <v>31.67</v>
      </c>
      <c r="J13" s="47">
        <f t="shared" si="1"/>
        <v>101.7346610986187</v>
      </c>
      <c r="K13" s="40">
        <v>31.29</v>
      </c>
      <c r="L13" s="47">
        <f t="shared" si="2"/>
        <v>100.51397365884998</v>
      </c>
      <c r="M13" s="40">
        <v>31.2</v>
      </c>
      <c r="N13" s="47">
        <f t="shared" si="3"/>
        <v>100.22486347574686</v>
      </c>
      <c r="O13" s="40">
        <v>30.86</v>
      </c>
      <c r="P13" s="47">
        <f t="shared" si="4"/>
        <v>99.132669450690656</v>
      </c>
      <c r="Q13" s="40">
        <v>30.07</v>
      </c>
      <c r="R13" s="47">
        <f t="shared" si="5"/>
        <v>96.594924510118858</v>
      </c>
      <c r="S13" s="40">
        <v>28.62</v>
      </c>
      <c r="T13" s="47">
        <f t="shared" si="7"/>
        <v>91.937038226790875</v>
      </c>
      <c r="U13" s="94" t="s">
        <v>121</v>
      </c>
      <c r="V13" s="343"/>
      <c r="X13" s="2" t="s">
        <v>144</v>
      </c>
      <c r="Y13" s="3" t="s">
        <v>204</v>
      </c>
    </row>
    <row r="14" spans="2:25" s="95" customFormat="1" ht="12.75" customHeight="1" x14ac:dyDescent="0.25">
      <c r="B14" s="354"/>
      <c r="C14" s="58" t="s">
        <v>1389</v>
      </c>
      <c r="D14" s="92">
        <v>28.94</v>
      </c>
      <c r="E14" s="40">
        <v>28.66</v>
      </c>
      <c r="F14" s="47">
        <f t="shared" si="6"/>
        <v>99.032480995162402</v>
      </c>
      <c r="G14" s="40">
        <v>28.61</v>
      </c>
      <c r="H14" s="47">
        <f t="shared" si="0"/>
        <v>98.859709744298542</v>
      </c>
      <c r="I14" s="40">
        <v>29.45</v>
      </c>
      <c r="J14" s="47">
        <f t="shared" si="1"/>
        <v>101.76226675881132</v>
      </c>
      <c r="K14" s="40">
        <v>28.8</v>
      </c>
      <c r="L14" s="47">
        <f t="shared" si="2"/>
        <v>99.516240497581194</v>
      </c>
      <c r="M14" s="40">
        <v>28.76</v>
      </c>
      <c r="N14" s="47">
        <f t="shared" si="3"/>
        <v>99.378023496890123</v>
      </c>
      <c r="O14" s="40">
        <v>27.93</v>
      </c>
      <c r="P14" s="47">
        <f t="shared" si="4"/>
        <v>96.510020732550089</v>
      </c>
      <c r="Q14" s="40">
        <v>28.7</v>
      </c>
      <c r="R14" s="47">
        <f t="shared" si="5"/>
        <v>99.170697995853487</v>
      </c>
      <c r="S14" s="40">
        <v>28.3</v>
      </c>
      <c r="T14" s="47">
        <f t="shared" si="7"/>
        <v>97.788527988942647</v>
      </c>
      <c r="U14" s="49" t="s">
        <v>1380</v>
      </c>
      <c r="V14" s="342"/>
    </row>
    <row r="15" spans="2:25" s="95" customFormat="1" ht="12.75" customHeight="1" x14ac:dyDescent="0.3">
      <c r="B15" s="5"/>
      <c r="C15" s="96"/>
      <c r="D15" s="97" t="s">
        <v>13</v>
      </c>
      <c r="E15" s="98"/>
      <c r="F15" s="98"/>
    </row>
    <row r="16" spans="2:25" s="95" customFormat="1" ht="12.75" customHeight="1" x14ac:dyDescent="0.3">
      <c r="B16" s="5"/>
      <c r="C16" s="96"/>
      <c r="D16" s="26" t="s">
        <v>107</v>
      </c>
      <c r="E16" s="98"/>
      <c r="F16" s="98"/>
    </row>
    <row r="17" spans="2:6" s="95" customFormat="1" ht="12.75" customHeight="1" x14ac:dyDescent="0.25">
      <c r="B17" s="5"/>
      <c r="C17" s="96"/>
      <c r="D17" s="98"/>
      <c r="E17" s="98"/>
      <c r="F17" s="98"/>
    </row>
    <row r="18" spans="2:6" ht="12.75" customHeight="1" x14ac:dyDescent="0.3"/>
  </sheetData>
  <mergeCells count="10">
    <mergeCell ref="Q5:R5"/>
    <mergeCell ref="S5:T5"/>
    <mergeCell ref="B7:B10"/>
    <mergeCell ref="B11:B14"/>
    <mergeCell ref="E5:F5"/>
    <mergeCell ref="G5:H5"/>
    <mergeCell ref="I5:J5"/>
    <mergeCell ref="K5:L5"/>
    <mergeCell ref="M5:N5"/>
    <mergeCell ref="O5:P5"/>
  </mergeCells>
  <phoneticPr fontId="3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F1F66-6DCD-4DB3-BD34-AC1951F182FB}">
  <dimension ref="A2:N31"/>
  <sheetViews>
    <sheetView zoomScale="90" zoomScaleNormal="90" workbookViewId="0">
      <selection activeCell="G35" sqref="G35"/>
    </sheetView>
  </sheetViews>
  <sheetFormatPr defaultRowHeight="14" x14ac:dyDescent="0.3"/>
  <cols>
    <col min="1" max="1" width="9" style="25"/>
    <col min="2" max="2" width="12.25" style="25" customWidth="1"/>
    <col min="3" max="3" width="14.5" style="25" customWidth="1"/>
    <col min="4" max="4" width="11.33203125" style="25" customWidth="1"/>
    <col min="5" max="5" width="14" style="25" customWidth="1"/>
    <col min="6" max="6" width="12.08203125" style="25" customWidth="1"/>
    <col min="7" max="7" width="12.75" style="25" customWidth="1"/>
    <col min="8" max="8" width="9.33203125" style="25" bestFit="1" customWidth="1"/>
    <col min="9" max="9" width="9.58203125" style="25" bestFit="1" customWidth="1"/>
    <col min="10" max="10" width="7.33203125" style="25" bestFit="1" customWidth="1"/>
    <col min="11" max="11" width="15.5" style="25" customWidth="1"/>
    <col min="12" max="12" width="33.25" style="25" bestFit="1" customWidth="1"/>
    <col min="13" max="13" width="21.58203125" style="25" bestFit="1" customWidth="1"/>
    <col min="14" max="14" width="15.5" style="25" customWidth="1"/>
    <col min="15" max="16" width="14" style="25" customWidth="1"/>
    <col min="17" max="17" width="8.25" style="25" customWidth="1"/>
    <col min="18" max="257" width="9" style="25"/>
    <col min="258" max="270" width="15.5" style="25" customWidth="1"/>
    <col min="271" max="272" width="14" style="25" customWidth="1"/>
    <col min="273" max="273" width="8.25" style="25" customWidth="1"/>
    <col min="274" max="513" width="9" style="25"/>
    <col min="514" max="526" width="15.5" style="25" customWidth="1"/>
    <col min="527" max="528" width="14" style="25" customWidth="1"/>
    <col min="529" max="529" width="8.25" style="25" customWidth="1"/>
    <col min="530" max="769" width="9" style="25"/>
    <col min="770" max="782" width="15.5" style="25" customWidth="1"/>
    <col min="783" max="784" width="14" style="25" customWidth="1"/>
    <col min="785" max="785" width="8.25" style="25" customWidth="1"/>
    <col min="786" max="1025" width="9" style="25"/>
    <col min="1026" max="1038" width="15.5" style="25" customWidth="1"/>
    <col min="1039" max="1040" width="14" style="25" customWidth="1"/>
    <col min="1041" max="1041" width="8.25" style="25" customWidth="1"/>
    <col min="1042" max="1281" width="9" style="25"/>
    <col min="1282" max="1294" width="15.5" style="25" customWidth="1"/>
    <col min="1295" max="1296" width="14" style="25" customWidth="1"/>
    <col min="1297" max="1297" width="8.25" style="25" customWidth="1"/>
    <col min="1298" max="1537" width="9" style="25"/>
    <col min="1538" max="1550" width="15.5" style="25" customWidth="1"/>
    <col min="1551" max="1552" width="14" style="25" customWidth="1"/>
    <col min="1553" max="1553" width="8.25" style="25" customWidth="1"/>
    <col min="1554" max="1793" width="9" style="25"/>
    <col min="1794" max="1806" width="15.5" style="25" customWidth="1"/>
    <col min="1807" max="1808" width="14" style="25" customWidth="1"/>
    <col min="1809" max="1809" width="8.25" style="25" customWidth="1"/>
    <col min="1810" max="2049" width="9" style="25"/>
    <col min="2050" max="2062" width="15.5" style="25" customWidth="1"/>
    <col min="2063" max="2064" width="14" style="25" customWidth="1"/>
    <col min="2065" max="2065" width="8.25" style="25" customWidth="1"/>
    <col min="2066" max="2305" width="9" style="25"/>
    <col min="2306" max="2318" width="15.5" style="25" customWidth="1"/>
    <col min="2319" max="2320" width="14" style="25" customWidth="1"/>
    <col min="2321" max="2321" width="8.25" style="25" customWidth="1"/>
    <col min="2322" max="2561" width="9" style="25"/>
    <col min="2562" max="2574" width="15.5" style="25" customWidth="1"/>
    <col min="2575" max="2576" width="14" style="25" customWidth="1"/>
    <col min="2577" max="2577" width="8.25" style="25" customWidth="1"/>
    <col min="2578" max="2817" width="9" style="25"/>
    <col min="2818" max="2830" width="15.5" style="25" customWidth="1"/>
    <col min="2831" max="2832" width="14" style="25" customWidth="1"/>
    <col min="2833" max="2833" width="8.25" style="25" customWidth="1"/>
    <col min="2834" max="3073" width="9" style="25"/>
    <col min="3074" max="3086" width="15.5" style="25" customWidth="1"/>
    <col min="3087" max="3088" width="14" style="25" customWidth="1"/>
    <col min="3089" max="3089" width="8.25" style="25" customWidth="1"/>
    <col min="3090" max="3329" width="9" style="25"/>
    <col min="3330" max="3342" width="15.5" style="25" customWidth="1"/>
    <col min="3343" max="3344" width="14" style="25" customWidth="1"/>
    <col min="3345" max="3345" width="8.25" style="25" customWidth="1"/>
    <col min="3346" max="3585" width="9" style="25"/>
    <col min="3586" max="3598" width="15.5" style="25" customWidth="1"/>
    <col min="3599" max="3600" width="14" style="25" customWidth="1"/>
    <col min="3601" max="3601" width="8.25" style="25" customWidth="1"/>
    <col min="3602" max="3841" width="9" style="25"/>
    <col min="3842" max="3854" width="15.5" style="25" customWidth="1"/>
    <col min="3855" max="3856" width="14" style="25" customWidth="1"/>
    <col min="3857" max="3857" width="8.25" style="25" customWidth="1"/>
    <col min="3858" max="4097" width="9" style="25"/>
    <col min="4098" max="4110" width="15.5" style="25" customWidth="1"/>
    <col min="4111" max="4112" width="14" style="25" customWidth="1"/>
    <col min="4113" max="4113" width="8.25" style="25" customWidth="1"/>
    <col min="4114" max="4353" width="9" style="25"/>
    <col min="4354" max="4366" width="15.5" style="25" customWidth="1"/>
    <col min="4367" max="4368" width="14" style="25" customWidth="1"/>
    <col min="4369" max="4369" width="8.25" style="25" customWidth="1"/>
    <col min="4370" max="4609" width="9" style="25"/>
    <col min="4610" max="4622" width="15.5" style="25" customWidth="1"/>
    <col min="4623" max="4624" width="14" style="25" customWidth="1"/>
    <col min="4625" max="4625" width="8.25" style="25" customWidth="1"/>
    <col min="4626" max="4865" width="9" style="25"/>
    <col min="4866" max="4878" width="15.5" style="25" customWidth="1"/>
    <col min="4879" max="4880" width="14" style="25" customWidth="1"/>
    <col min="4881" max="4881" width="8.25" style="25" customWidth="1"/>
    <col min="4882" max="5121" width="9" style="25"/>
    <col min="5122" max="5134" width="15.5" style="25" customWidth="1"/>
    <col min="5135" max="5136" width="14" style="25" customWidth="1"/>
    <col min="5137" max="5137" width="8.25" style="25" customWidth="1"/>
    <col min="5138" max="5377" width="9" style="25"/>
    <col min="5378" max="5390" width="15.5" style="25" customWidth="1"/>
    <col min="5391" max="5392" width="14" style="25" customWidth="1"/>
    <col min="5393" max="5393" width="8.25" style="25" customWidth="1"/>
    <col min="5394" max="5633" width="9" style="25"/>
    <col min="5634" max="5646" width="15.5" style="25" customWidth="1"/>
    <col min="5647" max="5648" width="14" style="25" customWidth="1"/>
    <col min="5649" max="5649" width="8.25" style="25" customWidth="1"/>
    <col min="5650" max="5889" width="9" style="25"/>
    <col min="5890" max="5902" width="15.5" style="25" customWidth="1"/>
    <col min="5903" max="5904" width="14" style="25" customWidth="1"/>
    <col min="5905" max="5905" width="8.25" style="25" customWidth="1"/>
    <col min="5906" max="6145" width="9" style="25"/>
    <col min="6146" max="6158" width="15.5" style="25" customWidth="1"/>
    <col min="6159" max="6160" width="14" style="25" customWidth="1"/>
    <col min="6161" max="6161" width="8.25" style="25" customWidth="1"/>
    <col min="6162" max="6401" width="9" style="25"/>
    <col min="6402" max="6414" width="15.5" style="25" customWidth="1"/>
    <col min="6415" max="6416" width="14" style="25" customWidth="1"/>
    <col min="6417" max="6417" width="8.25" style="25" customWidth="1"/>
    <col min="6418" max="6657" width="9" style="25"/>
    <col min="6658" max="6670" width="15.5" style="25" customWidth="1"/>
    <col min="6671" max="6672" width="14" style="25" customWidth="1"/>
    <col min="6673" max="6673" width="8.25" style="25" customWidth="1"/>
    <col min="6674" max="6913" width="9" style="25"/>
    <col min="6914" max="6926" width="15.5" style="25" customWidth="1"/>
    <col min="6927" max="6928" width="14" style="25" customWidth="1"/>
    <col min="6929" max="6929" width="8.25" style="25" customWidth="1"/>
    <col min="6930" max="7169" width="9" style="25"/>
    <col min="7170" max="7182" width="15.5" style="25" customWidth="1"/>
    <col min="7183" max="7184" width="14" style="25" customWidth="1"/>
    <col min="7185" max="7185" width="8.25" style="25" customWidth="1"/>
    <col min="7186" max="7425" width="9" style="25"/>
    <col min="7426" max="7438" width="15.5" style="25" customWidth="1"/>
    <col min="7439" max="7440" width="14" style="25" customWidth="1"/>
    <col min="7441" max="7441" width="8.25" style="25" customWidth="1"/>
    <col min="7442" max="7681" width="9" style="25"/>
    <col min="7682" max="7694" width="15.5" style="25" customWidth="1"/>
    <col min="7695" max="7696" width="14" style="25" customWidth="1"/>
    <col min="7697" max="7697" width="8.25" style="25" customWidth="1"/>
    <col min="7698" max="7937" width="9" style="25"/>
    <col min="7938" max="7950" width="15.5" style="25" customWidth="1"/>
    <col min="7951" max="7952" width="14" style="25" customWidth="1"/>
    <col min="7953" max="7953" width="8.25" style="25" customWidth="1"/>
    <col min="7954" max="8193" width="9" style="25"/>
    <col min="8194" max="8206" width="15.5" style="25" customWidth="1"/>
    <col min="8207" max="8208" width="14" style="25" customWidth="1"/>
    <col min="8209" max="8209" width="8.25" style="25" customWidth="1"/>
    <col min="8210" max="8449" width="9" style="25"/>
    <col min="8450" max="8462" width="15.5" style="25" customWidth="1"/>
    <col min="8463" max="8464" width="14" style="25" customWidth="1"/>
    <col min="8465" max="8465" width="8.25" style="25" customWidth="1"/>
    <col min="8466" max="8705" width="9" style="25"/>
    <col min="8706" max="8718" width="15.5" style="25" customWidth="1"/>
    <col min="8719" max="8720" width="14" style="25" customWidth="1"/>
    <col min="8721" max="8721" width="8.25" style="25" customWidth="1"/>
    <col min="8722" max="8961" width="9" style="25"/>
    <col min="8962" max="8974" width="15.5" style="25" customWidth="1"/>
    <col min="8975" max="8976" width="14" style="25" customWidth="1"/>
    <col min="8977" max="8977" width="8.25" style="25" customWidth="1"/>
    <col min="8978" max="9217" width="9" style="25"/>
    <col min="9218" max="9230" width="15.5" style="25" customWidth="1"/>
    <col min="9231" max="9232" width="14" style="25" customWidth="1"/>
    <col min="9233" max="9233" width="8.25" style="25" customWidth="1"/>
    <col min="9234" max="9473" width="9" style="25"/>
    <col min="9474" max="9486" width="15.5" style="25" customWidth="1"/>
    <col min="9487" max="9488" width="14" style="25" customWidth="1"/>
    <col min="9489" max="9489" width="8.25" style="25" customWidth="1"/>
    <col min="9490" max="9729" width="9" style="25"/>
    <col min="9730" max="9742" width="15.5" style="25" customWidth="1"/>
    <col min="9743" max="9744" width="14" style="25" customWidth="1"/>
    <col min="9745" max="9745" width="8.25" style="25" customWidth="1"/>
    <col min="9746" max="9985" width="9" style="25"/>
    <col min="9986" max="9998" width="15.5" style="25" customWidth="1"/>
    <col min="9999" max="10000" width="14" style="25" customWidth="1"/>
    <col min="10001" max="10001" width="8.25" style="25" customWidth="1"/>
    <col min="10002" max="10241" width="9" style="25"/>
    <col min="10242" max="10254" width="15.5" style="25" customWidth="1"/>
    <col min="10255" max="10256" width="14" style="25" customWidth="1"/>
    <col min="10257" max="10257" width="8.25" style="25" customWidth="1"/>
    <col min="10258" max="10497" width="9" style="25"/>
    <col min="10498" max="10510" width="15.5" style="25" customWidth="1"/>
    <col min="10511" max="10512" width="14" style="25" customWidth="1"/>
    <col min="10513" max="10513" width="8.25" style="25" customWidth="1"/>
    <col min="10514" max="10753" width="9" style="25"/>
    <col min="10754" max="10766" width="15.5" style="25" customWidth="1"/>
    <col min="10767" max="10768" width="14" style="25" customWidth="1"/>
    <col min="10769" max="10769" width="8.25" style="25" customWidth="1"/>
    <col min="10770" max="11009" width="9" style="25"/>
    <col min="11010" max="11022" width="15.5" style="25" customWidth="1"/>
    <col min="11023" max="11024" width="14" style="25" customWidth="1"/>
    <col min="11025" max="11025" width="8.25" style="25" customWidth="1"/>
    <col min="11026" max="11265" width="9" style="25"/>
    <col min="11266" max="11278" width="15.5" style="25" customWidth="1"/>
    <col min="11279" max="11280" width="14" style="25" customWidth="1"/>
    <col min="11281" max="11281" width="8.25" style="25" customWidth="1"/>
    <col min="11282" max="11521" width="9" style="25"/>
    <col min="11522" max="11534" width="15.5" style="25" customWidth="1"/>
    <col min="11535" max="11536" width="14" style="25" customWidth="1"/>
    <col min="11537" max="11537" width="8.25" style="25" customWidth="1"/>
    <col min="11538" max="11777" width="9" style="25"/>
    <col min="11778" max="11790" width="15.5" style="25" customWidth="1"/>
    <col min="11791" max="11792" width="14" style="25" customWidth="1"/>
    <col min="11793" max="11793" width="8.25" style="25" customWidth="1"/>
    <col min="11794" max="12033" width="9" style="25"/>
    <col min="12034" max="12046" width="15.5" style="25" customWidth="1"/>
    <col min="12047" max="12048" width="14" style="25" customWidth="1"/>
    <col min="12049" max="12049" width="8.25" style="25" customWidth="1"/>
    <col min="12050" max="12289" width="9" style="25"/>
    <col min="12290" max="12302" width="15.5" style="25" customWidth="1"/>
    <col min="12303" max="12304" width="14" style="25" customWidth="1"/>
    <col min="12305" max="12305" width="8.25" style="25" customWidth="1"/>
    <col min="12306" max="12545" width="9" style="25"/>
    <col min="12546" max="12558" width="15.5" style="25" customWidth="1"/>
    <col min="12559" max="12560" width="14" style="25" customWidth="1"/>
    <col min="12561" max="12561" width="8.25" style="25" customWidth="1"/>
    <col min="12562" max="12801" width="9" style="25"/>
    <col min="12802" max="12814" width="15.5" style="25" customWidth="1"/>
    <col min="12815" max="12816" width="14" style="25" customWidth="1"/>
    <col min="12817" max="12817" width="8.25" style="25" customWidth="1"/>
    <col min="12818" max="13057" width="9" style="25"/>
    <col min="13058" max="13070" width="15.5" style="25" customWidth="1"/>
    <col min="13071" max="13072" width="14" style="25" customWidth="1"/>
    <col min="13073" max="13073" width="8.25" style="25" customWidth="1"/>
    <col min="13074" max="13313" width="9" style="25"/>
    <col min="13314" max="13326" width="15.5" style="25" customWidth="1"/>
    <col min="13327" max="13328" width="14" style="25" customWidth="1"/>
    <col min="13329" max="13329" width="8.25" style="25" customWidth="1"/>
    <col min="13330" max="13569" width="9" style="25"/>
    <col min="13570" max="13582" width="15.5" style="25" customWidth="1"/>
    <col min="13583" max="13584" width="14" style="25" customWidth="1"/>
    <col min="13585" max="13585" width="8.25" style="25" customWidth="1"/>
    <col min="13586" max="13825" width="9" style="25"/>
    <col min="13826" max="13838" width="15.5" style="25" customWidth="1"/>
    <col min="13839" max="13840" width="14" style="25" customWidth="1"/>
    <col min="13841" max="13841" width="8.25" style="25" customWidth="1"/>
    <col min="13842" max="14081" width="9" style="25"/>
    <col min="14082" max="14094" width="15.5" style="25" customWidth="1"/>
    <col min="14095" max="14096" width="14" style="25" customWidth="1"/>
    <col min="14097" max="14097" width="8.25" style="25" customWidth="1"/>
    <col min="14098" max="14337" width="9" style="25"/>
    <col min="14338" max="14350" width="15.5" style="25" customWidth="1"/>
    <col min="14351" max="14352" width="14" style="25" customWidth="1"/>
    <col min="14353" max="14353" width="8.25" style="25" customWidth="1"/>
    <col min="14354" max="14593" width="9" style="25"/>
    <col min="14594" max="14606" width="15.5" style="25" customWidth="1"/>
    <col min="14607" max="14608" width="14" style="25" customWidth="1"/>
    <col min="14609" max="14609" width="8.25" style="25" customWidth="1"/>
    <col min="14610" max="14849" width="9" style="25"/>
    <col min="14850" max="14862" width="15.5" style="25" customWidth="1"/>
    <col min="14863" max="14864" width="14" style="25" customWidth="1"/>
    <col min="14865" max="14865" width="8.25" style="25" customWidth="1"/>
    <col min="14866" max="15105" width="9" style="25"/>
    <col min="15106" max="15118" width="15.5" style="25" customWidth="1"/>
    <col min="15119" max="15120" width="14" style="25" customWidth="1"/>
    <col min="15121" max="15121" width="8.25" style="25" customWidth="1"/>
    <col min="15122" max="15361" width="9" style="25"/>
    <col min="15362" max="15374" width="15.5" style="25" customWidth="1"/>
    <col min="15375" max="15376" width="14" style="25" customWidth="1"/>
    <col min="15377" max="15377" width="8.25" style="25" customWidth="1"/>
    <col min="15378" max="15617" width="9" style="25"/>
    <col min="15618" max="15630" width="15.5" style="25" customWidth="1"/>
    <col min="15631" max="15632" width="14" style="25" customWidth="1"/>
    <col min="15633" max="15633" width="8.25" style="25" customWidth="1"/>
    <col min="15634" max="15873" width="9" style="25"/>
    <col min="15874" max="15886" width="15.5" style="25" customWidth="1"/>
    <col min="15887" max="15888" width="14" style="25" customWidth="1"/>
    <col min="15889" max="15889" width="8.25" style="25" customWidth="1"/>
    <col min="15890" max="16129" width="9" style="25"/>
    <col min="16130" max="16142" width="15.5" style="25" customWidth="1"/>
    <col min="16143" max="16144" width="14" style="25" customWidth="1"/>
    <col min="16145" max="16145" width="8.25" style="25" customWidth="1"/>
    <col min="16146" max="16384" width="9" style="25"/>
  </cols>
  <sheetData>
    <row r="2" spans="1:13" s="95" customFormat="1" ht="13" x14ac:dyDescent="0.25">
      <c r="B2" s="100" t="s">
        <v>1085</v>
      </c>
      <c r="C2" s="101"/>
      <c r="D2" s="101"/>
    </row>
    <row r="3" spans="1:13" s="101" customFormat="1" ht="13" x14ac:dyDescent="0.45">
      <c r="A3" s="13"/>
    </row>
    <row r="4" spans="1:13" s="95" customFormat="1" ht="13" x14ac:dyDescent="0.3">
      <c r="B4" s="103" t="s">
        <v>308</v>
      </c>
      <c r="J4" s="26"/>
      <c r="L4" s="103" t="s">
        <v>71</v>
      </c>
    </row>
    <row r="5" spans="1:13" s="95" customFormat="1" ht="12.75" customHeight="1" x14ac:dyDescent="0.25"/>
    <row r="6" spans="1:13" s="95" customFormat="1" ht="12.75" customHeight="1" x14ac:dyDescent="0.25">
      <c r="B6" s="3"/>
      <c r="C6" s="27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306</v>
      </c>
      <c r="J6" s="4" t="s">
        <v>29</v>
      </c>
      <c r="L6" s="2" t="s">
        <v>41</v>
      </c>
      <c r="M6" s="3" t="s">
        <v>1</v>
      </c>
    </row>
    <row r="7" spans="1:13" s="95" customFormat="1" ht="12.75" customHeight="1" x14ac:dyDescent="0.3">
      <c r="B7" s="6" t="s">
        <v>30</v>
      </c>
      <c r="C7" s="67">
        <v>1.758</v>
      </c>
      <c r="D7" s="67">
        <v>1.1419999999999999</v>
      </c>
      <c r="E7" s="67">
        <v>0.67900000000000005</v>
      </c>
      <c r="F7" s="67">
        <v>0.38400000000000001</v>
      </c>
      <c r="G7" s="67">
        <v>0.23200000000000001</v>
      </c>
      <c r="H7" s="67">
        <v>0.14499999999999999</v>
      </c>
      <c r="I7" s="67">
        <v>0.106</v>
      </c>
      <c r="J7" s="67">
        <v>6.3E-2</v>
      </c>
      <c r="L7" s="7" t="s">
        <v>45</v>
      </c>
      <c r="M7" s="8" t="s">
        <v>139</v>
      </c>
    </row>
    <row r="8" spans="1:13" s="95" customFormat="1" ht="12.75" customHeight="1" x14ac:dyDescent="0.3">
      <c r="B8" s="6" t="s">
        <v>31</v>
      </c>
      <c r="C8" s="67">
        <v>1.849</v>
      </c>
      <c r="D8" s="67">
        <v>1.1879999999999999</v>
      </c>
      <c r="E8" s="67">
        <v>0.71399999999999997</v>
      </c>
      <c r="F8" s="67">
        <v>0.40799999999999997</v>
      </c>
      <c r="G8" s="67">
        <v>0.23</v>
      </c>
      <c r="H8" s="67">
        <v>0.14199999999999999</v>
      </c>
      <c r="I8" s="67">
        <v>0.10199999999999999</v>
      </c>
      <c r="J8" s="67">
        <v>5.8999999999999997E-2</v>
      </c>
      <c r="L8" s="7" t="s">
        <v>44</v>
      </c>
      <c r="M8" s="8" t="s">
        <v>44</v>
      </c>
    </row>
    <row r="9" spans="1:13" s="95" customFormat="1" ht="12.75" customHeight="1" x14ac:dyDescent="0.3">
      <c r="B9" s="26"/>
      <c r="L9" s="7" t="s">
        <v>236</v>
      </c>
      <c r="M9" s="8" t="s">
        <v>1084</v>
      </c>
    </row>
    <row r="10" spans="1:13" s="95" customFormat="1" ht="12.75" customHeight="1" x14ac:dyDescent="0.3">
      <c r="B10" s="26"/>
      <c r="D10" s="124" t="s">
        <v>1076</v>
      </c>
      <c r="E10" s="125"/>
      <c r="F10" s="125"/>
      <c r="G10" s="125"/>
      <c r="H10" s="125"/>
      <c r="L10" s="2"/>
      <c r="M10" s="3"/>
    </row>
    <row r="11" spans="1:13" s="95" customFormat="1" ht="12.75" customHeight="1" x14ac:dyDescent="0.3">
      <c r="B11" s="26"/>
      <c r="D11" s="128"/>
      <c r="L11" s="2" t="s">
        <v>46</v>
      </c>
      <c r="M11" s="3"/>
    </row>
    <row r="12" spans="1:13" s="95" customFormat="1" ht="12.75" customHeight="1" x14ac:dyDescent="0.3">
      <c r="B12" s="129" t="s">
        <v>40</v>
      </c>
      <c r="C12" s="103"/>
      <c r="D12" s="128"/>
      <c r="L12" s="7" t="s">
        <v>47</v>
      </c>
      <c r="M12" s="8">
        <v>3.5999999999999999E-3</v>
      </c>
    </row>
    <row r="13" spans="1:13" s="95" customFormat="1" ht="12.75" customHeight="1" x14ac:dyDescent="0.3">
      <c r="B13" s="130">
        <v>1</v>
      </c>
      <c r="C13" s="130">
        <v>2</v>
      </c>
      <c r="D13" s="130">
        <v>3</v>
      </c>
      <c r="E13" s="130">
        <v>4</v>
      </c>
      <c r="L13" s="7" t="s">
        <v>49</v>
      </c>
      <c r="M13" s="8" t="s">
        <v>146</v>
      </c>
    </row>
    <row r="14" spans="1:13" s="95" customFormat="1" ht="12.75" customHeight="1" x14ac:dyDescent="0.3">
      <c r="B14" s="131" t="s">
        <v>35</v>
      </c>
      <c r="C14" s="131" t="s">
        <v>35</v>
      </c>
      <c r="D14" s="131" t="s">
        <v>1077</v>
      </c>
      <c r="E14" s="131" t="s">
        <v>1077</v>
      </c>
      <c r="L14" s="2" t="s">
        <v>51</v>
      </c>
      <c r="M14" s="3" t="s">
        <v>52</v>
      </c>
    </row>
    <row r="15" spans="1:13" s="95" customFormat="1" ht="12.75" customHeight="1" x14ac:dyDescent="0.3">
      <c r="B15" s="28"/>
      <c r="C15" s="28"/>
      <c r="D15" s="28"/>
      <c r="E15" s="28"/>
      <c r="L15" s="2" t="s">
        <v>53</v>
      </c>
      <c r="M15" s="3" t="s">
        <v>54</v>
      </c>
    </row>
    <row r="16" spans="1:13" s="95" customFormat="1" ht="12.75" customHeight="1" x14ac:dyDescent="0.3">
      <c r="B16" s="184"/>
      <c r="C16" s="135" t="s">
        <v>37</v>
      </c>
      <c r="D16" s="135"/>
      <c r="E16" s="135" t="s">
        <v>37</v>
      </c>
      <c r="L16" s="2" t="s">
        <v>55</v>
      </c>
      <c r="M16" s="3" t="s">
        <v>1078</v>
      </c>
    </row>
    <row r="17" spans="2:14" s="95" customFormat="1" ht="12.75" customHeight="1" x14ac:dyDescent="0.25">
      <c r="B17" s="67">
        <v>5.5E-2</v>
      </c>
      <c r="C17" s="67">
        <v>0.10199999999999999</v>
      </c>
      <c r="D17" s="67">
        <v>5.7000000000000002E-2</v>
      </c>
      <c r="E17" s="67">
        <v>0.13400000000000001</v>
      </c>
      <c r="F17" s="388" t="s">
        <v>593</v>
      </c>
      <c r="G17" s="391"/>
      <c r="L17" s="2"/>
      <c r="M17" s="3"/>
    </row>
    <row r="18" spans="2:14" s="95" customFormat="1" ht="12.75" customHeight="1" x14ac:dyDescent="0.25">
      <c r="B18" s="67">
        <v>5.8000000000000003E-2</v>
      </c>
      <c r="C18" s="67">
        <v>0.108</v>
      </c>
      <c r="D18" s="67">
        <v>0.06</v>
      </c>
      <c r="E18" s="67">
        <v>0.151</v>
      </c>
      <c r="F18" s="389"/>
      <c r="G18" s="391"/>
      <c r="L18" s="2" t="s">
        <v>57</v>
      </c>
      <c r="M18" s="3"/>
    </row>
    <row r="19" spans="2:14" s="95" customFormat="1" ht="12.75" customHeight="1" x14ac:dyDescent="0.25">
      <c r="B19" s="67">
        <v>5.3999999999999999E-2</v>
      </c>
      <c r="C19" s="67">
        <v>9.2999999999999999E-2</v>
      </c>
      <c r="D19" s="67">
        <v>5.8000000000000003E-2</v>
      </c>
      <c r="E19" s="67">
        <v>0.14000000000000001</v>
      </c>
      <c r="F19" s="390"/>
      <c r="G19" s="391"/>
      <c r="L19" s="2" t="s">
        <v>497</v>
      </c>
      <c r="M19" s="3" t="s">
        <v>1079</v>
      </c>
    </row>
    <row r="20" spans="2:14" s="95" customFormat="1" ht="12.75" customHeight="1" x14ac:dyDescent="0.25">
      <c r="B20" s="101"/>
      <c r="C20" s="101"/>
      <c r="D20" s="101"/>
      <c r="E20" s="101"/>
      <c r="L20" s="2" t="s">
        <v>315</v>
      </c>
      <c r="M20" s="3" t="s">
        <v>1080</v>
      </c>
    </row>
    <row r="21" spans="2:14" s="95" customFormat="1" ht="12.75" customHeight="1" x14ac:dyDescent="0.25">
      <c r="L21" s="2" t="s">
        <v>62</v>
      </c>
      <c r="M21" s="3" t="s">
        <v>1081</v>
      </c>
    </row>
    <row r="22" spans="2:14" s="95" customFormat="1" ht="12.75" customHeight="1" x14ac:dyDescent="0.3">
      <c r="B22" s="129" t="s">
        <v>594</v>
      </c>
      <c r="C22" s="103"/>
      <c r="D22" s="128"/>
      <c r="E22" s="128"/>
      <c r="L22" s="2" t="s">
        <v>64</v>
      </c>
      <c r="M22" s="3" t="s">
        <v>1082</v>
      </c>
    </row>
    <row r="23" spans="2:14" s="95" customFormat="1" ht="12.75" customHeight="1" x14ac:dyDescent="0.3">
      <c r="B23" s="130">
        <v>1</v>
      </c>
      <c r="C23" s="130">
        <v>2</v>
      </c>
      <c r="D23" s="130">
        <v>3</v>
      </c>
      <c r="E23" s="130">
        <v>4</v>
      </c>
      <c r="L23" s="2" t="s">
        <v>66</v>
      </c>
      <c r="M23" s="3">
        <v>0.9042</v>
      </c>
    </row>
    <row r="24" spans="2:14" s="95" customFormat="1" ht="12.75" customHeight="1" x14ac:dyDescent="0.3">
      <c r="B24" s="131" t="s">
        <v>35</v>
      </c>
      <c r="C24" s="131" t="s">
        <v>35</v>
      </c>
      <c r="D24" s="131" t="s">
        <v>1077</v>
      </c>
      <c r="E24" s="131" t="s">
        <v>1077</v>
      </c>
      <c r="H24" s="1"/>
      <c r="L24" s="2"/>
      <c r="M24" s="3"/>
    </row>
    <row r="25" spans="2:14" s="95" customFormat="1" ht="12.75" customHeight="1" x14ac:dyDescent="0.3">
      <c r="B25" s="28"/>
      <c r="C25" s="28"/>
      <c r="D25" s="28"/>
      <c r="E25" s="28"/>
      <c r="H25" s="1"/>
      <c r="L25" s="2" t="s">
        <v>67</v>
      </c>
      <c r="M25" s="3"/>
    </row>
    <row r="26" spans="2:14" s="95" customFormat="1" ht="12.75" customHeight="1" x14ac:dyDescent="0.3">
      <c r="B26" s="184"/>
      <c r="C26" s="135" t="s">
        <v>37</v>
      </c>
      <c r="D26" s="135"/>
      <c r="E26" s="135" t="s">
        <v>37</v>
      </c>
      <c r="H26" s="1"/>
      <c r="L26" s="2" t="s">
        <v>68</v>
      </c>
      <c r="M26" s="3" t="s">
        <v>1083</v>
      </c>
    </row>
    <row r="27" spans="2:14" s="1" customFormat="1" ht="12.75" customHeight="1" x14ac:dyDescent="0.25">
      <c r="B27" s="42">
        <f>(B17-0.066428)/0.001273*4</f>
        <v>-35.908876669285156</v>
      </c>
      <c r="C27" s="42">
        <f t="shared" ref="C27:E27" si="0">(C17-0.066428)/0.001273*4</f>
        <v>111.77376276512173</v>
      </c>
      <c r="D27" s="42">
        <f t="shared" si="0"/>
        <v>-29.624509033778473</v>
      </c>
      <c r="E27" s="42">
        <f t="shared" si="0"/>
        <v>212.32364493322862</v>
      </c>
      <c r="H27" s="101"/>
      <c r="L27" s="2" t="s">
        <v>47</v>
      </c>
      <c r="M27" s="3">
        <v>0.86809999999999998</v>
      </c>
      <c r="N27" s="95"/>
    </row>
    <row r="28" spans="2:14" s="1" customFormat="1" ht="12.75" customHeight="1" x14ac:dyDescent="0.25">
      <c r="B28" s="42">
        <f t="shared" ref="B28:E28" si="1">(B18-0.066428)/0.001273*4</f>
        <v>-26.482325216025131</v>
      </c>
      <c r="C28" s="42">
        <f t="shared" si="1"/>
        <v>130.62686567164178</v>
      </c>
      <c r="D28" s="42">
        <f t="shared" si="1"/>
        <v>-20.197957580518469</v>
      </c>
      <c r="E28" s="42">
        <f t="shared" si="1"/>
        <v>265.74076983503534</v>
      </c>
      <c r="H28" s="95"/>
      <c r="L28" s="2" t="s">
        <v>49</v>
      </c>
      <c r="M28" s="3" t="s">
        <v>203</v>
      </c>
      <c r="N28" s="95"/>
    </row>
    <row r="29" spans="2:14" s="1" customFormat="1" ht="12.75" customHeight="1" x14ac:dyDescent="0.25">
      <c r="B29" s="42">
        <f t="shared" ref="B29:E29" si="2">(B19-0.066428)/0.001273*4</f>
        <v>-39.051060487038498</v>
      </c>
      <c r="C29" s="42">
        <f t="shared" si="2"/>
        <v>83.494108405341706</v>
      </c>
      <c r="D29" s="42">
        <f t="shared" si="2"/>
        <v>-26.482325216025131</v>
      </c>
      <c r="E29" s="42">
        <f t="shared" si="2"/>
        <v>231.17674783974866</v>
      </c>
      <c r="H29" s="95"/>
      <c r="L29" s="2" t="s">
        <v>70</v>
      </c>
      <c r="M29" s="3" t="s">
        <v>204</v>
      </c>
      <c r="N29" s="95"/>
    </row>
    <row r="30" spans="2:14" s="95" customFormat="1" ht="12.75" customHeight="1" x14ac:dyDescent="0.25">
      <c r="B30" s="101"/>
      <c r="C30" s="101"/>
      <c r="D30" s="101"/>
      <c r="E30" s="101"/>
      <c r="F30" s="101"/>
      <c r="G30" s="101"/>
      <c r="I30" s="101"/>
      <c r="J30" s="101"/>
      <c r="K30" s="101"/>
      <c r="L30" s="101"/>
    </row>
    <row r="31" spans="2:14" ht="12.75" customHeight="1" x14ac:dyDescent="0.3"/>
  </sheetData>
  <mergeCells count="2">
    <mergeCell ref="F17:F19"/>
    <mergeCell ref="G17:G19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FD9C1-C1DF-4461-85E2-DC43A0AEE739}">
  <dimension ref="A2:J30"/>
  <sheetViews>
    <sheetView zoomScale="90" zoomScaleNormal="90" workbookViewId="0">
      <selection activeCell="J35" sqref="J35"/>
    </sheetView>
  </sheetViews>
  <sheetFormatPr defaultRowHeight="14" x14ac:dyDescent="0.3"/>
  <cols>
    <col min="1" max="1" width="9" style="25"/>
    <col min="2" max="2" width="12.25" style="25" customWidth="1"/>
    <col min="3" max="3" width="14.5" style="25" customWidth="1"/>
    <col min="4" max="4" width="11.33203125" style="25" customWidth="1"/>
    <col min="5" max="5" width="14" style="25" customWidth="1"/>
    <col min="6" max="6" width="12.08203125" style="25" customWidth="1"/>
    <col min="7" max="7" width="12.75" style="25" customWidth="1"/>
    <col min="8" max="8" width="9.33203125" style="25" bestFit="1" customWidth="1"/>
    <col min="9" max="9" width="9.58203125" style="25" bestFit="1" customWidth="1"/>
    <col min="10" max="10" width="7.33203125" style="25" bestFit="1" customWidth="1"/>
    <col min="11" max="11" width="15.5" style="25" customWidth="1"/>
    <col min="12" max="12" width="33.25" style="25" bestFit="1" customWidth="1"/>
    <col min="13" max="13" width="21.58203125" style="25" bestFit="1" customWidth="1"/>
    <col min="14" max="14" width="15.5" style="25" customWidth="1"/>
    <col min="15" max="16" width="14" style="25" customWidth="1"/>
    <col min="17" max="17" width="8.25" style="25" customWidth="1"/>
    <col min="18" max="257" width="9" style="25"/>
    <col min="258" max="270" width="15.5" style="25" customWidth="1"/>
    <col min="271" max="272" width="14" style="25" customWidth="1"/>
    <col min="273" max="273" width="8.25" style="25" customWidth="1"/>
    <col min="274" max="513" width="9" style="25"/>
    <col min="514" max="526" width="15.5" style="25" customWidth="1"/>
    <col min="527" max="528" width="14" style="25" customWidth="1"/>
    <col min="529" max="529" width="8.25" style="25" customWidth="1"/>
    <col min="530" max="769" width="9" style="25"/>
    <col min="770" max="782" width="15.5" style="25" customWidth="1"/>
    <col min="783" max="784" width="14" style="25" customWidth="1"/>
    <col min="785" max="785" width="8.25" style="25" customWidth="1"/>
    <col min="786" max="1025" width="9" style="25"/>
    <col min="1026" max="1038" width="15.5" style="25" customWidth="1"/>
    <col min="1039" max="1040" width="14" style="25" customWidth="1"/>
    <col min="1041" max="1041" width="8.25" style="25" customWidth="1"/>
    <col min="1042" max="1281" width="9" style="25"/>
    <col min="1282" max="1294" width="15.5" style="25" customWidth="1"/>
    <col min="1295" max="1296" width="14" style="25" customWidth="1"/>
    <col min="1297" max="1297" width="8.25" style="25" customWidth="1"/>
    <col min="1298" max="1537" width="9" style="25"/>
    <col min="1538" max="1550" width="15.5" style="25" customWidth="1"/>
    <col min="1551" max="1552" width="14" style="25" customWidth="1"/>
    <col min="1553" max="1553" width="8.25" style="25" customWidth="1"/>
    <col min="1554" max="1793" width="9" style="25"/>
    <col min="1794" max="1806" width="15.5" style="25" customWidth="1"/>
    <col min="1807" max="1808" width="14" style="25" customWidth="1"/>
    <col min="1809" max="1809" width="8.25" style="25" customWidth="1"/>
    <col min="1810" max="2049" width="9" style="25"/>
    <col min="2050" max="2062" width="15.5" style="25" customWidth="1"/>
    <col min="2063" max="2064" width="14" style="25" customWidth="1"/>
    <col min="2065" max="2065" width="8.25" style="25" customWidth="1"/>
    <col min="2066" max="2305" width="9" style="25"/>
    <col min="2306" max="2318" width="15.5" style="25" customWidth="1"/>
    <col min="2319" max="2320" width="14" style="25" customWidth="1"/>
    <col min="2321" max="2321" width="8.25" style="25" customWidth="1"/>
    <col min="2322" max="2561" width="9" style="25"/>
    <col min="2562" max="2574" width="15.5" style="25" customWidth="1"/>
    <col min="2575" max="2576" width="14" style="25" customWidth="1"/>
    <col min="2577" max="2577" width="8.25" style="25" customWidth="1"/>
    <col min="2578" max="2817" width="9" style="25"/>
    <col min="2818" max="2830" width="15.5" style="25" customWidth="1"/>
    <col min="2831" max="2832" width="14" style="25" customWidth="1"/>
    <col min="2833" max="2833" width="8.25" style="25" customWidth="1"/>
    <col min="2834" max="3073" width="9" style="25"/>
    <col min="3074" max="3086" width="15.5" style="25" customWidth="1"/>
    <col min="3087" max="3088" width="14" style="25" customWidth="1"/>
    <col min="3089" max="3089" width="8.25" style="25" customWidth="1"/>
    <col min="3090" max="3329" width="9" style="25"/>
    <col min="3330" max="3342" width="15.5" style="25" customWidth="1"/>
    <col min="3343" max="3344" width="14" style="25" customWidth="1"/>
    <col min="3345" max="3345" width="8.25" style="25" customWidth="1"/>
    <col min="3346" max="3585" width="9" style="25"/>
    <col min="3586" max="3598" width="15.5" style="25" customWidth="1"/>
    <col min="3599" max="3600" width="14" style="25" customWidth="1"/>
    <col min="3601" max="3601" width="8.25" style="25" customWidth="1"/>
    <col min="3602" max="3841" width="9" style="25"/>
    <col min="3842" max="3854" width="15.5" style="25" customWidth="1"/>
    <col min="3855" max="3856" width="14" style="25" customWidth="1"/>
    <col min="3857" max="3857" width="8.25" style="25" customWidth="1"/>
    <col min="3858" max="4097" width="9" style="25"/>
    <col min="4098" max="4110" width="15.5" style="25" customWidth="1"/>
    <col min="4111" max="4112" width="14" style="25" customWidth="1"/>
    <col min="4113" max="4113" width="8.25" style="25" customWidth="1"/>
    <col min="4114" max="4353" width="9" style="25"/>
    <col min="4354" max="4366" width="15.5" style="25" customWidth="1"/>
    <col min="4367" max="4368" width="14" style="25" customWidth="1"/>
    <col min="4369" max="4369" width="8.25" style="25" customWidth="1"/>
    <col min="4370" max="4609" width="9" style="25"/>
    <col min="4610" max="4622" width="15.5" style="25" customWidth="1"/>
    <col min="4623" max="4624" width="14" style="25" customWidth="1"/>
    <col min="4625" max="4625" width="8.25" style="25" customWidth="1"/>
    <col min="4626" max="4865" width="9" style="25"/>
    <col min="4866" max="4878" width="15.5" style="25" customWidth="1"/>
    <col min="4879" max="4880" width="14" style="25" customWidth="1"/>
    <col min="4881" max="4881" width="8.25" style="25" customWidth="1"/>
    <col min="4882" max="5121" width="9" style="25"/>
    <col min="5122" max="5134" width="15.5" style="25" customWidth="1"/>
    <col min="5135" max="5136" width="14" style="25" customWidth="1"/>
    <col min="5137" max="5137" width="8.25" style="25" customWidth="1"/>
    <col min="5138" max="5377" width="9" style="25"/>
    <col min="5378" max="5390" width="15.5" style="25" customWidth="1"/>
    <col min="5391" max="5392" width="14" style="25" customWidth="1"/>
    <col min="5393" max="5393" width="8.25" style="25" customWidth="1"/>
    <col min="5394" max="5633" width="9" style="25"/>
    <col min="5634" max="5646" width="15.5" style="25" customWidth="1"/>
    <col min="5647" max="5648" width="14" style="25" customWidth="1"/>
    <col min="5649" max="5649" width="8.25" style="25" customWidth="1"/>
    <col min="5650" max="5889" width="9" style="25"/>
    <col min="5890" max="5902" width="15.5" style="25" customWidth="1"/>
    <col min="5903" max="5904" width="14" style="25" customWidth="1"/>
    <col min="5905" max="5905" width="8.25" style="25" customWidth="1"/>
    <col min="5906" max="6145" width="9" style="25"/>
    <col min="6146" max="6158" width="15.5" style="25" customWidth="1"/>
    <col min="6159" max="6160" width="14" style="25" customWidth="1"/>
    <col min="6161" max="6161" width="8.25" style="25" customWidth="1"/>
    <col min="6162" max="6401" width="9" style="25"/>
    <col min="6402" max="6414" width="15.5" style="25" customWidth="1"/>
    <col min="6415" max="6416" width="14" style="25" customWidth="1"/>
    <col min="6417" max="6417" width="8.25" style="25" customWidth="1"/>
    <col min="6418" max="6657" width="9" style="25"/>
    <col min="6658" max="6670" width="15.5" style="25" customWidth="1"/>
    <col min="6671" max="6672" width="14" style="25" customWidth="1"/>
    <col min="6673" max="6673" width="8.25" style="25" customWidth="1"/>
    <col min="6674" max="6913" width="9" style="25"/>
    <col min="6914" max="6926" width="15.5" style="25" customWidth="1"/>
    <col min="6927" max="6928" width="14" style="25" customWidth="1"/>
    <col min="6929" max="6929" width="8.25" style="25" customWidth="1"/>
    <col min="6930" max="7169" width="9" style="25"/>
    <col min="7170" max="7182" width="15.5" style="25" customWidth="1"/>
    <col min="7183" max="7184" width="14" style="25" customWidth="1"/>
    <col min="7185" max="7185" width="8.25" style="25" customWidth="1"/>
    <col min="7186" max="7425" width="9" style="25"/>
    <col min="7426" max="7438" width="15.5" style="25" customWidth="1"/>
    <col min="7439" max="7440" width="14" style="25" customWidth="1"/>
    <col min="7441" max="7441" width="8.25" style="25" customWidth="1"/>
    <col min="7442" max="7681" width="9" style="25"/>
    <col min="7682" max="7694" width="15.5" style="25" customWidth="1"/>
    <col min="7695" max="7696" width="14" style="25" customWidth="1"/>
    <col min="7697" max="7697" width="8.25" style="25" customWidth="1"/>
    <col min="7698" max="7937" width="9" style="25"/>
    <col min="7938" max="7950" width="15.5" style="25" customWidth="1"/>
    <col min="7951" max="7952" width="14" style="25" customWidth="1"/>
    <col min="7953" max="7953" width="8.25" style="25" customWidth="1"/>
    <col min="7954" max="8193" width="9" style="25"/>
    <col min="8194" max="8206" width="15.5" style="25" customWidth="1"/>
    <col min="8207" max="8208" width="14" style="25" customWidth="1"/>
    <col min="8209" max="8209" width="8.25" style="25" customWidth="1"/>
    <col min="8210" max="8449" width="9" style="25"/>
    <col min="8450" max="8462" width="15.5" style="25" customWidth="1"/>
    <col min="8463" max="8464" width="14" style="25" customWidth="1"/>
    <col min="8465" max="8465" width="8.25" style="25" customWidth="1"/>
    <col min="8466" max="8705" width="9" style="25"/>
    <col min="8706" max="8718" width="15.5" style="25" customWidth="1"/>
    <col min="8719" max="8720" width="14" style="25" customWidth="1"/>
    <col min="8721" max="8721" width="8.25" style="25" customWidth="1"/>
    <col min="8722" max="8961" width="9" style="25"/>
    <col min="8962" max="8974" width="15.5" style="25" customWidth="1"/>
    <col min="8975" max="8976" width="14" style="25" customWidth="1"/>
    <col min="8977" max="8977" width="8.25" style="25" customWidth="1"/>
    <col min="8978" max="9217" width="9" style="25"/>
    <col min="9218" max="9230" width="15.5" style="25" customWidth="1"/>
    <col min="9231" max="9232" width="14" style="25" customWidth="1"/>
    <col min="9233" max="9233" width="8.25" style="25" customWidth="1"/>
    <col min="9234" max="9473" width="9" style="25"/>
    <col min="9474" max="9486" width="15.5" style="25" customWidth="1"/>
    <col min="9487" max="9488" width="14" style="25" customWidth="1"/>
    <col min="9489" max="9489" width="8.25" style="25" customWidth="1"/>
    <col min="9490" max="9729" width="9" style="25"/>
    <col min="9730" max="9742" width="15.5" style="25" customWidth="1"/>
    <col min="9743" max="9744" width="14" style="25" customWidth="1"/>
    <col min="9745" max="9745" width="8.25" style="25" customWidth="1"/>
    <col min="9746" max="9985" width="9" style="25"/>
    <col min="9986" max="9998" width="15.5" style="25" customWidth="1"/>
    <col min="9999" max="10000" width="14" style="25" customWidth="1"/>
    <col min="10001" max="10001" width="8.25" style="25" customWidth="1"/>
    <col min="10002" max="10241" width="9" style="25"/>
    <col min="10242" max="10254" width="15.5" style="25" customWidth="1"/>
    <col min="10255" max="10256" width="14" style="25" customWidth="1"/>
    <col min="10257" max="10257" width="8.25" style="25" customWidth="1"/>
    <col min="10258" max="10497" width="9" style="25"/>
    <col min="10498" max="10510" width="15.5" style="25" customWidth="1"/>
    <col min="10511" max="10512" width="14" style="25" customWidth="1"/>
    <col min="10513" max="10513" width="8.25" style="25" customWidth="1"/>
    <col min="10514" max="10753" width="9" style="25"/>
    <col min="10754" max="10766" width="15.5" style="25" customWidth="1"/>
    <col min="10767" max="10768" width="14" style="25" customWidth="1"/>
    <col min="10769" max="10769" width="8.25" style="25" customWidth="1"/>
    <col min="10770" max="11009" width="9" style="25"/>
    <col min="11010" max="11022" width="15.5" style="25" customWidth="1"/>
    <col min="11023" max="11024" width="14" style="25" customWidth="1"/>
    <col min="11025" max="11025" width="8.25" style="25" customWidth="1"/>
    <col min="11026" max="11265" width="9" style="25"/>
    <col min="11266" max="11278" width="15.5" style="25" customWidth="1"/>
    <col min="11279" max="11280" width="14" style="25" customWidth="1"/>
    <col min="11281" max="11281" width="8.25" style="25" customWidth="1"/>
    <col min="11282" max="11521" width="9" style="25"/>
    <col min="11522" max="11534" width="15.5" style="25" customWidth="1"/>
    <col min="11535" max="11536" width="14" style="25" customWidth="1"/>
    <col min="11537" max="11537" width="8.25" style="25" customWidth="1"/>
    <col min="11538" max="11777" width="9" style="25"/>
    <col min="11778" max="11790" width="15.5" style="25" customWidth="1"/>
    <col min="11791" max="11792" width="14" style="25" customWidth="1"/>
    <col min="11793" max="11793" width="8.25" style="25" customWidth="1"/>
    <col min="11794" max="12033" width="9" style="25"/>
    <col min="12034" max="12046" width="15.5" style="25" customWidth="1"/>
    <col min="12047" max="12048" width="14" style="25" customWidth="1"/>
    <col min="12049" max="12049" width="8.25" style="25" customWidth="1"/>
    <col min="12050" max="12289" width="9" style="25"/>
    <col min="12290" max="12302" width="15.5" style="25" customWidth="1"/>
    <col min="12303" max="12304" width="14" style="25" customWidth="1"/>
    <col min="12305" max="12305" width="8.25" style="25" customWidth="1"/>
    <col min="12306" max="12545" width="9" style="25"/>
    <col min="12546" max="12558" width="15.5" style="25" customWidth="1"/>
    <col min="12559" max="12560" width="14" style="25" customWidth="1"/>
    <col min="12561" max="12561" width="8.25" style="25" customWidth="1"/>
    <col min="12562" max="12801" width="9" style="25"/>
    <col min="12802" max="12814" width="15.5" style="25" customWidth="1"/>
    <col min="12815" max="12816" width="14" style="25" customWidth="1"/>
    <col min="12817" max="12817" width="8.25" style="25" customWidth="1"/>
    <col min="12818" max="13057" width="9" style="25"/>
    <col min="13058" max="13070" width="15.5" style="25" customWidth="1"/>
    <col min="13071" max="13072" width="14" style="25" customWidth="1"/>
    <col min="13073" max="13073" width="8.25" style="25" customWidth="1"/>
    <col min="13074" max="13313" width="9" style="25"/>
    <col min="13314" max="13326" width="15.5" style="25" customWidth="1"/>
    <col min="13327" max="13328" width="14" style="25" customWidth="1"/>
    <col min="13329" max="13329" width="8.25" style="25" customWidth="1"/>
    <col min="13330" max="13569" width="9" style="25"/>
    <col min="13570" max="13582" width="15.5" style="25" customWidth="1"/>
    <col min="13583" max="13584" width="14" style="25" customWidth="1"/>
    <col min="13585" max="13585" width="8.25" style="25" customWidth="1"/>
    <col min="13586" max="13825" width="9" style="25"/>
    <col min="13826" max="13838" width="15.5" style="25" customWidth="1"/>
    <col min="13839" max="13840" width="14" style="25" customWidth="1"/>
    <col min="13841" max="13841" width="8.25" style="25" customWidth="1"/>
    <col min="13842" max="14081" width="9" style="25"/>
    <col min="14082" max="14094" width="15.5" style="25" customWidth="1"/>
    <col min="14095" max="14096" width="14" style="25" customWidth="1"/>
    <col min="14097" max="14097" width="8.25" style="25" customWidth="1"/>
    <col min="14098" max="14337" width="9" style="25"/>
    <col min="14338" max="14350" width="15.5" style="25" customWidth="1"/>
    <col min="14351" max="14352" width="14" style="25" customWidth="1"/>
    <col min="14353" max="14353" width="8.25" style="25" customWidth="1"/>
    <col min="14354" max="14593" width="9" style="25"/>
    <col min="14594" max="14606" width="15.5" style="25" customWidth="1"/>
    <col min="14607" max="14608" width="14" style="25" customWidth="1"/>
    <col min="14609" max="14609" width="8.25" style="25" customWidth="1"/>
    <col min="14610" max="14849" width="9" style="25"/>
    <col min="14850" max="14862" width="15.5" style="25" customWidth="1"/>
    <col min="14863" max="14864" width="14" style="25" customWidth="1"/>
    <col min="14865" max="14865" width="8.25" style="25" customWidth="1"/>
    <col min="14866" max="15105" width="9" style="25"/>
    <col min="15106" max="15118" width="15.5" style="25" customWidth="1"/>
    <col min="15119" max="15120" width="14" style="25" customWidth="1"/>
    <col min="15121" max="15121" width="8.25" style="25" customWidth="1"/>
    <col min="15122" max="15361" width="9" style="25"/>
    <col min="15362" max="15374" width="15.5" style="25" customWidth="1"/>
    <col min="15375" max="15376" width="14" style="25" customWidth="1"/>
    <col min="15377" max="15377" width="8.25" style="25" customWidth="1"/>
    <col min="15378" max="15617" width="9" style="25"/>
    <col min="15618" max="15630" width="15.5" style="25" customWidth="1"/>
    <col min="15631" max="15632" width="14" style="25" customWidth="1"/>
    <col min="15633" max="15633" width="8.25" style="25" customWidth="1"/>
    <col min="15634" max="15873" width="9" style="25"/>
    <col min="15874" max="15886" width="15.5" style="25" customWidth="1"/>
    <col min="15887" max="15888" width="14" style="25" customWidth="1"/>
    <col min="15889" max="15889" width="8.25" style="25" customWidth="1"/>
    <col min="15890" max="16129" width="9" style="25"/>
    <col min="16130" max="16142" width="15.5" style="25" customWidth="1"/>
    <col min="16143" max="16144" width="14" style="25" customWidth="1"/>
    <col min="16145" max="16145" width="8.25" style="25" customWidth="1"/>
    <col min="16146" max="16384" width="9" style="25"/>
  </cols>
  <sheetData>
    <row r="2" spans="1:10" s="95" customFormat="1" ht="13" x14ac:dyDescent="0.25">
      <c r="B2" s="100" t="s">
        <v>1085</v>
      </c>
      <c r="C2" s="101"/>
      <c r="D2" s="101"/>
    </row>
    <row r="3" spans="1:10" s="101" customFormat="1" ht="13" x14ac:dyDescent="0.45">
      <c r="A3" s="13"/>
    </row>
    <row r="4" spans="1:10" s="95" customFormat="1" ht="13" x14ac:dyDescent="0.3">
      <c r="B4" s="103" t="s">
        <v>1409</v>
      </c>
      <c r="J4" s="26"/>
    </row>
    <row r="5" spans="1:10" s="95" customFormat="1" ht="12.5" x14ac:dyDescent="0.25"/>
    <row r="6" spans="1:10" s="95" customFormat="1" ht="12.5" x14ac:dyDescent="0.25">
      <c r="B6" s="3"/>
      <c r="C6" s="4" t="s">
        <v>1401</v>
      </c>
      <c r="D6" s="4" t="s">
        <v>1402</v>
      </c>
      <c r="E6" s="4" t="s">
        <v>1403</v>
      </c>
      <c r="F6" s="4" t="s">
        <v>1404</v>
      </c>
      <c r="G6" s="4" t="s">
        <v>1405</v>
      </c>
      <c r="H6" s="4" t="s">
        <v>1406</v>
      </c>
      <c r="I6" s="4" t="s">
        <v>1407</v>
      </c>
      <c r="J6" s="4" t="s">
        <v>29</v>
      </c>
    </row>
    <row r="7" spans="1:10" s="95" customFormat="1" ht="13" x14ac:dyDescent="0.3">
      <c r="B7" s="6" t="s">
        <v>30</v>
      </c>
      <c r="C7" s="67">
        <v>0.25800000000000001</v>
      </c>
      <c r="D7" s="67">
        <v>0.19900000000000001</v>
      </c>
      <c r="E7" s="67">
        <v>0.13900000000000001</v>
      </c>
      <c r="F7" s="67">
        <v>0.106</v>
      </c>
      <c r="G7" s="67">
        <v>7.6999999999999999E-2</v>
      </c>
      <c r="H7" s="67">
        <v>6.6000000000000003E-2</v>
      </c>
      <c r="I7" s="67">
        <v>6.0999999999999999E-2</v>
      </c>
      <c r="J7" s="67">
        <v>5.8000000000000003E-2</v>
      </c>
    </row>
    <row r="8" spans="1:10" s="95" customFormat="1" ht="13" x14ac:dyDescent="0.3">
      <c r="B8" s="6" t="s">
        <v>31</v>
      </c>
      <c r="C8" s="67">
        <v>0.24399999999999999</v>
      </c>
      <c r="D8" s="67">
        <v>0.20799999999999999</v>
      </c>
      <c r="E8" s="67">
        <v>0.13600000000000001</v>
      </c>
      <c r="F8" s="67">
        <v>9.8000000000000004E-2</v>
      </c>
      <c r="G8" s="67">
        <v>7.8E-2</v>
      </c>
      <c r="H8" s="67">
        <v>6.8000000000000005E-2</v>
      </c>
      <c r="I8" s="67">
        <v>6.6000000000000003E-2</v>
      </c>
      <c r="J8" s="67">
        <v>6.0999999999999999E-2</v>
      </c>
    </row>
    <row r="9" spans="1:10" s="95" customFormat="1" ht="13" x14ac:dyDescent="0.3">
      <c r="B9" s="26"/>
    </row>
    <row r="10" spans="1:10" s="95" customFormat="1" ht="13" x14ac:dyDescent="0.3">
      <c r="B10" s="26"/>
      <c r="D10" s="124" t="s">
        <v>1408</v>
      </c>
      <c r="E10" s="125"/>
      <c r="F10" s="125"/>
      <c r="G10" s="125"/>
      <c r="H10" s="125"/>
    </row>
    <row r="11" spans="1:10" s="95" customFormat="1" ht="13" x14ac:dyDescent="0.3">
      <c r="B11" s="26"/>
      <c r="D11" s="128"/>
    </row>
    <row r="12" spans="1:10" s="95" customFormat="1" ht="13" x14ac:dyDescent="0.3">
      <c r="B12" s="129" t="s">
        <v>40</v>
      </c>
      <c r="C12" s="103"/>
      <c r="D12" s="128"/>
    </row>
    <row r="13" spans="1:10" s="95" customFormat="1" ht="13" x14ac:dyDescent="0.3">
      <c r="B13" s="130">
        <v>1</v>
      </c>
      <c r="C13" s="130">
        <v>2</v>
      </c>
      <c r="D13" s="130">
        <v>3</v>
      </c>
      <c r="E13" s="130">
        <v>4</v>
      </c>
    </row>
    <row r="14" spans="1:10" s="95" customFormat="1" ht="13" x14ac:dyDescent="0.3">
      <c r="B14" s="131" t="s">
        <v>35</v>
      </c>
      <c r="C14" s="131" t="s">
        <v>35</v>
      </c>
      <c r="D14" s="131" t="s">
        <v>1077</v>
      </c>
      <c r="E14" s="131" t="s">
        <v>1077</v>
      </c>
    </row>
    <row r="15" spans="1:10" s="95" customFormat="1" ht="13" x14ac:dyDescent="0.3">
      <c r="B15" s="28"/>
      <c r="C15" s="28"/>
      <c r="D15" s="28"/>
      <c r="E15" s="28"/>
    </row>
    <row r="16" spans="1:10" s="95" customFormat="1" ht="13" x14ac:dyDescent="0.3">
      <c r="B16" s="184"/>
      <c r="C16" s="135" t="s">
        <v>37</v>
      </c>
      <c r="D16" s="135"/>
      <c r="E16" s="135" t="s">
        <v>37</v>
      </c>
    </row>
    <row r="17" spans="2:10" s="95" customFormat="1" ht="12.5" x14ac:dyDescent="0.25">
      <c r="B17" s="67">
        <v>5.1999999999999998E-2</v>
      </c>
      <c r="C17" s="67">
        <v>5.1999999999999998E-2</v>
      </c>
      <c r="D17" s="67">
        <v>5.8000000000000003E-2</v>
      </c>
      <c r="E17" s="67">
        <v>5.1999999999999998E-2</v>
      </c>
      <c r="F17" s="388" t="s">
        <v>593</v>
      </c>
      <c r="G17" s="391"/>
    </row>
    <row r="18" spans="2:10" s="95" customFormat="1" ht="12.5" x14ac:dyDescent="0.25">
      <c r="B18" s="67">
        <v>5.0999999999999997E-2</v>
      </c>
      <c r="C18" s="67">
        <v>5.1999999999999998E-2</v>
      </c>
      <c r="D18" s="67">
        <v>0.05</v>
      </c>
      <c r="E18" s="67">
        <v>5.0999999999999997E-2</v>
      </c>
      <c r="F18" s="389"/>
      <c r="G18" s="391"/>
    </row>
    <row r="19" spans="2:10" s="95" customFormat="1" ht="12.5" x14ac:dyDescent="0.25">
      <c r="B19" s="67">
        <v>0.05</v>
      </c>
      <c r="C19" s="67">
        <v>5.8999999999999997E-2</v>
      </c>
      <c r="D19" s="67">
        <v>5.1999999999999998E-2</v>
      </c>
      <c r="E19" s="67">
        <v>5.0999999999999997E-2</v>
      </c>
      <c r="F19" s="390"/>
      <c r="G19" s="391"/>
    </row>
    <row r="20" spans="2:10" s="95" customFormat="1" ht="12.5" x14ac:dyDescent="0.25">
      <c r="B20" s="101"/>
      <c r="C20" s="101"/>
      <c r="D20" s="101"/>
      <c r="E20" s="101"/>
    </row>
    <row r="21" spans="2:10" s="95" customFormat="1" ht="12.5" x14ac:dyDescent="0.25"/>
    <row r="22" spans="2:10" s="95" customFormat="1" ht="13" x14ac:dyDescent="0.3">
      <c r="B22" s="129" t="s">
        <v>1410</v>
      </c>
      <c r="C22" s="103"/>
      <c r="D22" s="128"/>
      <c r="E22" s="128"/>
    </row>
    <row r="23" spans="2:10" s="95" customFormat="1" ht="13" x14ac:dyDescent="0.3">
      <c r="B23" s="130">
        <v>1</v>
      </c>
      <c r="C23" s="130">
        <v>2</v>
      </c>
      <c r="D23" s="130">
        <v>3</v>
      </c>
      <c r="E23" s="130">
        <v>4</v>
      </c>
    </row>
    <row r="24" spans="2:10" s="95" customFormat="1" ht="13" x14ac:dyDescent="0.3">
      <c r="B24" s="131" t="s">
        <v>35</v>
      </c>
      <c r="C24" s="131" t="s">
        <v>35</v>
      </c>
      <c r="D24" s="131" t="s">
        <v>1077</v>
      </c>
      <c r="E24" s="131" t="s">
        <v>1077</v>
      </c>
      <c r="H24" s="1"/>
    </row>
    <row r="25" spans="2:10" s="95" customFormat="1" ht="13" x14ac:dyDescent="0.3">
      <c r="B25" s="28"/>
      <c r="C25" s="28"/>
      <c r="D25" s="28"/>
      <c r="E25" s="28"/>
      <c r="H25" s="1"/>
    </row>
    <row r="26" spans="2:10" s="95" customFormat="1" ht="13" x14ac:dyDescent="0.3">
      <c r="B26" s="184"/>
      <c r="C26" s="135" t="s">
        <v>37</v>
      </c>
      <c r="D26" s="135"/>
      <c r="E26" s="135" t="s">
        <v>37</v>
      </c>
      <c r="H26" s="1"/>
    </row>
    <row r="27" spans="2:10" s="95" customFormat="1" ht="13" x14ac:dyDescent="0.25">
      <c r="B27" s="42">
        <f>(B17-0.058671)/0.000053*4</f>
        <v>-503.47169811320776</v>
      </c>
      <c r="C27" s="42">
        <f t="shared" ref="C27:E27" si="0">(C17-0.058671)/0.000053*4</f>
        <v>-503.47169811320776</v>
      </c>
      <c r="D27" s="42">
        <f t="shared" si="0"/>
        <v>-50.641509433962113</v>
      </c>
      <c r="E27" s="42">
        <f t="shared" si="0"/>
        <v>-503.47169811320776</v>
      </c>
      <c r="F27" s="1"/>
      <c r="G27" s="1"/>
      <c r="H27" s="101"/>
      <c r="I27" s="1"/>
      <c r="J27" s="1"/>
    </row>
    <row r="28" spans="2:10" s="95" customFormat="1" ht="13" x14ac:dyDescent="0.25">
      <c r="B28" s="42">
        <f t="shared" ref="B28:E29" si="1">(B18-0.058671)/0.000053*4</f>
        <v>-578.94339622641542</v>
      </c>
      <c r="C28" s="42">
        <f t="shared" si="1"/>
        <v>-503.47169811320776</v>
      </c>
      <c r="D28" s="42">
        <f t="shared" si="1"/>
        <v>-654.41509433962244</v>
      </c>
      <c r="E28" s="42">
        <f t="shared" si="1"/>
        <v>-578.94339622641542</v>
      </c>
      <c r="F28" s="1"/>
      <c r="G28" s="1"/>
      <c r="I28" s="1"/>
      <c r="J28" s="1"/>
    </row>
    <row r="29" spans="2:10" s="95" customFormat="1" ht="13" x14ac:dyDescent="0.25">
      <c r="B29" s="42">
        <f t="shared" si="1"/>
        <v>-654.41509433962244</v>
      </c>
      <c r="C29" s="42">
        <f t="shared" si="1"/>
        <v>24.830188679244976</v>
      </c>
      <c r="D29" s="42">
        <f t="shared" si="1"/>
        <v>-503.47169811320776</v>
      </c>
      <c r="E29" s="42">
        <f t="shared" si="1"/>
        <v>-578.94339622641542</v>
      </c>
      <c r="F29" s="1"/>
      <c r="G29" s="1"/>
      <c r="I29" s="1"/>
      <c r="J29" s="1"/>
    </row>
    <row r="30" spans="2:10" s="95" customFormat="1" ht="12.5" x14ac:dyDescent="0.25"/>
  </sheetData>
  <mergeCells count="2">
    <mergeCell ref="F17:F19"/>
    <mergeCell ref="G17:G19"/>
  </mergeCells>
  <phoneticPr fontId="3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7904-D333-4906-89C9-026ECE78B0BB}">
  <dimension ref="B2:AJ37"/>
  <sheetViews>
    <sheetView zoomScale="90" zoomScaleNormal="90" workbookViewId="0">
      <selection activeCell="I44" sqref="I44"/>
    </sheetView>
  </sheetViews>
  <sheetFormatPr defaultColWidth="9" defaultRowHeight="14" x14ac:dyDescent="0.3"/>
  <cols>
    <col min="1" max="3" width="9" style="25"/>
    <col min="4" max="4" width="12.08203125" style="25" bestFit="1" customWidth="1"/>
    <col min="5" max="5" width="19.5" style="25" customWidth="1"/>
    <col min="6" max="6" width="20.25" style="25" bestFit="1" customWidth="1"/>
    <col min="7" max="7" width="28.5" style="25" bestFit="1" customWidth="1"/>
    <col min="8" max="8" width="7.5" style="25" customWidth="1"/>
    <col min="9" max="9" width="29" style="25" bestFit="1" customWidth="1"/>
    <col min="10" max="10" width="9.5" style="25" customWidth="1"/>
    <col min="11" max="11" width="6.33203125" style="25" customWidth="1"/>
    <col min="12" max="12" width="15.83203125" style="37" customWidth="1"/>
    <col min="13" max="13" width="6.33203125" style="35" customWidth="1"/>
    <col min="14" max="15" width="6.5" style="36" customWidth="1"/>
    <col min="16" max="16" width="7.58203125" style="36" customWidth="1"/>
    <col min="17" max="17" width="6" style="25" bestFit="1" customWidth="1"/>
    <col min="18" max="18" width="6.75" style="25" customWidth="1"/>
    <col min="19" max="19" width="6" style="25" bestFit="1" customWidth="1"/>
    <col min="20" max="20" width="6.75" style="25" customWidth="1"/>
    <col min="21" max="21" width="6" style="25" bestFit="1" customWidth="1"/>
    <col min="22" max="22" width="6.75" style="25" customWidth="1"/>
    <col min="23" max="23" width="6" style="25" bestFit="1" customWidth="1"/>
    <col min="24" max="24" width="6.75" style="25" customWidth="1"/>
    <col min="25" max="25" width="6" style="25" bestFit="1" customWidth="1"/>
    <col min="26" max="26" width="6.75" style="25" customWidth="1"/>
    <col min="27" max="27" width="6" style="25" bestFit="1" customWidth="1"/>
    <col min="28" max="28" width="6.75" style="25" customWidth="1"/>
    <col min="29" max="29" width="5.75" style="25" customWidth="1"/>
    <col min="30" max="30" width="6.75" style="25" bestFit="1" customWidth="1"/>
    <col min="31" max="31" width="6" style="25" bestFit="1" customWidth="1"/>
    <col min="32" max="32" width="6.75" style="25" bestFit="1" customWidth="1"/>
    <col min="33" max="33" width="6.33203125" style="25" bestFit="1" customWidth="1"/>
    <col min="34" max="34" width="7.5" style="25" bestFit="1" customWidth="1"/>
    <col min="35" max="35" width="6.33203125" style="25" bestFit="1" customWidth="1"/>
    <col min="36" max="36" width="7.5" style="25" bestFit="1" customWidth="1"/>
    <col min="37" max="16384" width="9" style="25"/>
  </cols>
  <sheetData>
    <row r="2" spans="2:36" s="95" customFormat="1" ht="13" x14ac:dyDescent="0.25">
      <c r="B2" s="100" t="s">
        <v>1087</v>
      </c>
      <c r="M2" s="96"/>
      <c r="N2" s="101"/>
      <c r="O2" s="101"/>
    </row>
    <row r="3" spans="2:36" s="95" customFormat="1" ht="13" x14ac:dyDescent="0.3">
      <c r="L3" s="99" t="s">
        <v>1088</v>
      </c>
      <c r="M3" s="100"/>
      <c r="N3" s="101"/>
      <c r="O3" s="101"/>
    </row>
    <row r="4" spans="2:36" s="95" customFormat="1" ht="12.5" x14ac:dyDescent="0.25">
      <c r="L4" s="4"/>
      <c r="M4" s="263" t="s">
        <v>72</v>
      </c>
      <c r="N4" s="263" t="s">
        <v>172</v>
      </c>
      <c r="O4" s="358" t="s">
        <v>173</v>
      </c>
      <c r="P4" s="359"/>
      <c r="Q4" s="358" t="s">
        <v>102</v>
      </c>
      <c r="R4" s="359"/>
      <c r="S4" s="358" t="s">
        <v>174</v>
      </c>
      <c r="T4" s="359"/>
      <c r="U4" s="358" t="s">
        <v>103</v>
      </c>
      <c r="V4" s="359"/>
      <c r="W4" s="358" t="s">
        <v>175</v>
      </c>
      <c r="X4" s="359"/>
      <c r="Y4" s="358" t="s">
        <v>74</v>
      </c>
      <c r="Z4" s="359"/>
      <c r="AA4" s="358" t="s">
        <v>176</v>
      </c>
      <c r="AB4" s="359"/>
      <c r="AC4" s="358" t="s">
        <v>75</v>
      </c>
      <c r="AD4" s="359"/>
      <c r="AE4" s="358" t="s">
        <v>264</v>
      </c>
      <c r="AF4" s="359"/>
      <c r="AG4" s="358" t="s">
        <v>278</v>
      </c>
      <c r="AH4" s="359"/>
      <c r="AI4" s="358" t="s">
        <v>333</v>
      </c>
      <c r="AJ4" s="359"/>
    </row>
    <row r="5" spans="2:36" s="95" customFormat="1" ht="13" x14ac:dyDescent="0.3">
      <c r="B5" s="4" t="s">
        <v>132</v>
      </c>
      <c r="C5" s="4" t="s">
        <v>494</v>
      </c>
      <c r="D5" s="9" t="s">
        <v>201</v>
      </c>
      <c r="E5" s="9" t="s">
        <v>1089</v>
      </c>
      <c r="F5" s="9" t="s">
        <v>1091</v>
      </c>
      <c r="G5" s="9" t="s">
        <v>1090</v>
      </c>
      <c r="H5" s="5"/>
      <c r="I5" s="103" t="s">
        <v>71</v>
      </c>
      <c r="L5" s="4"/>
      <c r="M5" s="263"/>
      <c r="N5" s="263"/>
      <c r="O5" s="263"/>
      <c r="P5" s="27"/>
      <c r="Q5" s="263"/>
      <c r="R5" s="27"/>
      <c r="S5" s="263"/>
      <c r="T5" s="27"/>
      <c r="U5" s="263"/>
      <c r="V5" s="27"/>
      <c r="W5" s="263"/>
      <c r="X5" s="27"/>
      <c r="Y5" s="263"/>
      <c r="Z5" s="27"/>
      <c r="AA5" s="263"/>
      <c r="AB5" s="27"/>
      <c r="AC5" s="263"/>
      <c r="AD5" s="27"/>
      <c r="AE5" s="263"/>
      <c r="AF5" s="27"/>
      <c r="AG5" s="263"/>
      <c r="AH5" s="27"/>
      <c r="AI5" s="263"/>
      <c r="AJ5" s="27"/>
    </row>
    <row r="6" spans="2:36" s="95" customFormat="1" ht="12.5" x14ac:dyDescent="0.25">
      <c r="B6" s="3">
        <v>3</v>
      </c>
      <c r="C6" s="3"/>
      <c r="D6" s="3"/>
      <c r="E6" s="3">
        <v>1</v>
      </c>
      <c r="F6" s="3"/>
      <c r="G6" s="3">
        <v>1</v>
      </c>
      <c r="H6" s="1"/>
      <c r="L6" s="354" t="s">
        <v>364</v>
      </c>
      <c r="M6" s="58" t="s">
        <v>334</v>
      </c>
      <c r="N6" s="55">
        <v>17.559999999999999</v>
      </c>
      <c r="O6" s="40">
        <v>16.670000000000002</v>
      </c>
      <c r="P6" s="47">
        <f>O6/N6*100</f>
        <v>94.931662870159471</v>
      </c>
      <c r="Q6" s="40">
        <v>16.239999999999998</v>
      </c>
      <c r="R6" s="47">
        <f>Q6/N6*100</f>
        <v>92.482915717539854</v>
      </c>
      <c r="S6" s="40">
        <v>17.170000000000002</v>
      </c>
      <c r="T6" s="47">
        <f>S6/N6*100</f>
        <v>97.77904328018225</v>
      </c>
      <c r="U6" s="40">
        <v>17.02</v>
      </c>
      <c r="V6" s="47">
        <f>U6/N6*100</f>
        <v>96.924829157175409</v>
      </c>
      <c r="W6" s="40">
        <v>17.559999999999999</v>
      </c>
      <c r="X6" s="47">
        <f>W6/N6*100</f>
        <v>100</v>
      </c>
      <c r="Y6" s="40">
        <v>18.18</v>
      </c>
      <c r="Z6" s="47">
        <f>Y6/N6*100</f>
        <v>103.53075170842826</v>
      </c>
      <c r="AA6" s="40">
        <v>18.21</v>
      </c>
      <c r="AB6" s="47">
        <f>AA6/N6*100</f>
        <v>103.70159453302963</v>
      </c>
      <c r="AC6" s="40">
        <v>18.46</v>
      </c>
      <c r="AD6" s="47">
        <f>AC6/N6*100</f>
        <v>105.12528473804102</v>
      </c>
      <c r="AE6" s="40">
        <v>18.37</v>
      </c>
      <c r="AF6" s="47">
        <f>AE6/N6*100</f>
        <v>104.61275626423692</v>
      </c>
      <c r="AG6" s="40">
        <v>18.86</v>
      </c>
      <c r="AH6" s="47">
        <f>AG6/N6*100</f>
        <v>107.40318906605924</v>
      </c>
      <c r="AI6" s="40">
        <v>19.04</v>
      </c>
      <c r="AJ6" s="47">
        <f>AI6/N6*100</f>
        <v>108.42824601366743</v>
      </c>
    </row>
    <row r="7" spans="2:36" s="95" customFormat="1" ht="13" x14ac:dyDescent="0.3">
      <c r="B7" s="3">
        <v>4</v>
      </c>
      <c r="C7" s="3"/>
      <c r="D7" s="3">
        <v>1</v>
      </c>
      <c r="E7" s="3">
        <v>1</v>
      </c>
      <c r="F7" s="3">
        <v>1</v>
      </c>
      <c r="G7" s="3">
        <v>1</v>
      </c>
      <c r="H7" s="1"/>
      <c r="I7" s="7" t="s">
        <v>140</v>
      </c>
      <c r="J7" s="3"/>
      <c r="L7" s="354"/>
      <c r="M7" s="58" t="s">
        <v>335</v>
      </c>
      <c r="N7" s="55">
        <v>18.010000000000002</v>
      </c>
      <c r="O7" s="40">
        <v>18.440000000000001</v>
      </c>
      <c r="P7" s="47">
        <f t="shared" ref="P7:P30" si="0">O7/N7*100</f>
        <v>102.38756246529705</v>
      </c>
      <c r="Q7" s="40">
        <v>17.97</v>
      </c>
      <c r="R7" s="47">
        <f t="shared" ref="R7:R30" si="1">Q7/N7*100</f>
        <v>99.777901166018864</v>
      </c>
      <c r="S7" s="40">
        <v>18.010000000000002</v>
      </c>
      <c r="T7" s="47">
        <f t="shared" ref="T7:T17" si="2">S7/N7*100</f>
        <v>100</v>
      </c>
      <c r="U7" s="40">
        <v>18.07</v>
      </c>
      <c r="V7" s="47">
        <f t="shared" ref="V7:V27" si="3">U7/N7*100</f>
        <v>100.33314825097167</v>
      </c>
      <c r="W7" s="40">
        <v>18.22</v>
      </c>
      <c r="X7" s="47">
        <f t="shared" ref="X7:X11" si="4">W7/N7*100</f>
        <v>101.16601887840086</v>
      </c>
      <c r="Y7" s="40">
        <v>18.43</v>
      </c>
      <c r="Z7" s="47">
        <f t="shared" ref="Z7:Z10" si="5">Y7/N7*100</f>
        <v>102.33203775680178</v>
      </c>
      <c r="AA7" s="40">
        <v>18.809999999999999</v>
      </c>
      <c r="AB7" s="47">
        <f t="shared" ref="AB7:AB10" si="6">AA7/N7*100</f>
        <v>104.4419766796224</v>
      </c>
      <c r="AC7" s="40">
        <v>18.97</v>
      </c>
      <c r="AD7" s="47">
        <f t="shared" ref="AD7:AD10" si="7">AC7/N7*100</f>
        <v>105.33037201554691</v>
      </c>
      <c r="AE7" s="40">
        <v>19.07</v>
      </c>
      <c r="AF7" s="47">
        <f t="shared" ref="AF7:AF10" si="8">AE7/N7*100</f>
        <v>105.88561910049972</v>
      </c>
      <c r="AG7" s="40">
        <v>19.170000000000002</v>
      </c>
      <c r="AH7" s="47">
        <f t="shared" ref="AH7:AH10" si="9">AG7/N7*100</f>
        <v>106.44086618545252</v>
      </c>
      <c r="AI7" s="40">
        <v>20.13</v>
      </c>
      <c r="AJ7" s="47">
        <f t="shared" ref="AJ7:AJ10" si="10">AI7/N7*100</f>
        <v>111.77123820099943</v>
      </c>
    </row>
    <row r="8" spans="2:36" s="95" customFormat="1" ht="12.5" x14ac:dyDescent="0.25">
      <c r="B8" s="3">
        <v>4</v>
      </c>
      <c r="C8" s="3"/>
      <c r="D8" s="3">
        <v>1</v>
      </c>
      <c r="E8" s="3"/>
      <c r="F8" s="3">
        <v>1</v>
      </c>
      <c r="G8" s="3"/>
      <c r="H8" s="1"/>
      <c r="I8" s="2"/>
      <c r="J8" s="3"/>
      <c r="L8" s="354"/>
      <c r="M8" s="58" t="s">
        <v>336</v>
      </c>
      <c r="N8" s="55">
        <v>18.97</v>
      </c>
      <c r="O8" s="40">
        <v>18.079999999999998</v>
      </c>
      <c r="P8" s="47">
        <f t="shared" si="0"/>
        <v>95.308381655245128</v>
      </c>
      <c r="Q8" s="40">
        <v>17.77</v>
      </c>
      <c r="R8" s="47">
        <f t="shared" si="1"/>
        <v>93.674222456510279</v>
      </c>
      <c r="S8" s="40">
        <v>18.12</v>
      </c>
      <c r="T8" s="47">
        <f t="shared" si="2"/>
        <v>95.51924090669479</v>
      </c>
      <c r="U8" s="40">
        <v>18.66</v>
      </c>
      <c r="V8" s="47">
        <f t="shared" si="3"/>
        <v>98.365840801265165</v>
      </c>
      <c r="W8" s="40">
        <v>18.89</v>
      </c>
      <c r="X8" s="47">
        <f t="shared" si="4"/>
        <v>99.57828149710069</v>
      </c>
      <c r="Y8" s="40">
        <v>19.14</v>
      </c>
      <c r="Z8" s="47">
        <f t="shared" si="5"/>
        <v>100.89615181866105</v>
      </c>
      <c r="AA8" s="40">
        <v>19.399999999999999</v>
      </c>
      <c r="AB8" s="47">
        <f t="shared" si="6"/>
        <v>102.26673695308381</v>
      </c>
      <c r="AC8" s="40">
        <v>19.809999999999999</v>
      </c>
      <c r="AD8" s="47">
        <f t="shared" si="7"/>
        <v>104.4280442804428</v>
      </c>
      <c r="AE8" s="40">
        <v>19.64</v>
      </c>
      <c r="AF8" s="47">
        <f t="shared" si="8"/>
        <v>103.53189246178177</v>
      </c>
      <c r="AG8" s="40">
        <v>19.88</v>
      </c>
      <c r="AH8" s="47">
        <f t="shared" si="9"/>
        <v>104.79704797047971</v>
      </c>
      <c r="AI8" s="40">
        <v>20.52</v>
      </c>
      <c r="AJ8" s="47">
        <f t="shared" si="10"/>
        <v>108.17079599367423</v>
      </c>
    </row>
    <row r="9" spans="2:36" s="95" customFormat="1" ht="12.5" x14ac:dyDescent="0.25">
      <c r="B9" s="3">
        <v>5</v>
      </c>
      <c r="C9" s="3"/>
      <c r="D9" s="3"/>
      <c r="E9" s="3"/>
      <c r="F9" s="3"/>
      <c r="G9" s="3">
        <v>1</v>
      </c>
      <c r="H9" s="1"/>
      <c r="I9" s="2" t="s">
        <v>141</v>
      </c>
      <c r="J9" s="3"/>
      <c r="L9" s="354"/>
      <c r="M9" s="58" t="s">
        <v>337</v>
      </c>
      <c r="N9" s="55">
        <v>17.07</v>
      </c>
      <c r="O9" s="40">
        <v>16.809999999999999</v>
      </c>
      <c r="P9" s="47">
        <f t="shared" si="0"/>
        <v>98.476859988283522</v>
      </c>
      <c r="Q9" s="40">
        <v>16.48</v>
      </c>
      <c r="R9" s="47">
        <f t="shared" si="1"/>
        <v>96.543643819566498</v>
      </c>
      <c r="S9" s="40">
        <v>16.7</v>
      </c>
      <c r="T9" s="47">
        <f t="shared" si="2"/>
        <v>97.83245459871118</v>
      </c>
      <c r="U9" s="40">
        <v>16.89</v>
      </c>
      <c r="V9" s="47">
        <f t="shared" si="3"/>
        <v>98.945518453427056</v>
      </c>
      <c r="W9" s="40">
        <v>16.809999999999999</v>
      </c>
      <c r="X9" s="47">
        <f t="shared" si="4"/>
        <v>98.476859988283522</v>
      </c>
      <c r="Y9" s="40">
        <v>17.48</v>
      </c>
      <c r="Z9" s="47">
        <f t="shared" si="5"/>
        <v>102.40187463386057</v>
      </c>
      <c r="AA9" s="40">
        <v>17.82</v>
      </c>
      <c r="AB9" s="47">
        <f t="shared" si="6"/>
        <v>104.39367311072057</v>
      </c>
      <c r="AC9" s="40">
        <v>17.670000000000002</v>
      </c>
      <c r="AD9" s="47">
        <f t="shared" si="7"/>
        <v>103.51493848857646</v>
      </c>
      <c r="AE9" s="40">
        <v>17.989999999999998</v>
      </c>
      <c r="AF9" s="47">
        <f t="shared" si="8"/>
        <v>105.38957234915054</v>
      </c>
      <c r="AG9" s="40">
        <v>17.84</v>
      </c>
      <c r="AH9" s="47">
        <f t="shared" si="9"/>
        <v>104.51083772700645</v>
      </c>
      <c r="AI9" s="40">
        <v>18.12</v>
      </c>
      <c r="AJ9" s="47">
        <f t="shared" si="10"/>
        <v>106.1511423550088</v>
      </c>
    </row>
    <row r="10" spans="2:36" s="95" customFormat="1" ht="12.5" x14ac:dyDescent="0.25">
      <c r="B10" s="3">
        <v>10</v>
      </c>
      <c r="C10" s="3"/>
      <c r="D10" s="3">
        <v>1</v>
      </c>
      <c r="E10" s="3"/>
      <c r="F10" s="3">
        <v>1</v>
      </c>
      <c r="G10" s="3">
        <v>1</v>
      </c>
      <c r="H10" s="1"/>
      <c r="I10" s="2" t="s">
        <v>142</v>
      </c>
      <c r="J10" s="3">
        <v>2.2730000000000001</v>
      </c>
      <c r="L10" s="354"/>
      <c r="M10" s="58" t="s">
        <v>338</v>
      </c>
      <c r="N10" s="55">
        <v>17.809999999999999</v>
      </c>
      <c r="O10" s="40">
        <v>17.84</v>
      </c>
      <c r="P10" s="47">
        <f t="shared" si="0"/>
        <v>100.16844469399216</v>
      </c>
      <c r="Q10" s="40">
        <v>17.61</v>
      </c>
      <c r="R10" s="47">
        <f t="shared" si="1"/>
        <v>98.877035373385752</v>
      </c>
      <c r="S10" s="40">
        <v>17.809999999999999</v>
      </c>
      <c r="T10" s="47">
        <f t="shared" si="2"/>
        <v>100</v>
      </c>
      <c r="U10" s="40">
        <v>17.63</v>
      </c>
      <c r="V10" s="47">
        <f t="shared" si="3"/>
        <v>98.989331836047171</v>
      </c>
      <c r="W10" s="40">
        <v>17.73</v>
      </c>
      <c r="X10" s="47">
        <f t="shared" si="4"/>
        <v>99.550814149354309</v>
      </c>
      <c r="Y10" s="40">
        <v>18.13</v>
      </c>
      <c r="Z10" s="47">
        <f t="shared" si="5"/>
        <v>101.79674340258282</v>
      </c>
      <c r="AA10" s="40">
        <v>18.510000000000002</v>
      </c>
      <c r="AB10" s="47">
        <f t="shared" si="6"/>
        <v>103.93037619314993</v>
      </c>
      <c r="AC10" s="40">
        <v>19.010000000000002</v>
      </c>
      <c r="AD10" s="47">
        <f t="shared" si="7"/>
        <v>106.73778775968559</v>
      </c>
      <c r="AE10" s="40">
        <v>19.13</v>
      </c>
      <c r="AF10" s="47">
        <f t="shared" si="8"/>
        <v>107.41156653565413</v>
      </c>
      <c r="AG10" s="40">
        <v>19.600000000000001</v>
      </c>
      <c r="AH10" s="47">
        <f t="shared" si="9"/>
        <v>110.05053340819767</v>
      </c>
      <c r="AI10" s="40">
        <v>19.61</v>
      </c>
      <c r="AJ10" s="47">
        <f t="shared" si="10"/>
        <v>110.10668163952838</v>
      </c>
    </row>
    <row r="11" spans="2:36" s="95" customFormat="1" ht="13" x14ac:dyDescent="0.25">
      <c r="B11" s="3">
        <v>11</v>
      </c>
      <c r="C11" s="3"/>
      <c r="D11" s="3">
        <v>1</v>
      </c>
      <c r="E11" s="3"/>
      <c r="F11" s="3">
        <v>1</v>
      </c>
      <c r="G11" s="3"/>
      <c r="H11" s="1"/>
      <c r="I11" s="2" t="s">
        <v>143</v>
      </c>
      <c r="J11" s="3">
        <v>3</v>
      </c>
      <c r="L11" s="366" t="s">
        <v>365</v>
      </c>
      <c r="M11" s="58" t="s">
        <v>339</v>
      </c>
      <c r="N11" s="55">
        <v>16.97</v>
      </c>
      <c r="O11" s="40">
        <v>16.14</v>
      </c>
      <c r="P11" s="47">
        <f t="shared" si="0"/>
        <v>95.109015910430188</v>
      </c>
      <c r="Q11" s="40">
        <v>14.29</v>
      </c>
      <c r="R11" s="47">
        <f t="shared" si="1"/>
        <v>84.207424867413081</v>
      </c>
      <c r="S11" s="40">
        <v>13.65</v>
      </c>
      <c r="T11" s="47">
        <f t="shared" si="2"/>
        <v>80.436063641720693</v>
      </c>
      <c r="U11" s="40">
        <v>11.86</v>
      </c>
      <c r="V11" s="50">
        <f t="shared" si="3"/>
        <v>69.888037713612263</v>
      </c>
      <c r="W11" s="40">
        <v>12.67</v>
      </c>
      <c r="X11" s="50">
        <f t="shared" si="4"/>
        <v>74.661166764879212</v>
      </c>
      <c r="Y11" s="49" t="s">
        <v>126</v>
      </c>
      <c r="Z11" s="50"/>
      <c r="AA11" s="48"/>
      <c r="AB11" s="50"/>
      <c r="AC11" s="59"/>
      <c r="AD11" s="50"/>
      <c r="AE11" s="59"/>
      <c r="AF11" s="50"/>
      <c r="AG11" s="59"/>
      <c r="AH11" s="50"/>
      <c r="AI11" s="59"/>
      <c r="AJ11" s="50"/>
    </row>
    <row r="12" spans="2:36" s="95" customFormat="1" ht="13" x14ac:dyDescent="0.3">
      <c r="B12" s="3">
        <v>12</v>
      </c>
      <c r="C12" s="3"/>
      <c r="D12" s="3">
        <v>1</v>
      </c>
      <c r="E12" s="3"/>
      <c r="F12" s="3">
        <v>1</v>
      </c>
      <c r="G12" s="3">
        <v>1</v>
      </c>
      <c r="H12" s="1"/>
      <c r="I12" s="7" t="s">
        <v>47</v>
      </c>
      <c r="J12" s="8">
        <v>0.51770000000000005</v>
      </c>
      <c r="L12" s="366"/>
      <c r="M12" s="58" t="s">
        <v>340</v>
      </c>
      <c r="N12" s="55">
        <v>17.8</v>
      </c>
      <c r="O12" s="40">
        <v>16.8</v>
      </c>
      <c r="P12" s="47">
        <f t="shared" si="0"/>
        <v>94.382022471910105</v>
      </c>
      <c r="Q12" s="40">
        <v>15.03</v>
      </c>
      <c r="R12" s="47">
        <f t="shared" si="1"/>
        <v>84.438202247191015</v>
      </c>
      <c r="S12" s="40">
        <v>14.2</v>
      </c>
      <c r="T12" s="50">
        <f t="shared" si="2"/>
        <v>79.775280898876403</v>
      </c>
      <c r="U12" s="49" t="s">
        <v>341</v>
      </c>
      <c r="V12" s="50"/>
      <c r="W12" s="48"/>
      <c r="X12" s="50"/>
      <c r="Y12" s="49"/>
      <c r="Z12" s="50"/>
      <c r="AA12" s="48"/>
      <c r="AB12" s="50"/>
      <c r="AC12" s="48"/>
      <c r="AD12" s="50"/>
      <c r="AE12" s="48"/>
      <c r="AF12" s="50"/>
      <c r="AG12" s="48"/>
      <c r="AH12" s="50"/>
      <c r="AI12" s="48"/>
      <c r="AJ12" s="50"/>
    </row>
    <row r="13" spans="2:36" s="95" customFormat="1" ht="13" x14ac:dyDescent="0.3">
      <c r="B13" s="3">
        <v>14</v>
      </c>
      <c r="C13" s="3"/>
      <c r="D13" s="3"/>
      <c r="E13" s="3">
        <v>1</v>
      </c>
      <c r="F13" s="3"/>
      <c r="G13" s="3"/>
      <c r="H13" s="1"/>
      <c r="I13" s="7" t="s">
        <v>49</v>
      </c>
      <c r="J13" s="8" t="s">
        <v>203</v>
      </c>
      <c r="L13" s="366"/>
      <c r="M13" s="58" t="s">
        <v>342</v>
      </c>
      <c r="N13" s="55">
        <v>17.95</v>
      </c>
      <c r="O13" s="40">
        <v>16.88</v>
      </c>
      <c r="P13" s="47">
        <f t="shared" si="0"/>
        <v>94.038997214484681</v>
      </c>
      <c r="Q13" s="40">
        <v>14.99</v>
      </c>
      <c r="R13" s="47">
        <f t="shared" si="1"/>
        <v>83.509749303621177</v>
      </c>
      <c r="S13" s="40">
        <v>14.15</v>
      </c>
      <c r="T13" s="50">
        <f t="shared" si="2"/>
        <v>78.830083565459617</v>
      </c>
      <c r="U13" s="40">
        <v>12.32</v>
      </c>
      <c r="V13" s="50">
        <f t="shared" si="3"/>
        <v>68.635097493036213</v>
      </c>
      <c r="W13" s="40">
        <v>13.18</v>
      </c>
      <c r="X13" s="50">
        <f>W13/N13*100</f>
        <v>73.426183844011135</v>
      </c>
      <c r="Y13" s="49" t="s">
        <v>128</v>
      </c>
      <c r="Z13" s="50"/>
      <c r="AA13" s="48"/>
      <c r="AB13" s="50"/>
      <c r="AC13" s="48"/>
      <c r="AD13" s="50"/>
      <c r="AE13" s="48"/>
      <c r="AF13" s="50"/>
      <c r="AG13" s="48"/>
      <c r="AH13" s="50"/>
      <c r="AI13" s="48"/>
      <c r="AJ13" s="50"/>
    </row>
    <row r="14" spans="2:36" s="95" customFormat="1" ht="13" x14ac:dyDescent="0.25">
      <c r="B14" s="3">
        <v>15</v>
      </c>
      <c r="C14" s="3"/>
      <c r="D14" s="3"/>
      <c r="E14" s="3">
        <v>1</v>
      </c>
      <c r="F14" s="3"/>
      <c r="G14" s="3"/>
      <c r="H14" s="1"/>
      <c r="I14" s="2" t="s">
        <v>144</v>
      </c>
      <c r="J14" s="3" t="s">
        <v>204</v>
      </c>
      <c r="L14" s="366"/>
      <c r="M14" s="58" t="s">
        <v>343</v>
      </c>
      <c r="N14" s="55">
        <v>17.2</v>
      </c>
      <c r="O14" s="40">
        <v>16.2</v>
      </c>
      <c r="P14" s="47">
        <f t="shared" si="0"/>
        <v>94.186046511627907</v>
      </c>
      <c r="Q14" s="40">
        <v>14.71</v>
      </c>
      <c r="R14" s="47">
        <f t="shared" si="1"/>
        <v>85.523255813953497</v>
      </c>
      <c r="S14" s="40">
        <v>14.1</v>
      </c>
      <c r="T14" s="47">
        <f t="shared" si="2"/>
        <v>81.976744186046517</v>
      </c>
      <c r="U14" s="49" t="s">
        <v>341</v>
      </c>
      <c r="V14" s="50"/>
      <c r="W14" s="48"/>
      <c r="X14" s="50"/>
      <c r="Y14" s="49"/>
      <c r="Z14" s="50"/>
      <c r="AA14" s="48"/>
      <c r="AB14" s="50"/>
      <c r="AC14" s="48"/>
      <c r="AD14" s="50"/>
      <c r="AE14" s="48"/>
      <c r="AF14" s="50"/>
      <c r="AG14" s="48"/>
      <c r="AH14" s="50"/>
      <c r="AI14" s="48"/>
      <c r="AJ14" s="50"/>
    </row>
    <row r="15" spans="2:36" s="95" customFormat="1" ht="13" x14ac:dyDescent="0.25">
      <c r="B15" s="3">
        <v>19</v>
      </c>
      <c r="C15" s="3"/>
      <c r="D15" s="3"/>
      <c r="E15" s="3">
        <v>1</v>
      </c>
      <c r="F15" s="3"/>
      <c r="G15" s="3"/>
      <c r="H15" s="1"/>
      <c r="I15" s="2"/>
      <c r="J15" s="3"/>
      <c r="L15" s="366"/>
      <c r="M15" s="58" t="s">
        <v>344</v>
      </c>
      <c r="N15" s="55">
        <v>17.350000000000001</v>
      </c>
      <c r="O15" s="40">
        <v>16.7</v>
      </c>
      <c r="P15" s="47">
        <f t="shared" si="0"/>
        <v>96.253602305475496</v>
      </c>
      <c r="Q15" s="40">
        <v>14.93</v>
      </c>
      <c r="R15" s="47">
        <f t="shared" si="1"/>
        <v>86.051873198847247</v>
      </c>
      <c r="S15" s="40">
        <v>14.09</v>
      </c>
      <c r="T15" s="47">
        <f t="shared" si="2"/>
        <v>81.210374639769441</v>
      </c>
      <c r="U15" s="40">
        <v>12.61</v>
      </c>
      <c r="V15" s="50">
        <f t="shared" si="3"/>
        <v>72.680115273775201</v>
      </c>
      <c r="W15" s="40">
        <v>12.7</v>
      </c>
      <c r="X15" s="50">
        <f t="shared" ref="X15:X17" si="11">W15/N15*100</f>
        <v>73.198847262247824</v>
      </c>
      <c r="Y15" s="49" t="s">
        <v>345</v>
      </c>
      <c r="Z15" s="50"/>
      <c r="AA15" s="48"/>
      <c r="AB15" s="50"/>
      <c r="AC15" s="48"/>
      <c r="AD15" s="50"/>
      <c r="AE15" s="48"/>
      <c r="AF15" s="50"/>
      <c r="AG15" s="48"/>
      <c r="AH15" s="50"/>
      <c r="AI15" s="48"/>
      <c r="AJ15" s="50"/>
    </row>
    <row r="16" spans="2:36" s="95" customFormat="1" ht="14.25" customHeight="1" x14ac:dyDescent="0.25">
      <c r="B16" s="3">
        <v>35</v>
      </c>
      <c r="C16" s="3">
        <v>0</v>
      </c>
      <c r="D16" s="3"/>
      <c r="E16" s="3"/>
      <c r="F16" s="3"/>
      <c r="G16" s="3"/>
      <c r="H16" s="1"/>
      <c r="I16" s="2" t="s">
        <v>145</v>
      </c>
      <c r="J16" s="3"/>
      <c r="L16" s="366" t="s">
        <v>862</v>
      </c>
      <c r="M16" s="58" t="s">
        <v>346</v>
      </c>
      <c r="N16" s="55">
        <v>18.29</v>
      </c>
      <c r="O16" s="40">
        <v>17.13</v>
      </c>
      <c r="P16" s="47">
        <f t="shared" si="0"/>
        <v>93.657736468015301</v>
      </c>
      <c r="Q16" s="40">
        <v>15.74</v>
      </c>
      <c r="R16" s="47">
        <f t="shared" si="1"/>
        <v>86.057955166757793</v>
      </c>
      <c r="S16" s="40">
        <v>15.18</v>
      </c>
      <c r="T16" s="47">
        <f t="shared" si="2"/>
        <v>82.99617277200656</v>
      </c>
      <c r="U16" s="40">
        <v>14.02</v>
      </c>
      <c r="V16" s="50">
        <f t="shared" si="3"/>
        <v>76.653909240021861</v>
      </c>
      <c r="W16" s="40">
        <v>13.3</v>
      </c>
      <c r="X16" s="50">
        <f t="shared" si="11"/>
        <v>72.717331875341728</v>
      </c>
      <c r="Y16" s="40">
        <v>13.26</v>
      </c>
      <c r="Z16" s="50">
        <f t="shared" ref="Z16:Z17" si="12">Y16/N16*100</f>
        <v>72.498633132859496</v>
      </c>
      <c r="AA16" s="49" t="s">
        <v>94</v>
      </c>
      <c r="AB16" s="50"/>
      <c r="AC16" s="49"/>
      <c r="AD16" s="50"/>
      <c r="AE16" s="49"/>
      <c r="AF16" s="50"/>
      <c r="AG16" s="49"/>
      <c r="AH16" s="50"/>
      <c r="AI16" s="49"/>
      <c r="AJ16" s="50"/>
    </row>
    <row r="17" spans="2:36" s="95" customFormat="1" ht="13" x14ac:dyDescent="0.25">
      <c r="B17" s="3">
        <v>35</v>
      </c>
      <c r="C17" s="3">
        <v>0</v>
      </c>
      <c r="D17" s="3"/>
      <c r="E17" s="3"/>
      <c r="F17" s="3"/>
      <c r="G17" s="3"/>
      <c r="H17" s="1"/>
      <c r="I17" s="2" t="s">
        <v>142</v>
      </c>
      <c r="J17" s="3">
        <v>0.53359999999999996</v>
      </c>
      <c r="L17" s="366"/>
      <c r="M17" s="58" t="s">
        <v>347</v>
      </c>
      <c r="N17" s="55">
        <v>17.440000000000001</v>
      </c>
      <c r="O17" s="40">
        <v>17.53</v>
      </c>
      <c r="P17" s="47">
        <f t="shared" si="0"/>
        <v>100.51605504587155</v>
      </c>
      <c r="Q17" s="40">
        <v>15.53</v>
      </c>
      <c r="R17" s="47">
        <f t="shared" si="1"/>
        <v>89.04816513761466</v>
      </c>
      <c r="S17" s="40">
        <v>14.43</v>
      </c>
      <c r="T17" s="47">
        <f t="shared" si="2"/>
        <v>82.740825688073386</v>
      </c>
      <c r="U17" s="40">
        <v>13.46</v>
      </c>
      <c r="V17" s="50">
        <f t="shared" si="3"/>
        <v>77.178899082568805</v>
      </c>
      <c r="W17" s="40">
        <v>12.77</v>
      </c>
      <c r="X17" s="50">
        <f t="shared" si="11"/>
        <v>73.222477064220172</v>
      </c>
      <c r="Y17" s="40">
        <v>12.52</v>
      </c>
      <c r="Z17" s="50">
        <f t="shared" si="12"/>
        <v>71.788990825688074</v>
      </c>
      <c r="AA17" s="49" t="s">
        <v>291</v>
      </c>
      <c r="AB17" s="50"/>
      <c r="AC17" s="49"/>
      <c r="AD17" s="50"/>
      <c r="AE17" s="49"/>
      <c r="AF17" s="50"/>
      <c r="AG17" s="49"/>
      <c r="AH17" s="50"/>
      <c r="AI17" s="49"/>
      <c r="AJ17" s="50"/>
    </row>
    <row r="18" spans="2:36" s="95" customFormat="1" ht="13" x14ac:dyDescent="0.3">
      <c r="B18" s="3">
        <v>35</v>
      </c>
      <c r="C18" s="3">
        <v>0</v>
      </c>
      <c r="D18" s="3"/>
      <c r="E18" s="3"/>
      <c r="F18" s="3"/>
      <c r="G18" s="3"/>
      <c r="H18" s="1"/>
      <c r="I18" s="2" t="s">
        <v>143</v>
      </c>
      <c r="J18" s="3">
        <v>1</v>
      </c>
      <c r="L18" s="366"/>
      <c r="M18" s="58" t="s">
        <v>348</v>
      </c>
      <c r="N18" s="55">
        <v>17.350000000000001</v>
      </c>
      <c r="O18" s="40">
        <v>16.260000000000002</v>
      </c>
      <c r="P18" s="47">
        <f t="shared" si="0"/>
        <v>93.717579250720462</v>
      </c>
      <c r="Q18" s="40">
        <v>15.04</v>
      </c>
      <c r="R18" s="47">
        <f t="shared" si="1"/>
        <v>86.685878962536009</v>
      </c>
      <c r="S18" s="49" t="s">
        <v>224</v>
      </c>
      <c r="T18" s="54"/>
      <c r="U18" s="48"/>
      <c r="V18" s="50"/>
      <c r="W18" s="48"/>
      <c r="X18" s="50"/>
      <c r="Y18" s="48"/>
      <c r="Z18" s="50"/>
      <c r="AA18" s="48"/>
      <c r="AB18" s="50"/>
      <c r="AC18" s="48"/>
      <c r="AD18" s="50"/>
      <c r="AE18" s="48"/>
      <c r="AF18" s="50"/>
      <c r="AG18" s="48"/>
      <c r="AH18" s="50"/>
      <c r="AI18" s="48"/>
      <c r="AJ18" s="50"/>
    </row>
    <row r="19" spans="2:36" s="95" customFormat="1" ht="13" x14ac:dyDescent="0.25">
      <c r="B19" s="3">
        <v>35</v>
      </c>
      <c r="C19" s="3">
        <v>0</v>
      </c>
      <c r="D19" s="3"/>
      <c r="E19" s="3"/>
      <c r="F19" s="3"/>
      <c r="G19" s="3"/>
      <c r="H19" s="1"/>
      <c r="I19" s="2" t="s">
        <v>47</v>
      </c>
      <c r="J19" s="3">
        <v>0.46510000000000001</v>
      </c>
      <c r="L19" s="366"/>
      <c r="M19" s="58" t="s">
        <v>349</v>
      </c>
      <c r="N19" s="55">
        <v>17.27</v>
      </c>
      <c r="O19" s="40">
        <v>16.72</v>
      </c>
      <c r="P19" s="47">
        <f t="shared" si="0"/>
        <v>96.815286624203821</v>
      </c>
      <c r="Q19" s="40">
        <v>15.39</v>
      </c>
      <c r="R19" s="47">
        <f t="shared" si="1"/>
        <v>89.114070642733068</v>
      </c>
      <c r="S19" s="40">
        <v>14.45</v>
      </c>
      <c r="T19" s="47">
        <f t="shared" ref="T19:T27" si="13">S19/N19*100</f>
        <v>83.671105964099596</v>
      </c>
      <c r="U19" s="40">
        <v>13.37</v>
      </c>
      <c r="V19" s="50">
        <f t="shared" si="3"/>
        <v>77.417486971627085</v>
      </c>
      <c r="W19" s="40">
        <v>12.8</v>
      </c>
      <c r="X19" s="50">
        <f>W19/N19*100</f>
        <v>74.116965836711074</v>
      </c>
      <c r="Y19" s="40">
        <v>13.34</v>
      </c>
      <c r="Z19" s="50">
        <f>Y19/N19*100</f>
        <v>77.243775332947308</v>
      </c>
      <c r="AA19" s="40">
        <v>12</v>
      </c>
      <c r="AB19" s="50">
        <f>AA19/N19*100</f>
        <v>69.484655471916625</v>
      </c>
      <c r="AC19" s="49" t="s">
        <v>91</v>
      </c>
      <c r="AD19" s="50"/>
      <c r="AE19" s="49"/>
      <c r="AF19" s="50"/>
      <c r="AG19" s="49"/>
      <c r="AH19" s="50"/>
      <c r="AI19" s="49"/>
      <c r="AJ19" s="50"/>
    </row>
    <row r="20" spans="2:36" s="95" customFormat="1" ht="13" x14ac:dyDescent="0.25">
      <c r="B20" s="3">
        <v>35</v>
      </c>
      <c r="C20" s="3">
        <v>0</v>
      </c>
      <c r="D20" s="3"/>
      <c r="E20" s="3"/>
      <c r="F20" s="3"/>
      <c r="G20" s="3"/>
      <c r="H20" s="1"/>
      <c r="I20" s="2" t="s">
        <v>49</v>
      </c>
      <c r="J20" s="3" t="s">
        <v>203</v>
      </c>
      <c r="L20" s="366"/>
      <c r="M20" s="58" t="s">
        <v>350</v>
      </c>
      <c r="N20" s="55">
        <v>17.32</v>
      </c>
      <c r="O20" s="40">
        <v>16.260000000000002</v>
      </c>
      <c r="P20" s="47">
        <f t="shared" si="0"/>
        <v>93.879907621247114</v>
      </c>
      <c r="Q20" s="40">
        <v>14.89</v>
      </c>
      <c r="R20" s="47">
        <f t="shared" si="1"/>
        <v>85.969976905311782</v>
      </c>
      <c r="S20" s="40">
        <v>14.19</v>
      </c>
      <c r="T20" s="47">
        <f t="shared" si="13"/>
        <v>81.928406466512698</v>
      </c>
      <c r="U20" s="49" t="s">
        <v>351</v>
      </c>
      <c r="V20" s="50"/>
      <c r="W20" s="48"/>
      <c r="X20" s="50"/>
      <c r="Y20" s="48"/>
      <c r="Z20" s="50"/>
      <c r="AA20" s="48"/>
      <c r="AB20" s="50"/>
      <c r="AC20" s="48"/>
      <c r="AD20" s="50"/>
      <c r="AE20" s="48"/>
      <c r="AF20" s="50"/>
      <c r="AG20" s="48"/>
      <c r="AH20" s="50"/>
      <c r="AI20" s="48"/>
      <c r="AJ20" s="50"/>
    </row>
    <row r="21" spans="2:36" s="95" customFormat="1" ht="13" x14ac:dyDescent="0.25">
      <c r="B21" s="95" t="s">
        <v>170</v>
      </c>
      <c r="F21" s="1"/>
      <c r="G21" s="1"/>
      <c r="H21" s="1"/>
      <c r="I21" s="2" t="s">
        <v>147</v>
      </c>
      <c r="J21" s="3" t="s">
        <v>204</v>
      </c>
      <c r="L21" s="366" t="s">
        <v>863</v>
      </c>
      <c r="M21" s="58" t="s">
        <v>352</v>
      </c>
      <c r="N21" s="55">
        <v>17.13</v>
      </c>
      <c r="O21" s="40">
        <v>16.88</v>
      </c>
      <c r="P21" s="47">
        <f t="shared" si="0"/>
        <v>98.540572095738469</v>
      </c>
      <c r="Q21" s="40">
        <v>15.13</v>
      </c>
      <c r="R21" s="47">
        <f t="shared" si="1"/>
        <v>88.324576765907764</v>
      </c>
      <c r="S21" s="40">
        <v>14.58</v>
      </c>
      <c r="T21" s="47">
        <f t="shared" si="13"/>
        <v>85.113835376532407</v>
      </c>
      <c r="U21" s="49" t="s">
        <v>351</v>
      </c>
      <c r="V21" s="50"/>
      <c r="W21" s="48"/>
      <c r="X21" s="50"/>
      <c r="Y21" s="48"/>
      <c r="Z21" s="50"/>
      <c r="AA21" s="48"/>
      <c r="AB21" s="50"/>
      <c r="AC21" s="48"/>
      <c r="AD21" s="50"/>
      <c r="AE21" s="48"/>
      <c r="AF21" s="50"/>
      <c r="AG21" s="48"/>
      <c r="AH21" s="50"/>
      <c r="AI21" s="48"/>
      <c r="AJ21" s="50"/>
    </row>
    <row r="22" spans="2:36" s="95" customFormat="1" ht="13" x14ac:dyDescent="0.25">
      <c r="F22" s="1"/>
      <c r="G22" s="1"/>
      <c r="H22" s="1"/>
      <c r="I22" s="1"/>
      <c r="J22" s="1"/>
      <c r="L22" s="366"/>
      <c r="M22" s="58" t="s">
        <v>353</v>
      </c>
      <c r="N22" s="55">
        <v>17.63</v>
      </c>
      <c r="O22" s="40">
        <v>17.71</v>
      </c>
      <c r="P22" s="47">
        <f t="shared" si="0"/>
        <v>100.45377197958028</v>
      </c>
      <c r="Q22" s="40">
        <v>16.190000000000001</v>
      </c>
      <c r="R22" s="47">
        <f t="shared" si="1"/>
        <v>91.832104367555317</v>
      </c>
      <c r="S22" s="40">
        <v>15.7</v>
      </c>
      <c r="T22" s="47">
        <f t="shared" si="13"/>
        <v>89.052750992626201</v>
      </c>
      <c r="U22" s="40">
        <v>14.17</v>
      </c>
      <c r="V22" s="47">
        <f t="shared" si="3"/>
        <v>80.374361883153725</v>
      </c>
      <c r="W22" s="40">
        <v>11.94</v>
      </c>
      <c r="X22" s="50">
        <f t="shared" ref="X22:X23" si="14">W22/N22*100</f>
        <v>67.725467952353952</v>
      </c>
      <c r="Y22" s="49" t="s">
        <v>345</v>
      </c>
      <c r="Z22" s="50"/>
      <c r="AA22" s="48"/>
      <c r="AB22" s="50"/>
      <c r="AC22" s="48"/>
      <c r="AD22" s="50"/>
      <c r="AE22" s="48"/>
      <c r="AF22" s="50"/>
      <c r="AG22" s="48"/>
      <c r="AH22" s="50"/>
      <c r="AI22" s="48"/>
      <c r="AJ22" s="50"/>
    </row>
    <row r="23" spans="2:36" s="95" customFormat="1" ht="13" x14ac:dyDescent="0.25">
      <c r="F23" s="1"/>
      <c r="G23" s="1"/>
      <c r="H23" s="1"/>
      <c r="I23" s="1"/>
      <c r="J23" s="1"/>
      <c r="L23" s="366"/>
      <c r="M23" s="58" t="s">
        <v>354</v>
      </c>
      <c r="N23" s="55">
        <v>18.09</v>
      </c>
      <c r="O23" s="40">
        <v>17.27</v>
      </c>
      <c r="P23" s="47">
        <f t="shared" si="0"/>
        <v>95.467108899944719</v>
      </c>
      <c r="Q23" s="40">
        <v>15.58</v>
      </c>
      <c r="R23" s="47">
        <f t="shared" si="1"/>
        <v>86.124930901050305</v>
      </c>
      <c r="S23" s="40">
        <v>14.81</v>
      </c>
      <c r="T23" s="47">
        <f t="shared" si="13"/>
        <v>81.868435599778891</v>
      </c>
      <c r="U23" s="40">
        <v>13.47</v>
      </c>
      <c r="V23" s="50">
        <f t="shared" si="3"/>
        <v>74.461028192371487</v>
      </c>
      <c r="W23" s="40">
        <v>12.99</v>
      </c>
      <c r="X23" s="50">
        <f t="shared" si="14"/>
        <v>71.807628524046436</v>
      </c>
      <c r="Y23" s="49" t="s">
        <v>126</v>
      </c>
      <c r="Z23" s="50"/>
      <c r="AA23" s="48"/>
      <c r="AB23" s="50"/>
      <c r="AC23" s="48"/>
      <c r="AD23" s="50"/>
      <c r="AE23" s="48"/>
      <c r="AF23" s="50"/>
      <c r="AG23" s="48"/>
      <c r="AH23" s="50"/>
      <c r="AI23" s="48"/>
      <c r="AJ23" s="50"/>
    </row>
    <row r="24" spans="2:36" s="95" customFormat="1" ht="13" x14ac:dyDescent="0.25">
      <c r="F24" s="1"/>
      <c r="G24" s="1"/>
      <c r="H24" s="1"/>
      <c r="L24" s="366"/>
      <c r="M24" s="58" t="s">
        <v>355</v>
      </c>
      <c r="N24" s="55">
        <v>18.309999999999999</v>
      </c>
      <c r="O24" s="40">
        <v>17.59</v>
      </c>
      <c r="P24" s="47">
        <f t="shared" si="0"/>
        <v>96.067722555980339</v>
      </c>
      <c r="Q24" s="40">
        <v>15.59</v>
      </c>
      <c r="R24" s="47">
        <f t="shared" si="1"/>
        <v>85.14472965592573</v>
      </c>
      <c r="S24" s="40">
        <v>15.12</v>
      </c>
      <c r="T24" s="47">
        <f t="shared" si="13"/>
        <v>82.577826324412896</v>
      </c>
      <c r="U24" s="49" t="s">
        <v>341</v>
      </c>
      <c r="V24" s="50"/>
      <c r="W24" s="48"/>
      <c r="X24" s="50"/>
      <c r="Y24" s="49"/>
      <c r="Z24" s="50"/>
      <c r="AA24" s="48"/>
      <c r="AB24" s="50"/>
      <c r="AC24" s="48"/>
      <c r="AD24" s="50"/>
      <c r="AE24" s="48"/>
      <c r="AF24" s="50"/>
      <c r="AG24" s="48"/>
      <c r="AH24" s="50"/>
      <c r="AI24" s="48"/>
      <c r="AJ24" s="50"/>
    </row>
    <row r="25" spans="2:36" s="95" customFormat="1" ht="13" x14ac:dyDescent="0.25">
      <c r="F25" s="1"/>
      <c r="G25" s="1"/>
      <c r="H25" s="1"/>
      <c r="L25" s="366"/>
      <c r="M25" s="58" t="s">
        <v>356</v>
      </c>
      <c r="N25" s="55">
        <v>17.5</v>
      </c>
      <c r="O25" s="40">
        <v>17.190000000000001</v>
      </c>
      <c r="P25" s="47">
        <f t="shared" si="0"/>
        <v>98.228571428571428</v>
      </c>
      <c r="Q25" s="40">
        <v>15.22</v>
      </c>
      <c r="R25" s="47">
        <f t="shared" si="1"/>
        <v>86.971428571428575</v>
      </c>
      <c r="S25" s="40">
        <v>14.6</v>
      </c>
      <c r="T25" s="47">
        <f>S25/N25*100</f>
        <v>83.428571428571431</v>
      </c>
      <c r="U25" s="40">
        <v>13.16</v>
      </c>
      <c r="V25" s="50">
        <f t="shared" si="3"/>
        <v>75.2</v>
      </c>
      <c r="W25" s="40">
        <v>12.61</v>
      </c>
      <c r="X25" s="50">
        <f t="shared" ref="X25:X27" si="15">W25/N25*100</f>
        <v>72.05714285714285</v>
      </c>
      <c r="Y25" s="49" t="s">
        <v>128</v>
      </c>
      <c r="Z25" s="50"/>
      <c r="AA25" s="48"/>
      <c r="AB25" s="50"/>
      <c r="AC25" s="48"/>
      <c r="AD25" s="50"/>
      <c r="AE25" s="48"/>
      <c r="AF25" s="50"/>
      <c r="AG25" s="48"/>
      <c r="AH25" s="50"/>
      <c r="AI25" s="48"/>
      <c r="AJ25" s="50"/>
    </row>
    <row r="26" spans="2:36" s="95" customFormat="1" ht="13" x14ac:dyDescent="0.25">
      <c r="F26" s="1"/>
      <c r="G26" s="1"/>
      <c r="H26" s="1"/>
      <c r="L26" s="354" t="s">
        <v>864</v>
      </c>
      <c r="M26" s="58" t="s">
        <v>357</v>
      </c>
      <c r="N26" s="55">
        <v>18.559999999999999</v>
      </c>
      <c r="O26" s="40">
        <v>18.34</v>
      </c>
      <c r="P26" s="47">
        <f t="shared" si="0"/>
        <v>98.814655172413808</v>
      </c>
      <c r="Q26" s="40">
        <v>16.260000000000002</v>
      </c>
      <c r="R26" s="47">
        <f t="shared" si="1"/>
        <v>87.607758620689665</v>
      </c>
      <c r="S26" s="40">
        <v>15.71</v>
      </c>
      <c r="T26" s="47">
        <f t="shared" si="13"/>
        <v>84.644396551724142</v>
      </c>
      <c r="U26" s="40">
        <v>14.15</v>
      </c>
      <c r="V26" s="50">
        <f t="shared" si="3"/>
        <v>76.239224137931032</v>
      </c>
      <c r="W26" s="40">
        <v>14.02</v>
      </c>
      <c r="X26" s="50">
        <f t="shared" si="15"/>
        <v>75.53879310344827</v>
      </c>
      <c r="Y26" s="49" t="s">
        <v>358</v>
      </c>
      <c r="Z26" s="50"/>
      <c r="AA26" s="48"/>
      <c r="AB26" s="50"/>
      <c r="AC26" s="48"/>
      <c r="AD26" s="50"/>
      <c r="AE26" s="48"/>
      <c r="AF26" s="50"/>
      <c r="AG26" s="48"/>
      <c r="AH26" s="50"/>
      <c r="AI26" s="48"/>
      <c r="AJ26" s="50"/>
    </row>
    <row r="27" spans="2:36" s="95" customFormat="1" ht="13" x14ac:dyDescent="0.25">
      <c r="F27" s="1"/>
      <c r="G27" s="1"/>
      <c r="H27" s="1"/>
      <c r="L27" s="354"/>
      <c r="M27" s="58" t="s">
        <v>359</v>
      </c>
      <c r="N27" s="55">
        <v>18.16</v>
      </c>
      <c r="O27" s="40">
        <v>16.79</v>
      </c>
      <c r="P27" s="47">
        <f t="shared" si="0"/>
        <v>92.455947136563879</v>
      </c>
      <c r="Q27" s="40">
        <v>15.62</v>
      </c>
      <c r="R27" s="47">
        <f t="shared" si="1"/>
        <v>86.013215859030836</v>
      </c>
      <c r="S27" s="40">
        <v>14.74</v>
      </c>
      <c r="T27" s="47">
        <f t="shared" si="13"/>
        <v>81.167400881057276</v>
      </c>
      <c r="U27" s="40">
        <v>13.31</v>
      </c>
      <c r="V27" s="50">
        <f t="shared" si="3"/>
        <v>73.292951541850229</v>
      </c>
      <c r="W27" s="40">
        <v>13.37</v>
      </c>
      <c r="X27" s="50">
        <f t="shared" si="15"/>
        <v>73.62334801762114</v>
      </c>
      <c r="Y27" s="49" t="s">
        <v>126</v>
      </c>
      <c r="Z27" s="50"/>
      <c r="AA27" s="48"/>
      <c r="AB27" s="50"/>
      <c r="AC27" s="48"/>
      <c r="AD27" s="50"/>
      <c r="AE27" s="48"/>
      <c r="AF27" s="50"/>
      <c r="AG27" s="48"/>
      <c r="AH27" s="50"/>
      <c r="AI27" s="48"/>
      <c r="AJ27" s="50"/>
    </row>
    <row r="28" spans="2:36" s="95" customFormat="1" ht="13" x14ac:dyDescent="0.3">
      <c r="H28" s="1"/>
      <c r="L28" s="354"/>
      <c r="M28" s="58" t="s">
        <v>360</v>
      </c>
      <c r="N28" s="55">
        <v>17.98</v>
      </c>
      <c r="O28" s="40">
        <v>16.3</v>
      </c>
      <c r="P28" s="47">
        <f t="shared" si="0"/>
        <v>90.656284760845381</v>
      </c>
      <c r="Q28" s="40">
        <v>15.35</v>
      </c>
      <c r="R28" s="47">
        <f t="shared" si="1"/>
        <v>85.372636262513907</v>
      </c>
      <c r="S28" s="49" t="s">
        <v>224</v>
      </c>
      <c r="T28" s="54"/>
      <c r="U28" s="48"/>
      <c r="V28" s="50"/>
      <c r="W28" s="48"/>
      <c r="X28" s="50"/>
      <c r="Y28" s="49"/>
      <c r="Z28" s="50"/>
      <c r="AA28" s="48"/>
      <c r="AB28" s="50"/>
      <c r="AC28" s="48"/>
      <c r="AD28" s="50"/>
      <c r="AE28" s="48"/>
      <c r="AF28" s="50"/>
      <c r="AG28" s="48"/>
      <c r="AH28" s="50"/>
      <c r="AI28" s="48"/>
      <c r="AJ28" s="50"/>
    </row>
    <row r="29" spans="2:36" s="95" customFormat="1" ht="13" x14ac:dyDescent="0.25">
      <c r="H29" s="1"/>
      <c r="L29" s="354"/>
      <c r="M29" s="58" t="s">
        <v>361</v>
      </c>
      <c r="N29" s="55">
        <v>18.690000000000001</v>
      </c>
      <c r="O29" s="40">
        <v>18.09</v>
      </c>
      <c r="P29" s="47">
        <f t="shared" si="0"/>
        <v>96.789727126805772</v>
      </c>
      <c r="Q29" s="40">
        <v>16.559999999999999</v>
      </c>
      <c r="R29" s="47">
        <f t="shared" si="1"/>
        <v>88.603531300160498</v>
      </c>
      <c r="S29" s="40">
        <v>16.11</v>
      </c>
      <c r="T29" s="47">
        <f t="shared" ref="T29:T30" si="16">S29/N29*100</f>
        <v>86.195826645264845</v>
      </c>
      <c r="U29" s="49" t="s">
        <v>341</v>
      </c>
      <c r="V29" s="50"/>
      <c r="W29" s="48"/>
      <c r="X29" s="50"/>
      <c r="Y29" s="49"/>
      <c r="Z29" s="50"/>
      <c r="AA29" s="48"/>
      <c r="AB29" s="50"/>
      <c r="AC29" s="48"/>
      <c r="AD29" s="50"/>
      <c r="AE29" s="48"/>
      <c r="AF29" s="50"/>
      <c r="AG29" s="48"/>
      <c r="AH29" s="50"/>
      <c r="AI29" s="48"/>
      <c r="AJ29" s="50"/>
    </row>
    <row r="30" spans="2:36" s="95" customFormat="1" ht="13" x14ac:dyDescent="0.25">
      <c r="H30" s="1"/>
      <c r="L30" s="354"/>
      <c r="M30" s="58" t="s">
        <v>362</v>
      </c>
      <c r="N30" s="55">
        <v>19.149999999999999</v>
      </c>
      <c r="O30" s="40">
        <v>18.28</v>
      </c>
      <c r="P30" s="47">
        <f t="shared" si="0"/>
        <v>95.456919060052243</v>
      </c>
      <c r="Q30" s="40">
        <v>16.600000000000001</v>
      </c>
      <c r="R30" s="47">
        <f t="shared" si="1"/>
        <v>86.684073107049613</v>
      </c>
      <c r="S30" s="40">
        <v>15.89</v>
      </c>
      <c r="T30" s="47">
        <f t="shared" si="16"/>
        <v>82.97650130548304</v>
      </c>
      <c r="U30" s="49" t="s">
        <v>363</v>
      </c>
      <c r="V30" s="50"/>
      <c r="W30" s="48"/>
      <c r="X30" s="50"/>
      <c r="Y30" s="49"/>
      <c r="Z30" s="50"/>
      <c r="AA30" s="48"/>
      <c r="AB30" s="50"/>
      <c r="AC30" s="48"/>
      <c r="AD30" s="50"/>
      <c r="AE30" s="48"/>
      <c r="AF30" s="50"/>
      <c r="AG30" s="48"/>
      <c r="AH30" s="50"/>
      <c r="AI30" s="48"/>
      <c r="AJ30" s="50"/>
    </row>
    <row r="31" spans="2:36" s="95" customFormat="1" ht="12.5" x14ac:dyDescent="0.25">
      <c r="L31" s="5"/>
      <c r="M31" s="96"/>
      <c r="N31" s="98"/>
      <c r="O31" s="98"/>
      <c r="P31" s="98"/>
    </row>
    <row r="32" spans="2:36" s="95" customFormat="1" ht="12.5" x14ac:dyDescent="0.25">
      <c r="L32" s="5"/>
      <c r="M32" s="96"/>
      <c r="N32" s="98"/>
      <c r="O32" s="98"/>
      <c r="P32" s="98"/>
    </row>
    <row r="33" spans="12:16" s="95" customFormat="1" ht="12.5" x14ac:dyDescent="0.25">
      <c r="L33" s="5"/>
      <c r="M33" s="96"/>
      <c r="N33" s="98"/>
      <c r="O33" s="98"/>
      <c r="P33" s="98"/>
    </row>
    <row r="34" spans="12:16" s="95" customFormat="1" ht="12.5" x14ac:dyDescent="0.25">
      <c r="L34" s="5"/>
      <c r="M34" s="96"/>
      <c r="N34" s="98"/>
      <c r="O34" s="98"/>
      <c r="P34" s="98"/>
    </row>
    <row r="35" spans="12:16" s="95" customFormat="1" ht="12.5" x14ac:dyDescent="0.25">
      <c r="L35" s="5"/>
      <c r="M35" s="96"/>
      <c r="N35" s="98"/>
      <c r="O35" s="98"/>
      <c r="P35" s="98"/>
    </row>
    <row r="37" spans="12:16" ht="16.5" customHeight="1" x14ac:dyDescent="0.3"/>
  </sheetData>
  <mergeCells count="16">
    <mergeCell ref="AG4:AH4"/>
    <mergeCell ref="AI4:AJ4"/>
    <mergeCell ref="L6:L10"/>
    <mergeCell ref="L11:L15"/>
    <mergeCell ref="L16:L20"/>
    <mergeCell ref="L21:L25"/>
    <mergeCell ref="L26:L30"/>
    <mergeCell ref="AA4:AB4"/>
    <mergeCell ref="AC4:AD4"/>
    <mergeCell ref="AE4:AF4"/>
    <mergeCell ref="O4:P4"/>
    <mergeCell ref="Q4:R4"/>
    <mergeCell ref="S4:T4"/>
    <mergeCell ref="U4:V4"/>
    <mergeCell ref="W4:X4"/>
    <mergeCell ref="Y4:Z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0AF1D-03DB-42C4-8C26-FF521A10E6F1}">
  <dimension ref="B2:AB46"/>
  <sheetViews>
    <sheetView zoomScale="90" zoomScaleNormal="90" workbookViewId="0">
      <selection activeCell="E42" sqref="E42"/>
    </sheetView>
  </sheetViews>
  <sheetFormatPr defaultColWidth="9" defaultRowHeight="14" x14ac:dyDescent="0.3"/>
  <cols>
    <col min="1" max="3" width="9" style="25"/>
    <col min="4" max="4" width="12.08203125" style="25" bestFit="1" customWidth="1"/>
    <col min="5" max="5" width="15.08203125" style="25" bestFit="1" customWidth="1"/>
    <col min="6" max="6" width="9.58203125" style="25" customWidth="1"/>
    <col min="7" max="7" width="29" style="25" bestFit="1" customWidth="1"/>
    <col min="8" max="8" width="15.08203125" style="25" customWidth="1"/>
    <col min="9" max="9" width="9" style="25"/>
    <col min="10" max="10" width="18.5" style="37" customWidth="1"/>
    <col min="11" max="11" width="6.33203125" style="35" customWidth="1"/>
    <col min="12" max="13" width="6.5" style="36" customWidth="1"/>
    <col min="14" max="14" width="7.58203125" style="36" customWidth="1"/>
    <col min="15" max="15" width="6" style="25" bestFit="1" customWidth="1"/>
    <col min="16" max="16" width="6.75" style="25" customWidth="1"/>
    <col min="17" max="17" width="6" style="25" bestFit="1" customWidth="1"/>
    <col min="18" max="18" width="6.75" style="25" customWidth="1"/>
    <col min="19" max="19" width="6" style="25" bestFit="1" customWidth="1"/>
    <col min="20" max="20" width="6.75" style="25" customWidth="1"/>
    <col min="21" max="21" width="6" style="25" bestFit="1" customWidth="1"/>
    <col min="22" max="22" width="6.75" style="25" customWidth="1"/>
    <col min="23" max="23" width="6" style="25" bestFit="1" customWidth="1"/>
    <col min="24" max="24" width="6.75" style="25" customWidth="1"/>
    <col min="25" max="25" width="6" style="25" bestFit="1" customWidth="1"/>
    <col min="26" max="26" width="6.75" style="25" customWidth="1"/>
    <col min="27" max="27" width="5.75" style="25" customWidth="1"/>
    <col min="28" max="28" width="8.33203125" style="25" customWidth="1"/>
    <col min="29" max="16384" width="9" style="25"/>
  </cols>
  <sheetData>
    <row r="2" spans="2:28" s="95" customFormat="1" ht="13" x14ac:dyDescent="0.25">
      <c r="B2" s="100" t="s">
        <v>138</v>
      </c>
      <c r="K2" s="96"/>
      <c r="L2" s="101"/>
      <c r="M2" s="101"/>
    </row>
    <row r="3" spans="2:28" s="95" customFormat="1" ht="13" x14ac:dyDescent="0.3">
      <c r="J3" s="99" t="s">
        <v>148</v>
      </c>
      <c r="K3" s="100"/>
      <c r="L3" s="101"/>
      <c r="M3" s="101"/>
    </row>
    <row r="4" spans="2:28" s="95" customFormat="1" ht="12.5" x14ac:dyDescent="0.25">
      <c r="J4" s="317"/>
      <c r="K4" s="317" t="s">
        <v>72</v>
      </c>
      <c r="L4" s="317" t="s">
        <v>101</v>
      </c>
      <c r="M4" s="355" t="s">
        <v>102</v>
      </c>
      <c r="N4" s="356"/>
      <c r="O4" s="355" t="s">
        <v>103</v>
      </c>
      <c r="P4" s="356"/>
      <c r="Q4" s="355" t="s">
        <v>73</v>
      </c>
      <c r="R4" s="356"/>
      <c r="S4" s="355" t="s">
        <v>74</v>
      </c>
      <c r="T4" s="356"/>
      <c r="U4" s="355" t="s">
        <v>104</v>
      </c>
      <c r="V4" s="356"/>
      <c r="W4" s="355" t="s">
        <v>105</v>
      </c>
      <c r="X4" s="356"/>
      <c r="Y4" s="355" t="s">
        <v>106</v>
      </c>
      <c r="Z4" s="356"/>
      <c r="AA4" s="1"/>
      <c r="AB4" s="1"/>
    </row>
    <row r="5" spans="2:28" s="95" customFormat="1" ht="13" x14ac:dyDescent="0.3">
      <c r="B5" s="6" t="s">
        <v>132</v>
      </c>
      <c r="C5" s="6" t="s">
        <v>136</v>
      </c>
      <c r="D5" s="6" t="s">
        <v>137</v>
      </c>
      <c r="E5" s="6" t="s">
        <v>139</v>
      </c>
      <c r="F5" s="5"/>
      <c r="G5" s="103" t="s">
        <v>71</v>
      </c>
      <c r="J5" s="317"/>
      <c r="K5" s="317"/>
      <c r="L5" s="317"/>
      <c r="M5" s="317"/>
      <c r="N5" s="4"/>
      <c r="O5" s="317"/>
      <c r="P5" s="4"/>
      <c r="Q5" s="317"/>
      <c r="R5" s="4"/>
      <c r="S5" s="317"/>
      <c r="T5" s="4"/>
      <c r="U5" s="317"/>
      <c r="V5" s="4"/>
      <c r="W5" s="317"/>
      <c r="X5" s="4"/>
      <c r="Y5" s="317"/>
      <c r="Z5" s="4"/>
      <c r="AA5" s="1"/>
      <c r="AB5" s="1"/>
    </row>
    <row r="6" spans="2:28" s="95" customFormat="1" ht="13" x14ac:dyDescent="0.25">
      <c r="B6" s="3">
        <v>10</v>
      </c>
      <c r="C6" s="3"/>
      <c r="D6" s="3"/>
      <c r="E6" s="3">
        <v>1</v>
      </c>
      <c r="F6" s="1"/>
      <c r="J6" s="354" t="s">
        <v>99</v>
      </c>
      <c r="K6" s="29" t="s">
        <v>76</v>
      </c>
      <c r="L6" s="30">
        <v>18.73</v>
      </c>
      <c r="M6" s="31">
        <v>18.7</v>
      </c>
      <c r="N6" s="32">
        <f>M6/L6*100</f>
        <v>99.839829151094492</v>
      </c>
      <c r="O6" s="31">
        <v>19.25</v>
      </c>
      <c r="P6" s="32">
        <f>O6/L6*100</f>
        <v>102.77629471436198</v>
      </c>
      <c r="Q6" s="31">
        <v>19.07</v>
      </c>
      <c r="R6" s="32">
        <f>Q6/L6*100</f>
        <v>101.815269620929</v>
      </c>
      <c r="S6" s="31">
        <v>19.8</v>
      </c>
      <c r="T6" s="32">
        <f>S6/L6*100</f>
        <v>105.71276027762949</v>
      </c>
      <c r="U6" s="31">
        <v>20.78</v>
      </c>
      <c r="V6" s="32">
        <f>U6/L6*100</f>
        <v>110.94500800854246</v>
      </c>
      <c r="W6" s="31">
        <v>21</v>
      </c>
      <c r="X6" s="32">
        <f>W6/L6*100</f>
        <v>112.11959423384943</v>
      </c>
      <c r="Y6" s="31">
        <v>19.05</v>
      </c>
      <c r="Z6" s="32">
        <f>Y6/L6*100</f>
        <v>101.70848905499199</v>
      </c>
      <c r="AA6" s="352" t="s">
        <v>77</v>
      </c>
      <c r="AB6" s="353"/>
    </row>
    <row r="7" spans="2:28" s="95" customFormat="1" ht="13" x14ac:dyDescent="0.3">
      <c r="B7" s="3">
        <v>10</v>
      </c>
      <c r="C7" s="3"/>
      <c r="D7" s="3"/>
      <c r="E7" s="3">
        <v>1</v>
      </c>
      <c r="F7" s="1"/>
      <c r="G7" s="7" t="s">
        <v>140</v>
      </c>
      <c r="H7" s="3"/>
      <c r="J7" s="354"/>
      <c r="K7" s="29" t="s">
        <v>78</v>
      </c>
      <c r="L7" s="30">
        <v>17.579999999999998</v>
      </c>
      <c r="M7" s="31">
        <v>17.53</v>
      </c>
      <c r="N7" s="32">
        <f t="shared" ref="N7:N20" si="0">M7/L7*100</f>
        <v>99.715585893060307</v>
      </c>
      <c r="O7" s="31">
        <v>17.899999999999999</v>
      </c>
      <c r="P7" s="32">
        <f t="shared" ref="P7:P20" si="1">O7/L7*100</f>
        <v>101.8202502844141</v>
      </c>
      <c r="Q7" s="31">
        <v>18.010000000000002</v>
      </c>
      <c r="R7" s="32">
        <f t="shared" ref="R7:R17" si="2">Q7/L7*100</f>
        <v>102.44596131968147</v>
      </c>
      <c r="S7" s="31">
        <v>18.940000000000001</v>
      </c>
      <c r="T7" s="32">
        <f t="shared" ref="T7:T15" si="3">S7/L7*100</f>
        <v>107.73606370875997</v>
      </c>
      <c r="U7" s="33">
        <v>16.38</v>
      </c>
      <c r="V7" s="32">
        <f t="shared" ref="V7:V15" si="4">U7/L7*100</f>
        <v>93.174061433447093</v>
      </c>
      <c r="W7" s="33">
        <v>16.16</v>
      </c>
      <c r="X7" s="32">
        <f t="shared" ref="X7:X15" si="5">W7/L7*100</f>
        <v>91.922639362912406</v>
      </c>
      <c r="Y7" s="33">
        <v>16.16</v>
      </c>
      <c r="Z7" s="32">
        <f t="shared" ref="Z7:Z15" si="6">Y7/L7*100</f>
        <v>91.922639362912406</v>
      </c>
      <c r="AA7" s="352" t="s">
        <v>79</v>
      </c>
      <c r="AB7" s="353"/>
    </row>
    <row r="8" spans="2:28" s="95" customFormat="1" ht="13" x14ac:dyDescent="0.25">
      <c r="B8" s="3">
        <v>10</v>
      </c>
      <c r="C8" s="3"/>
      <c r="D8" s="3"/>
      <c r="E8" s="3">
        <v>1</v>
      </c>
      <c r="F8" s="1"/>
      <c r="G8" s="2"/>
      <c r="H8" s="3"/>
      <c r="J8" s="354"/>
      <c r="K8" s="29" t="s">
        <v>80</v>
      </c>
      <c r="L8" s="30">
        <v>18.48</v>
      </c>
      <c r="M8" s="31">
        <v>18.7</v>
      </c>
      <c r="N8" s="32">
        <f t="shared" si="0"/>
        <v>101.19047619047619</v>
      </c>
      <c r="O8" s="31">
        <v>18.75</v>
      </c>
      <c r="P8" s="32">
        <f t="shared" si="1"/>
        <v>101.46103896103895</v>
      </c>
      <c r="Q8" s="31">
        <v>19.100000000000001</v>
      </c>
      <c r="R8" s="32">
        <f t="shared" si="2"/>
        <v>103.35497835497836</v>
      </c>
      <c r="S8" s="31">
        <v>19.47</v>
      </c>
      <c r="T8" s="32">
        <f t="shared" si="3"/>
        <v>105.35714285714283</v>
      </c>
      <c r="U8" s="33">
        <v>16.55</v>
      </c>
      <c r="V8" s="32">
        <f t="shared" si="4"/>
        <v>89.556277056277054</v>
      </c>
      <c r="W8" s="31">
        <v>17.100000000000001</v>
      </c>
      <c r="X8" s="32">
        <f t="shared" si="5"/>
        <v>92.532467532467535</v>
      </c>
      <c r="Y8" s="31">
        <v>18.11</v>
      </c>
      <c r="Z8" s="32">
        <f t="shared" si="6"/>
        <v>97.997835497835496</v>
      </c>
      <c r="AA8" s="352" t="s">
        <v>81</v>
      </c>
      <c r="AB8" s="353"/>
    </row>
    <row r="9" spans="2:28" s="95" customFormat="1" ht="13" x14ac:dyDescent="0.25">
      <c r="B9" s="3">
        <v>10</v>
      </c>
      <c r="C9" s="3"/>
      <c r="D9" s="3"/>
      <c r="E9" s="3">
        <v>1</v>
      </c>
      <c r="F9" s="1"/>
      <c r="G9" s="2" t="s">
        <v>141</v>
      </c>
      <c r="H9" s="3"/>
      <c r="J9" s="354"/>
      <c r="K9" s="29" t="s">
        <v>82</v>
      </c>
      <c r="L9" s="30">
        <v>18.82</v>
      </c>
      <c r="M9" s="31">
        <v>18.079999999999998</v>
      </c>
      <c r="N9" s="32">
        <f t="shared" si="0"/>
        <v>96.06801275239107</v>
      </c>
      <c r="O9" s="31">
        <v>18.57</v>
      </c>
      <c r="P9" s="32">
        <f t="shared" si="1"/>
        <v>98.671625929861847</v>
      </c>
      <c r="Q9" s="31">
        <v>18.600000000000001</v>
      </c>
      <c r="R9" s="32">
        <f t="shared" si="2"/>
        <v>98.831030818278435</v>
      </c>
      <c r="S9" s="31">
        <v>19.22</v>
      </c>
      <c r="T9" s="32">
        <f t="shared" si="3"/>
        <v>102.12539851222104</v>
      </c>
      <c r="U9" s="33">
        <v>15.72</v>
      </c>
      <c r="V9" s="32">
        <f t="shared" si="4"/>
        <v>83.528161530286923</v>
      </c>
      <c r="W9" s="33">
        <v>14.95</v>
      </c>
      <c r="X9" s="34">
        <f t="shared" si="5"/>
        <v>79.436769394261418</v>
      </c>
      <c r="Y9" s="33">
        <v>14.02</v>
      </c>
      <c r="Z9" s="34">
        <f t="shared" si="6"/>
        <v>74.495217853347498</v>
      </c>
      <c r="AA9" s="352" t="s">
        <v>77</v>
      </c>
      <c r="AB9" s="353"/>
    </row>
    <row r="10" spans="2:28" s="95" customFormat="1" ht="13" x14ac:dyDescent="0.25">
      <c r="B10" s="3">
        <v>12</v>
      </c>
      <c r="C10" s="3"/>
      <c r="D10" s="3"/>
      <c r="E10" s="3">
        <v>1</v>
      </c>
      <c r="F10" s="1"/>
      <c r="G10" s="2" t="s">
        <v>142</v>
      </c>
      <c r="H10" s="3">
        <v>27.54</v>
      </c>
      <c r="J10" s="354"/>
      <c r="K10" s="29" t="s">
        <v>83</v>
      </c>
      <c r="L10" s="30">
        <v>18.91</v>
      </c>
      <c r="M10" s="31">
        <v>18.760000000000002</v>
      </c>
      <c r="N10" s="32">
        <f t="shared" si="0"/>
        <v>99.206768905341093</v>
      </c>
      <c r="O10" s="31">
        <v>19.45</v>
      </c>
      <c r="P10" s="32">
        <f t="shared" si="1"/>
        <v>102.85563194077207</v>
      </c>
      <c r="Q10" s="31">
        <v>19.22</v>
      </c>
      <c r="R10" s="32">
        <f t="shared" si="2"/>
        <v>101.63934426229508</v>
      </c>
      <c r="S10" s="31">
        <v>20.28</v>
      </c>
      <c r="T10" s="32">
        <f t="shared" si="3"/>
        <v>107.24484399788471</v>
      </c>
      <c r="U10" s="31">
        <v>21.17</v>
      </c>
      <c r="V10" s="32">
        <f t="shared" si="4"/>
        <v>111.95134849286093</v>
      </c>
      <c r="W10" s="31">
        <v>19.829999999999998</v>
      </c>
      <c r="X10" s="32">
        <f t="shared" si="5"/>
        <v>104.86515071390798</v>
      </c>
      <c r="Y10" s="31">
        <v>18.309999999999999</v>
      </c>
      <c r="Z10" s="32">
        <f t="shared" si="6"/>
        <v>96.827075621364344</v>
      </c>
      <c r="AA10" s="352" t="s">
        <v>81</v>
      </c>
      <c r="AB10" s="353"/>
    </row>
    <row r="11" spans="2:28" s="95" customFormat="1" ht="13" x14ac:dyDescent="0.25">
      <c r="B11" s="3">
        <v>14</v>
      </c>
      <c r="C11" s="3"/>
      <c r="D11" s="3"/>
      <c r="E11" s="3">
        <v>1</v>
      </c>
      <c r="F11" s="1"/>
      <c r="G11" s="2" t="s">
        <v>143</v>
      </c>
      <c r="H11" s="3">
        <v>2</v>
      </c>
      <c r="J11" s="354" t="s">
        <v>100</v>
      </c>
      <c r="K11" s="29" t="s">
        <v>84</v>
      </c>
      <c r="L11" s="30">
        <v>18.2</v>
      </c>
      <c r="M11" s="31">
        <v>18.04</v>
      </c>
      <c r="N11" s="32">
        <f t="shared" si="0"/>
        <v>99.120879120879124</v>
      </c>
      <c r="O11" s="31">
        <v>18.399999999999999</v>
      </c>
      <c r="P11" s="32">
        <f t="shared" si="1"/>
        <v>101.09890109890109</v>
      </c>
      <c r="Q11" s="31">
        <v>18.75</v>
      </c>
      <c r="R11" s="32">
        <f t="shared" si="2"/>
        <v>103.02197802197803</v>
      </c>
      <c r="S11" s="31">
        <v>19.46</v>
      </c>
      <c r="T11" s="32">
        <f t="shared" si="3"/>
        <v>106.92307692307695</v>
      </c>
      <c r="U11" s="33">
        <v>16.77</v>
      </c>
      <c r="V11" s="32">
        <f t="shared" si="4"/>
        <v>92.142857142857153</v>
      </c>
      <c r="W11" s="33">
        <v>16.77</v>
      </c>
      <c r="X11" s="32">
        <f t="shared" si="5"/>
        <v>92.142857142857153</v>
      </c>
      <c r="Y11" s="31">
        <v>17.64</v>
      </c>
      <c r="Z11" s="32">
        <f t="shared" si="6"/>
        <v>96.923076923076934</v>
      </c>
      <c r="AA11" s="352" t="s">
        <v>77</v>
      </c>
      <c r="AB11" s="353"/>
    </row>
    <row r="12" spans="2:28" s="95" customFormat="1" ht="13" x14ac:dyDescent="0.3">
      <c r="B12" s="3">
        <v>16</v>
      </c>
      <c r="C12" s="3"/>
      <c r="D12" s="3"/>
      <c r="E12" s="3">
        <v>1</v>
      </c>
      <c r="F12" s="1"/>
      <c r="G12" s="7" t="s">
        <v>47</v>
      </c>
      <c r="H12" s="8" t="s">
        <v>48</v>
      </c>
      <c r="J12" s="354"/>
      <c r="K12" s="29" t="s">
        <v>85</v>
      </c>
      <c r="L12" s="30">
        <v>18.600000000000001</v>
      </c>
      <c r="M12" s="31">
        <v>18.52</v>
      </c>
      <c r="N12" s="32">
        <f t="shared" si="0"/>
        <v>99.569892473118273</v>
      </c>
      <c r="O12" s="31">
        <v>19.350000000000001</v>
      </c>
      <c r="P12" s="32">
        <f t="shared" si="1"/>
        <v>104.03225806451613</v>
      </c>
      <c r="Q12" s="31">
        <v>19.46</v>
      </c>
      <c r="R12" s="32">
        <f t="shared" si="2"/>
        <v>104.62365591397848</v>
      </c>
      <c r="S12" s="31">
        <v>20.02</v>
      </c>
      <c r="T12" s="32">
        <f t="shared" si="3"/>
        <v>107.63440860215053</v>
      </c>
      <c r="U12" s="31">
        <v>17.899999999999999</v>
      </c>
      <c r="V12" s="32">
        <f t="shared" si="4"/>
        <v>96.23655913978493</v>
      </c>
      <c r="W12" s="33">
        <v>15.81</v>
      </c>
      <c r="X12" s="32">
        <f t="shared" si="5"/>
        <v>85</v>
      </c>
      <c r="Y12" s="33">
        <v>15.47</v>
      </c>
      <c r="Z12" s="32">
        <f t="shared" si="6"/>
        <v>83.172043010752688</v>
      </c>
      <c r="AA12" s="352" t="s">
        <v>81</v>
      </c>
      <c r="AB12" s="353"/>
    </row>
    <row r="13" spans="2:28" s="95" customFormat="1" ht="13" x14ac:dyDescent="0.3">
      <c r="B13" s="3">
        <v>19</v>
      </c>
      <c r="C13" s="3"/>
      <c r="D13" s="3"/>
      <c r="E13" s="3">
        <v>1</v>
      </c>
      <c r="F13" s="1"/>
      <c r="G13" s="7" t="s">
        <v>49</v>
      </c>
      <c r="H13" s="8" t="s">
        <v>50</v>
      </c>
      <c r="J13" s="354"/>
      <c r="K13" s="29" t="s">
        <v>86</v>
      </c>
      <c r="L13" s="30">
        <v>19.04</v>
      </c>
      <c r="M13" s="31">
        <v>19.86</v>
      </c>
      <c r="N13" s="32">
        <f t="shared" si="0"/>
        <v>104.30672268907564</v>
      </c>
      <c r="O13" s="31">
        <v>19.52</v>
      </c>
      <c r="P13" s="32">
        <f t="shared" si="1"/>
        <v>102.52100840336136</v>
      </c>
      <c r="Q13" s="31">
        <v>20.22</v>
      </c>
      <c r="R13" s="32">
        <f t="shared" si="2"/>
        <v>106.19747899159664</v>
      </c>
      <c r="S13" s="31">
        <v>20.77</v>
      </c>
      <c r="T13" s="32">
        <f t="shared" si="3"/>
        <v>109.08613445378153</v>
      </c>
      <c r="U13" s="31">
        <v>21.58</v>
      </c>
      <c r="V13" s="32">
        <f t="shared" si="4"/>
        <v>113.34033613445378</v>
      </c>
      <c r="W13" s="31">
        <v>21.75</v>
      </c>
      <c r="X13" s="32">
        <f t="shared" si="5"/>
        <v>114.23319327731095</v>
      </c>
      <c r="Y13" s="31">
        <v>20.53</v>
      </c>
      <c r="Z13" s="32">
        <f t="shared" si="6"/>
        <v>107.82563025210085</v>
      </c>
      <c r="AA13" s="352" t="s">
        <v>79</v>
      </c>
      <c r="AB13" s="353"/>
    </row>
    <row r="14" spans="2:28" s="95" customFormat="1" ht="13" x14ac:dyDescent="0.25">
      <c r="B14" s="3">
        <v>19</v>
      </c>
      <c r="C14" s="3"/>
      <c r="D14" s="3"/>
      <c r="E14" s="3">
        <v>1</v>
      </c>
      <c r="F14" s="1"/>
      <c r="G14" s="2" t="s">
        <v>144</v>
      </c>
      <c r="H14" s="3" t="s">
        <v>52</v>
      </c>
      <c r="J14" s="354"/>
      <c r="K14" s="29" t="s">
        <v>87</v>
      </c>
      <c r="L14" s="30">
        <v>18.77</v>
      </c>
      <c r="M14" s="31">
        <v>18.36</v>
      </c>
      <c r="N14" s="32">
        <f t="shared" si="0"/>
        <v>97.815663292488011</v>
      </c>
      <c r="O14" s="31">
        <v>18.05</v>
      </c>
      <c r="P14" s="32">
        <f t="shared" si="1"/>
        <v>96.164091635588704</v>
      </c>
      <c r="Q14" s="31">
        <v>18.34</v>
      </c>
      <c r="R14" s="32">
        <f t="shared" si="2"/>
        <v>97.709110282365472</v>
      </c>
      <c r="S14" s="31">
        <v>19.329999999999998</v>
      </c>
      <c r="T14" s="32">
        <f t="shared" si="3"/>
        <v>102.98348428343101</v>
      </c>
      <c r="U14" s="31">
        <v>17.84</v>
      </c>
      <c r="V14" s="32">
        <f t="shared" si="4"/>
        <v>95.045285029302079</v>
      </c>
      <c r="W14" s="33">
        <v>15</v>
      </c>
      <c r="X14" s="34">
        <f t="shared" si="5"/>
        <v>79.914757591901974</v>
      </c>
      <c r="Y14" s="33">
        <v>12.08</v>
      </c>
      <c r="Z14" s="34">
        <f t="shared" si="6"/>
        <v>64.358018114011728</v>
      </c>
      <c r="AA14" s="352" t="s">
        <v>79</v>
      </c>
      <c r="AB14" s="353"/>
    </row>
    <row r="15" spans="2:28" s="95" customFormat="1" ht="13" x14ac:dyDescent="0.25">
      <c r="B15" s="3">
        <v>19</v>
      </c>
      <c r="C15" s="3"/>
      <c r="D15" s="3"/>
      <c r="E15" s="3">
        <v>1</v>
      </c>
      <c r="F15" s="1"/>
      <c r="G15" s="2"/>
      <c r="H15" s="3"/>
      <c r="J15" s="354"/>
      <c r="K15" s="29" t="s">
        <v>88</v>
      </c>
      <c r="L15" s="30">
        <v>19.190000000000001</v>
      </c>
      <c r="M15" s="31">
        <v>18.55</v>
      </c>
      <c r="N15" s="32">
        <f t="shared" si="0"/>
        <v>96.664929650859818</v>
      </c>
      <c r="O15" s="31">
        <v>18.989999999999998</v>
      </c>
      <c r="P15" s="32">
        <f t="shared" si="1"/>
        <v>98.957790515893691</v>
      </c>
      <c r="Q15" s="31">
        <v>19.23</v>
      </c>
      <c r="R15" s="32">
        <f t="shared" si="2"/>
        <v>100.20844189682126</v>
      </c>
      <c r="S15" s="31">
        <v>19.7</v>
      </c>
      <c r="T15" s="32">
        <f t="shared" si="3"/>
        <v>102.65763418447106</v>
      </c>
      <c r="U15" s="31">
        <v>20.13</v>
      </c>
      <c r="V15" s="32">
        <f t="shared" si="4"/>
        <v>104.89838457529963</v>
      </c>
      <c r="W15" s="31">
        <v>19.95</v>
      </c>
      <c r="X15" s="32">
        <f t="shared" si="5"/>
        <v>103.96039603960394</v>
      </c>
      <c r="Y15" s="31">
        <v>17.43</v>
      </c>
      <c r="Z15" s="32">
        <f t="shared" si="6"/>
        <v>90.828556539864508</v>
      </c>
      <c r="AA15" s="352" t="s">
        <v>89</v>
      </c>
      <c r="AB15" s="353"/>
    </row>
    <row r="16" spans="2:28" s="95" customFormat="1" ht="13" x14ac:dyDescent="0.25">
      <c r="B16" s="3">
        <v>30</v>
      </c>
      <c r="C16" s="3">
        <v>1</v>
      </c>
      <c r="D16" s="3"/>
      <c r="E16" s="3"/>
      <c r="F16" s="1"/>
      <c r="G16" s="2" t="s">
        <v>145</v>
      </c>
      <c r="H16" s="3"/>
      <c r="J16" s="354" t="s">
        <v>856</v>
      </c>
      <c r="K16" s="29" t="s">
        <v>90</v>
      </c>
      <c r="L16" s="30">
        <v>18.84</v>
      </c>
      <c r="M16" s="33">
        <v>16.72</v>
      </c>
      <c r="N16" s="32">
        <f t="shared" si="0"/>
        <v>88.747346072186829</v>
      </c>
      <c r="O16" s="33">
        <v>13.83</v>
      </c>
      <c r="P16" s="34">
        <f t="shared" si="1"/>
        <v>73.407643312101911</v>
      </c>
      <c r="Q16" s="33">
        <v>14.9</v>
      </c>
      <c r="R16" s="34">
        <f t="shared" si="2"/>
        <v>79.087048832271762</v>
      </c>
      <c r="S16" s="352" t="s">
        <v>91</v>
      </c>
      <c r="T16" s="353"/>
      <c r="U16" s="352"/>
      <c r="V16" s="353"/>
      <c r="W16" s="352"/>
      <c r="X16" s="353"/>
      <c r="Y16" s="352"/>
      <c r="Z16" s="353"/>
      <c r="AA16" s="1"/>
      <c r="AB16" s="1"/>
    </row>
    <row r="17" spans="2:28" s="95" customFormat="1" ht="13" x14ac:dyDescent="0.25">
      <c r="B17" s="3">
        <v>30</v>
      </c>
      <c r="C17" s="3">
        <v>1</v>
      </c>
      <c r="D17" s="3"/>
      <c r="E17" s="3"/>
      <c r="F17" s="1"/>
      <c r="G17" s="2" t="s">
        <v>142</v>
      </c>
      <c r="H17" s="3">
        <v>10.31</v>
      </c>
      <c r="J17" s="354"/>
      <c r="K17" s="29" t="s">
        <v>92</v>
      </c>
      <c r="L17" s="30">
        <v>18.91</v>
      </c>
      <c r="M17" s="31">
        <v>17.03</v>
      </c>
      <c r="N17" s="32">
        <f t="shared" si="0"/>
        <v>90.058170280274993</v>
      </c>
      <c r="O17" s="33">
        <v>14.81</v>
      </c>
      <c r="P17" s="34">
        <f t="shared" si="1"/>
        <v>78.31835007932311</v>
      </c>
      <c r="Q17" s="33">
        <v>15.54</v>
      </c>
      <c r="R17" s="32">
        <f t="shared" si="2"/>
        <v>82.178741406663136</v>
      </c>
      <c r="S17" s="352" t="s">
        <v>91</v>
      </c>
      <c r="T17" s="353"/>
      <c r="U17" s="352"/>
      <c r="V17" s="353"/>
      <c r="W17" s="352"/>
      <c r="X17" s="353"/>
      <c r="Y17" s="352"/>
      <c r="Z17" s="353"/>
      <c r="AA17" s="1"/>
      <c r="AB17" s="1"/>
    </row>
    <row r="18" spans="2:28" s="95" customFormat="1" ht="13" x14ac:dyDescent="0.25">
      <c r="B18" s="3">
        <v>31</v>
      </c>
      <c r="C18" s="3">
        <v>1</v>
      </c>
      <c r="D18" s="3">
        <v>1</v>
      </c>
      <c r="E18" s="3"/>
      <c r="F18" s="1"/>
      <c r="G18" s="2" t="s">
        <v>143</v>
      </c>
      <c r="H18" s="3">
        <v>1</v>
      </c>
      <c r="J18" s="354"/>
      <c r="K18" s="29" t="s">
        <v>93</v>
      </c>
      <c r="L18" s="30">
        <v>17.43</v>
      </c>
      <c r="M18" s="33">
        <v>15.44</v>
      </c>
      <c r="N18" s="32">
        <f t="shared" si="0"/>
        <v>88.582903040734365</v>
      </c>
      <c r="O18" s="33">
        <v>13.67</v>
      </c>
      <c r="P18" s="34">
        <f t="shared" si="1"/>
        <v>78.427997705106151</v>
      </c>
      <c r="Q18" s="352" t="s">
        <v>94</v>
      </c>
      <c r="R18" s="353"/>
      <c r="S18" s="352"/>
      <c r="T18" s="353"/>
      <c r="U18" s="352"/>
      <c r="V18" s="353"/>
      <c r="W18" s="352"/>
      <c r="X18" s="353"/>
      <c r="Y18" s="352"/>
      <c r="Z18" s="353"/>
      <c r="AA18" s="1"/>
      <c r="AB18" s="1"/>
    </row>
    <row r="19" spans="2:28" s="95" customFormat="1" ht="13" x14ac:dyDescent="0.25">
      <c r="B19" s="3">
        <v>31</v>
      </c>
      <c r="C19" s="3"/>
      <c r="D19" s="3">
        <v>1</v>
      </c>
      <c r="E19" s="3"/>
      <c r="F19" s="1"/>
      <c r="G19" s="2" t="s">
        <v>47</v>
      </c>
      <c r="H19" s="3">
        <v>1.2999999999999999E-3</v>
      </c>
      <c r="J19" s="354"/>
      <c r="K19" s="29" t="s">
        <v>95</v>
      </c>
      <c r="L19" s="30">
        <v>18.54</v>
      </c>
      <c r="M19" s="33">
        <v>16.46</v>
      </c>
      <c r="N19" s="32">
        <f t="shared" si="0"/>
        <v>88.781014023732467</v>
      </c>
      <c r="O19" s="33">
        <v>14.31</v>
      </c>
      <c r="P19" s="34">
        <f t="shared" si="1"/>
        <v>77.184466019417485</v>
      </c>
      <c r="Q19" s="33">
        <v>14.53</v>
      </c>
      <c r="R19" s="34">
        <f>Q19/L19*100</f>
        <v>78.371089536138086</v>
      </c>
      <c r="S19" s="352" t="s">
        <v>91</v>
      </c>
      <c r="T19" s="353"/>
      <c r="U19" s="352"/>
      <c r="V19" s="353"/>
      <c r="W19" s="352"/>
      <c r="X19" s="353"/>
      <c r="Y19" s="352"/>
      <c r="Z19" s="353"/>
      <c r="AA19" s="1"/>
      <c r="AB19" s="1"/>
    </row>
    <row r="20" spans="2:28" s="95" customFormat="1" ht="13" x14ac:dyDescent="0.25">
      <c r="B20" s="3">
        <v>32</v>
      </c>
      <c r="C20" s="3">
        <v>1</v>
      </c>
      <c r="D20" s="3">
        <v>1</v>
      </c>
      <c r="E20" s="3"/>
      <c r="F20" s="1"/>
      <c r="G20" s="2" t="s">
        <v>49</v>
      </c>
      <c r="H20" s="3" t="s">
        <v>146</v>
      </c>
      <c r="J20" s="354"/>
      <c r="K20" s="29" t="s">
        <v>96</v>
      </c>
      <c r="L20" s="30">
        <v>18.899999999999999</v>
      </c>
      <c r="M20" s="33">
        <v>16.3</v>
      </c>
      <c r="N20" s="32">
        <f t="shared" si="0"/>
        <v>86.243386243386254</v>
      </c>
      <c r="O20" s="33">
        <v>15.2</v>
      </c>
      <c r="P20" s="32">
        <f t="shared" si="1"/>
        <v>80.423280423280431</v>
      </c>
      <c r="Q20" s="352" t="s">
        <v>97</v>
      </c>
      <c r="R20" s="353"/>
      <c r="S20" s="352"/>
      <c r="T20" s="353"/>
      <c r="U20" s="352"/>
      <c r="V20" s="353"/>
      <c r="W20" s="352"/>
      <c r="X20" s="353"/>
      <c r="Y20" s="352"/>
      <c r="Z20" s="353"/>
      <c r="AA20" s="1"/>
      <c r="AB20" s="1"/>
    </row>
    <row r="21" spans="2:28" s="95" customFormat="1" ht="13" x14ac:dyDescent="0.3">
      <c r="B21" s="3">
        <v>35</v>
      </c>
      <c r="C21" s="3">
        <v>1</v>
      </c>
      <c r="D21" s="3"/>
      <c r="E21" s="3"/>
      <c r="F21" s="1"/>
      <c r="G21" s="2" t="s">
        <v>147</v>
      </c>
      <c r="H21" s="3" t="s">
        <v>52</v>
      </c>
      <c r="J21" s="1"/>
      <c r="K21" s="96"/>
      <c r="L21" s="97" t="s">
        <v>13</v>
      </c>
      <c r="M21" s="98"/>
      <c r="N21" s="98"/>
    </row>
    <row r="22" spans="2:28" s="95" customFormat="1" ht="13" x14ac:dyDescent="0.3">
      <c r="B22" s="3">
        <v>35</v>
      </c>
      <c r="C22" s="3">
        <v>1</v>
      </c>
      <c r="D22" s="3">
        <v>1</v>
      </c>
      <c r="E22" s="3"/>
      <c r="F22" s="1"/>
      <c r="G22" s="1"/>
      <c r="H22" s="1"/>
      <c r="K22" s="96"/>
      <c r="L22" s="26" t="s">
        <v>107</v>
      </c>
      <c r="M22" s="98"/>
      <c r="N22" s="98"/>
    </row>
    <row r="23" spans="2:28" s="95" customFormat="1" ht="12.5" x14ac:dyDescent="0.25">
      <c r="B23" s="3">
        <v>36</v>
      </c>
      <c r="C23" s="3"/>
      <c r="D23" s="3">
        <v>1</v>
      </c>
      <c r="E23" s="3"/>
      <c r="F23" s="1"/>
      <c r="G23" s="1"/>
      <c r="H23" s="1"/>
      <c r="K23" s="96"/>
      <c r="L23" s="98"/>
      <c r="M23" s="98"/>
      <c r="N23" s="98"/>
    </row>
    <row r="24" spans="2:28" s="95" customFormat="1" ht="13" x14ac:dyDescent="0.3">
      <c r="B24" s="3">
        <v>37</v>
      </c>
      <c r="C24" s="3">
        <v>1</v>
      </c>
      <c r="D24" s="3"/>
      <c r="E24" s="3"/>
      <c r="F24" s="1"/>
      <c r="G24" s="1"/>
      <c r="H24" s="1"/>
      <c r="J24" s="99" t="s">
        <v>149</v>
      </c>
      <c r="K24" s="96"/>
      <c r="L24" s="98"/>
      <c r="M24" s="98"/>
      <c r="N24" s="98"/>
    </row>
    <row r="25" spans="2:28" s="95" customFormat="1" ht="12.5" x14ac:dyDescent="0.25">
      <c r="B25" s="3">
        <v>37</v>
      </c>
      <c r="C25" s="3">
        <v>1</v>
      </c>
      <c r="D25" s="3">
        <v>1</v>
      </c>
      <c r="E25" s="3"/>
      <c r="F25" s="1"/>
      <c r="G25" s="1"/>
      <c r="H25" s="1"/>
      <c r="J25" s="317"/>
      <c r="K25" s="317" t="s">
        <v>72</v>
      </c>
      <c r="L25" s="317" t="s">
        <v>101</v>
      </c>
      <c r="M25" s="355" t="s">
        <v>102</v>
      </c>
      <c r="N25" s="356"/>
      <c r="O25" s="355" t="s">
        <v>103</v>
      </c>
      <c r="P25" s="356"/>
      <c r="Q25" s="355" t="s">
        <v>73</v>
      </c>
      <c r="R25" s="356"/>
      <c r="S25" s="355" t="s">
        <v>74</v>
      </c>
      <c r="T25" s="356"/>
      <c r="U25" s="355" t="s">
        <v>104</v>
      </c>
      <c r="V25" s="356"/>
      <c r="W25" s="355" t="s">
        <v>105</v>
      </c>
      <c r="X25" s="356"/>
      <c r="Y25" s="355" t="s">
        <v>106</v>
      </c>
      <c r="Z25" s="356"/>
      <c r="AA25" s="1"/>
      <c r="AB25" s="1"/>
    </row>
    <row r="26" spans="2:28" s="95" customFormat="1" ht="12.5" x14ac:dyDescent="0.25">
      <c r="B26" s="3">
        <v>39</v>
      </c>
      <c r="C26" s="3"/>
      <c r="D26" s="3">
        <v>1</v>
      </c>
      <c r="E26" s="3"/>
      <c r="F26" s="1"/>
      <c r="G26" s="1"/>
      <c r="H26" s="1"/>
      <c r="J26" s="317"/>
      <c r="K26" s="317"/>
      <c r="L26" s="317"/>
      <c r="M26" s="317"/>
      <c r="N26" s="4"/>
      <c r="O26" s="317"/>
      <c r="P26" s="4"/>
      <c r="Q26" s="317"/>
      <c r="R26" s="4"/>
      <c r="S26" s="317"/>
      <c r="T26" s="4"/>
      <c r="U26" s="317"/>
      <c r="V26" s="4"/>
      <c r="W26" s="317"/>
      <c r="X26" s="4"/>
      <c r="Y26" s="317"/>
      <c r="Z26" s="4"/>
      <c r="AA26" s="1"/>
      <c r="AB26" s="1"/>
    </row>
    <row r="27" spans="2:28" s="95" customFormat="1" ht="13" x14ac:dyDescent="0.25">
      <c r="B27" s="3">
        <v>41</v>
      </c>
      <c r="C27" s="3">
        <v>1</v>
      </c>
      <c r="D27" s="3">
        <v>1</v>
      </c>
      <c r="E27" s="3"/>
      <c r="F27" s="1"/>
      <c r="G27" s="1"/>
      <c r="H27" s="1"/>
      <c r="J27" s="354" t="s">
        <v>99</v>
      </c>
      <c r="K27" s="29" t="s">
        <v>109</v>
      </c>
      <c r="L27" s="30">
        <v>17.600000000000001</v>
      </c>
      <c r="M27" s="33">
        <v>16.96</v>
      </c>
      <c r="N27" s="32">
        <f>M27/L27*100</f>
        <v>96.36363636363636</v>
      </c>
      <c r="O27" s="31">
        <v>17.29</v>
      </c>
      <c r="P27" s="32">
        <f>O27/L27*100</f>
        <v>98.23863636363636</v>
      </c>
      <c r="Q27" s="31">
        <v>17.8</v>
      </c>
      <c r="R27" s="32">
        <f>Q27/L27*100</f>
        <v>101.13636363636363</v>
      </c>
      <c r="S27" s="31">
        <v>17.52</v>
      </c>
      <c r="T27" s="32">
        <f>S27/L27*100</f>
        <v>99.545454545454533</v>
      </c>
      <c r="U27" s="31">
        <v>18.04</v>
      </c>
      <c r="V27" s="32">
        <f>U27/L27*100</f>
        <v>102.49999999999999</v>
      </c>
      <c r="W27" s="31">
        <v>19.260000000000002</v>
      </c>
      <c r="X27" s="32">
        <f>W27/L27*100</f>
        <v>109.43181818181817</v>
      </c>
      <c r="Y27" s="33">
        <v>16.260000000000002</v>
      </c>
      <c r="Z27" s="32">
        <f>Y27/L27*100</f>
        <v>92.386363636363626</v>
      </c>
      <c r="AA27" s="352" t="s">
        <v>110</v>
      </c>
      <c r="AB27" s="353"/>
    </row>
    <row r="28" spans="2:28" s="95" customFormat="1" ht="13" x14ac:dyDescent="0.25">
      <c r="B28" s="3">
        <v>41</v>
      </c>
      <c r="C28" s="3"/>
      <c r="D28" s="3">
        <v>1</v>
      </c>
      <c r="E28" s="3"/>
      <c r="F28" s="1"/>
      <c r="G28" s="1"/>
      <c r="H28" s="1"/>
      <c r="J28" s="354"/>
      <c r="K28" s="29" t="s">
        <v>111</v>
      </c>
      <c r="L28" s="30">
        <v>18.100000000000001</v>
      </c>
      <c r="M28" s="31">
        <v>17.61</v>
      </c>
      <c r="N28" s="32">
        <f t="shared" ref="N28:N41" si="7">M28/L28*100</f>
        <v>97.292817679557999</v>
      </c>
      <c r="O28" s="31">
        <v>17.89</v>
      </c>
      <c r="P28" s="32">
        <f t="shared" ref="P28:P36" si="8">O28/L28*100</f>
        <v>98.839779005524846</v>
      </c>
      <c r="Q28" s="31">
        <v>18.16</v>
      </c>
      <c r="R28" s="32">
        <f t="shared" ref="R28:R36" si="9">Q28/L28*100</f>
        <v>100.33149171270716</v>
      </c>
      <c r="S28" s="31">
        <v>17.79</v>
      </c>
      <c r="T28" s="32">
        <f t="shared" ref="T28:T36" si="10">S28/L28*100</f>
        <v>98.287292817679557</v>
      </c>
      <c r="U28" s="31">
        <v>18.18</v>
      </c>
      <c r="V28" s="32">
        <f t="shared" ref="V28:V36" si="11">U28/L28*100</f>
        <v>100.44198895027623</v>
      </c>
      <c r="W28" s="31">
        <v>19.66</v>
      </c>
      <c r="X28" s="32">
        <f t="shared" ref="X28:X36" si="12">W28/L28*100</f>
        <v>108.61878453038673</v>
      </c>
      <c r="Y28" s="31">
        <v>17.91</v>
      </c>
      <c r="Z28" s="32">
        <f>Y28/L28*100</f>
        <v>98.95027624309391</v>
      </c>
      <c r="AA28" s="352" t="s">
        <v>112</v>
      </c>
      <c r="AB28" s="353"/>
    </row>
    <row r="29" spans="2:28" s="95" customFormat="1" ht="13" x14ac:dyDescent="0.25">
      <c r="B29" s="3">
        <v>42</v>
      </c>
      <c r="C29" s="3"/>
      <c r="D29" s="3">
        <v>1</v>
      </c>
      <c r="E29" s="3"/>
      <c r="F29" s="1"/>
      <c r="G29" s="1"/>
      <c r="H29" s="1"/>
      <c r="J29" s="354"/>
      <c r="K29" s="29" t="s">
        <v>113</v>
      </c>
      <c r="L29" s="30">
        <v>16.3</v>
      </c>
      <c r="M29" s="33">
        <v>15.75</v>
      </c>
      <c r="N29" s="32">
        <f t="shared" si="7"/>
        <v>96.625766871165638</v>
      </c>
      <c r="O29" s="33">
        <v>16.329999999999998</v>
      </c>
      <c r="P29" s="32">
        <f t="shared" si="8"/>
        <v>100.18404907975457</v>
      </c>
      <c r="Q29" s="31">
        <v>17.079999999999998</v>
      </c>
      <c r="R29" s="32">
        <f t="shared" si="9"/>
        <v>104.78527607361963</v>
      </c>
      <c r="S29" s="33">
        <v>16.5</v>
      </c>
      <c r="T29" s="32">
        <f t="shared" si="10"/>
        <v>101.22699386503066</v>
      </c>
      <c r="U29" s="31">
        <v>17.2</v>
      </c>
      <c r="V29" s="32">
        <f t="shared" si="11"/>
        <v>105.52147239263803</v>
      </c>
      <c r="W29" s="33">
        <v>15.22</v>
      </c>
      <c r="X29" s="32">
        <f t="shared" si="12"/>
        <v>93.374233128834362</v>
      </c>
      <c r="Y29" s="352" t="s">
        <v>114</v>
      </c>
      <c r="Z29" s="353"/>
      <c r="AA29" s="1"/>
      <c r="AB29" s="1"/>
    </row>
    <row r="30" spans="2:28" s="95" customFormat="1" ht="13" x14ac:dyDescent="0.25">
      <c r="B30" s="3">
        <v>45</v>
      </c>
      <c r="C30" s="3">
        <v>1</v>
      </c>
      <c r="D30" s="3"/>
      <c r="E30" s="3"/>
      <c r="F30" s="1"/>
      <c r="G30" s="1"/>
      <c r="H30" s="1"/>
      <c r="J30" s="354"/>
      <c r="K30" s="29" t="s">
        <v>115</v>
      </c>
      <c r="L30" s="30">
        <v>16.97</v>
      </c>
      <c r="M30" s="33">
        <v>16.82</v>
      </c>
      <c r="N30" s="32">
        <f t="shared" si="7"/>
        <v>99.11608721272836</v>
      </c>
      <c r="O30" s="33">
        <v>16.68</v>
      </c>
      <c r="P30" s="32">
        <f t="shared" si="8"/>
        <v>98.291101944608144</v>
      </c>
      <c r="Q30" s="31">
        <v>17.809999999999999</v>
      </c>
      <c r="R30" s="32">
        <f t="shared" si="9"/>
        <v>104.94991160872127</v>
      </c>
      <c r="S30" s="31">
        <v>17.25</v>
      </c>
      <c r="T30" s="32">
        <f t="shared" si="10"/>
        <v>101.64997053624043</v>
      </c>
      <c r="U30" s="31">
        <v>17.09</v>
      </c>
      <c r="V30" s="32">
        <f t="shared" si="11"/>
        <v>100.70713022981732</v>
      </c>
      <c r="W30" s="33">
        <v>15.08</v>
      </c>
      <c r="X30" s="32">
        <f t="shared" si="12"/>
        <v>88.862698880377138</v>
      </c>
      <c r="Y30" s="33">
        <v>13.03</v>
      </c>
      <c r="Z30" s="34">
        <f>Y30/L30*100</f>
        <v>76.782557454331183</v>
      </c>
      <c r="AA30" s="352" t="s">
        <v>116</v>
      </c>
      <c r="AB30" s="353"/>
    </row>
    <row r="31" spans="2:28" s="95" customFormat="1" ht="13" x14ac:dyDescent="0.25">
      <c r="B31" s="95" t="s">
        <v>170</v>
      </c>
      <c r="J31" s="354"/>
      <c r="K31" s="29" t="s">
        <v>117</v>
      </c>
      <c r="L31" s="30">
        <v>16.37</v>
      </c>
      <c r="M31" s="33">
        <v>16.04</v>
      </c>
      <c r="N31" s="32">
        <f t="shared" si="7"/>
        <v>97.984117287721432</v>
      </c>
      <c r="O31" s="33">
        <v>16.010000000000002</v>
      </c>
      <c r="P31" s="32">
        <f t="shared" si="8"/>
        <v>97.800855222968849</v>
      </c>
      <c r="Q31" s="31">
        <v>17.03</v>
      </c>
      <c r="R31" s="32">
        <f t="shared" si="9"/>
        <v>104.03176542455712</v>
      </c>
      <c r="S31" s="33">
        <v>16.260000000000002</v>
      </c>
      <c r="T31" s="32">
        <f t="shared" si="10"/>
        <v>99.328039095907144</v>
      </c>
      <c r="U31" s="33">
        <v>16.36</v>
      </c>
      <c r="V31" s="32">
        <f t="shared" si="11"/>
        <v>99.938912645082453</v>
      </c>
      <c r="W31" s="33">
        <v>14.02</v>
      </c>
      <c r="X31" s="32">
        <f t="shared" si="12"/>
        <v>85.644471594379951</v>
      </c>
      <c r="Y31" s="352" t="s">
        <v>114</v>
      </c>
      <c r="Z31" s="353"/>
      <c r="AA31" s="1"/>
      <c r="AB31" s="1"/>
    </row>
    <row r="32" spans="2:28" s="95" customFormat="1" ht="13" x14ac:dyDescent="0.25">
      <c r="J32" s="354" t="s">
        <v>100</v>
      </c>
      <c r="K32" s="29" t="s">
        <v>118</v>
      </c>
      <c r="L32" s="30">
        <v>18.37</v>
      </c>
      <c r="M32" s="31">
        <v>17.239999999999998</v>
      </c>
      <c r="N32" s="32">
        <f t="shared" si="7"/>
        <v>93.848666303756119</v>
      </c>
      <c r="O32" s="31">
        <v>17.940000000000001</v>
      </c>
      <c r="P32" s="32">
        <f t="shared" si="8"/>
        <v>97.659227000544362</v>
      </c>
      <c r="Q32" s="31">
        <v>18.600000000000001</v>
      </c>
      <c r="R32" s="32">
        <f t="shared" si="9"/>
        <v>101.25204137180187</v>
      </c>
      <c r="S32" s="31">
        <v>18.03</v>
      </c>
      <c r="T32" s="32">
        <f t="shared" si="10"/>
        <v>98.14915623298856</v>
      </c>
      <c r="U32" s="31">
        <v>18.84</v>
      </c>
      <c r="V32" s="32">
        <f t="shared" si="11"/>
        <v>102.55851932498639</v>
      </c>
      <c r="W32" s="31">
        <v>19.899999999999999</v>
      </c>
      <c r="X32" s="32">
        <f t="shared" si="12"/>
        <v>108.32879695155142</v>
      </c>
      <c r="Y32" s="31">
        <v>20.25</v>
      </c>
      <c r="Z32" s="32">
        <f t="shared" ref="Z32:Z36" si="13">Y32/L32*100</f>
        <v>110.23407729994557</v>
      </c>
      <c r="AA32" s="352" t="s">
        <v>119</v>
      </c>
      <c r="AB32" s="353"/>
    </row>
    <row r="33" spans="10:28" s="95" customFormat="1" ht="13" x14ac:dyDescent="0.25">
      <c r="J33" s="354"/>
      <c r="K33" s="29" t="s">
        <v>120</v>
      </c>
      <c r="L33" s="30">
        <v>18.48</v>
      </c>
      <c r="M33" s="31">
        <v>18.2</v>
      </c>
      <c r="N33" s="32">
        <f t="shared" si="7"/>
        <v>98.48484848484847</v>
      </c>
      <c r="O33" s="31">
        <v>18.2</v>
      </c>
      <c r="P33" s="32">
        <f t="shared" si="8"/>
        <v>98.48484848484847</v>
      </c>
      <c r="Q33" s="31">
        <v>18.72</v>
      </c>
      <c r="R33" s="32">
        <f t="shared" si="9"/>
        <v>101.29870129870129</v>
      </c>
      <c r="S33" s="31">
        <v>18.39</v>
      </c>
      <c r="T33" s="32">
        <f t="shared" si="10"/>
        <v>99.512987012987011</v>
      </c>
      <c r="U33" s="31">
        <v>18.3</v>
      </c>
      <c r="V33" s="32">
        <f t="shared" si="11"/>
        <v>99.025974025974023</v>
      </c>
      <c r="W33" s="33">
        <v>15.81</v>
      </c>
      <c r="X33" s="32">
        <f t="shared" si="12"/>
        <v>85.55194805194806</v>
      </c>
      <c r="Y33" s="33">
        <v>11.81</v>
      </c>
      <c r="Z33" s="34">
        <f t="shared" si="13"/>
        <v>63.906926406926409</v>
      </c>
      <c r="AA33" s="352" t="s">
        <v>121</v>
      </c>
      <c r="AB33" s="353"/>
    </row>
    <row r="34" spans="10:28" s="95" customFormat="1" ht="13" x14ac:dyDescent="0.25">
      <c r="J34" s="354"/>
      <c r="K34" s="29" t="s">
        <v>122</v>
      </c>
      <c r="L34" s="30">
        <v>17.690000000000001</v>
      </c>
      <c r="M34" s="31">
        <v>17.3</v>
      </c>
      <c r="N34" s="32">
        <f t="shared" si="7"/>
        <v>97.795364612775586</v>
      </c>
      <c r="O34" s="31">
        <v>17.399999999999999</v>
      </c>
      <c r="P34" s="32">
        <f t="shared" si="8"/>
        <v>98.360655737704903</v>
      </c>
      <c r="Q34" s="31">
        <v>18.170000000000002</v>
      </c>
      <c r="R34" s="32">
        <f t="shared" si="9"/>
        <v>102.71339739966083</v>
      </c>
      <c r="S34" s="31">
        <v>17.670000000000002</v>
      </c>
      <c r="T34" s="32">
        <f t="shared" si="10"/>
        <v>99.886941775014137</v>
      </c>
      <c r="U34" s="31">
        <v>17.03</v>
      </c>
      <c r="V34" s="32">
        <f t="shared" si="11"/>
        <v>96.269078575466366</v>
      </c>
      <c r="W34" s="31">
        <v>18.149999999999999</v>
      </c>
      <c r="X34" s="32">
        <f t="shared" si="12"/>
        <v>102.60033917467494</v>
      </c>
      <c r="Y34" s="33">
        <v>16.940000000000001</v>
      </c>
      <c r="Z34" s="32">
        <f t="shared" si="13"/>
        <v>95.76031656302996</v>
      </c>
      <c r="AA34" s="352" t="s">
        <v>110</v>
      </c>
      <c r="AB34" s="353"/>
    </row>
    <row r="35" spans="10:28" s="95" customFormat="1" ht="13" x14ac:dyDescent="0.25">
      <c r="J35" s="354"/>
      <c r="K35" s="29" t="s">
        <v>123</v>
      </c>
      <c r="L35" s="30">
        <v>17.850000000000001</v>
      </c>
      <c r="M35" s="31">
        <v>17.07</v>
      </c>
      <c r="N35" s="32">
        <f t="shared" si="7"/>
        <v>95.630252100840323</v>
      </c>
      <c r="O35" s="31">
        <v>17.7</v>
      </c>
      <c r="P35" s="32">
        <f t="shared" si="8"/>
        <v>99.159663865546207</v>
      </c>
      <c r="Q35" s="31">
        <v>18.28</v>
      </c>
      <c r="R35" s="32">
        <f t="shared" si="9"/>
        <v>102.40896358543417</v>
      </c>
      <c r="S35" s="31">
        <v>18.16</v>
      </c>
      <c r="T35" s="32">
        <f t="shared" si="10"/>
        <v>101.73669467787114</v>
      </c>
      <c r="U35" s="31">
        <v>18.27</v>
      </c>
      <c r="V35" s="32">
        <f t="shared" si="11"/>
        <v>102.35294117647058</v>
      </c>
      <c r="W35" s="31">
        <v>18.48</v>
      </c>
      <c r="X35" s="32">
        <f t="shared" si="12"/>
        <v>103.52941176470587</v>
      </c>
      <c r="Y35" s="33">
        <v>15.4</v>
      </c>
      <c r="Z35" s="32">
        <f t="shared" si="13"/>
        <v>86.274509803921561</v>
      </c>
      <c r="AA35" s="352" t="s">
        <v>116</v>
      </c>
      <c r="AB35" s="353"/>
    </row>
    <row r="36" spans="10:28" s="95" customFormat="1" ht="13" x14ac:dyDescent="0.25">
      <c r="J36" s="354"/>
      <c r="K36" s="29" t="s">
        <v>124</v>
      </c>
      <c r="L36" s="30">
        <v>17.670000000000002</v>
      </c>
      <c r="M36" s="33">
        <v>16.88</v>
      </c>
      <c r="N36" s="32">
        <f t="shared" si="7"/>
        <v>95.529145444255775</v>
      </c>
      <c r="O36" s="31">
        <v>17.190000000000001</v>
      </c>
      <c r="P36" s="32">
        <f t="shared" si="8"/>
        <v>97.283531409168077</v>
      </c>
      <c r="Q36" s="31">
        <v>18.059999999999999</v>
      </c>
      <c r="R36" s="32">
        <f t="shared" si="9"/>
        <v>102.20713073005092</v>
      </c>
      <c r="S36" s="33">
        <v>15.88</v>
      </c>
      <c r="T36" s="32">
        <f t="shared" si="10"/>
        <v>89.869835880022634</v>
      </c>
      <c r="U36" s="33">
        <v>15.46</v>
      </c>
      <c r="V36" s="32">
        <f t="shared" si="11"/>
        <v>87.492925863044704</v>
      </c>
      <c r="W36" s="33">
        <v>16.03</v>
      </c>
      <c r="X36" s="32">
        <f t="shared" si="12"/>
        <v>90.718732314657615</v>
      </c>
      <c r="Y36" s="33">
        <v>15.54</v>
      </c>
      <c r="Z36" s="32">
        <f t="shared" si="13"/>
        <v>87.94567062818335</v>
      </c>
      <c r="AA36" s="352" t="s">
        <v>110</v>
      </c>
      <c r="AB36" s="353"/>
    </row>
    <row r="37" spans="10:28" s="95" customFormat="1" ht="13" x14ac:dyDescent="0.25">
      <c r="J37" s="354" t="s">
        <v>856</v>
      </c>
      <c r="K37" s="29" t="s">
        <v>125</v>
      </c>
      <c r="L37" s="30">
        <v>18.16</v>
      </c>
      <c r="M37" s="33">
        <v>15.43</v>
      </c>
      <c r="N37" s="32">
        <f t="shared" si="7"/>
        <v>84.966960352422902</v>
      </c>
      <c r="O37" s="352" t="s">
        <v>126</v>
      </c>
      <c r="P37" s="353"/>
      <c r="Q37" s="352"/>
      <c r="R37" s="353"/>
      <c r="S37" s="352"/>
      <c r="T37" s="353"/>
      <c r="U37" s="352"/>
      <c r="V37" s="353"/>
      <c r="W37" s="352"/>
      <c r="X37" s="353"/>
      <c r="Y37" s="352"/>
      <c r="Z37" s="353"/>
      <c r="AA37" s="1"/>
      <c r="AB37" s="1"/>
    </row>
    <row r="38" spans="10:28" s="95" customFormat="1" ht="13" x14ac:dyDescent="0.25">
      <c r="J38" s="354"/>
      <c r="K38" s="29" t="s">
        <v>127</v>
      </c>
      <c r="L38" s="30">
        <v>17.18</v>
      </c>
      <c r="M38" s="33">
        <v>14.76</v>
      </c>
      <c r="N38" s="32">
        <f t="shared" si="7"/>
        <v>85.913853317811402</v>
      </c>
      <c r="O38" s="352" t="s">
        <v>128</v>
      </c>
      <c r="P38" s="353"/>
      <c r="Q38" s="352"/>
      <c r="R38" s="353"/>
      <c r="S38" s="352"/>
      <c r="T38" s="353"/>
      <c r="U38" s="352"/>
      <c r="V38" s="353"/>
      <c r="W38" s="352"/>
      <c r="X38" s="353"/>
      <c r="Y38" s="352"/>
      <c r="Z38" s="353"/>
      <c r="AA38" s="1"/>
      <c r="AB38" s="1"/>
    </row>
    <row r="39" spans="10:28" s="95" customFormat="1" ht="13" x14ac:dyDescent="0.25">
      <c r="J39" s="354"/>
      <c r="K39" s="29" t="s">
        <v>129</v>
      </c>
      <c r="L39" s="30">
        <v>17.66</v>
      </c>
      <c r="M39" s="33">
        <v>14.98</v>
      </c>
      <c r="N39" s="32">
        <f t="shared" si="7"/>
        <v>84.82446206115516</v>
      </c>
      <c r="O39" s="352" t="s">
        <v>126</v>
      </c>
      <c r="P39" s="353"/>
      <c r="Q39" s="352"/>
      <c r="R39" s="353"/>
      <c r="S39" s="352"/>
      <c r="T39" s="353"/>
      <c r="U39" s="352"/>
      <c r="V39" s="353"/>
      <c r="W39" s="352"/>
      <c r="X39" s="353"/>
      <c r="Y39" s="352"/>
      <c r="Z39" s="353"/>
      <c r="AA39" s="1"/>
      <c r="AB39" s="1"/>
    </row>
    <row r="40" spans="10:28" s="95" customFormat="1" ht="13" x14ac:dyDescent="0.25">
      <c r="J40" s="354"/>
      <c r="K40" s="29" t="s">
        <v>130</v>
      </c>
      <c r="L40" s="30">
        <v>18.510000000000002</v>
      </c>
      <c r="M40" s="33">
        <v>15.76</v>
      </c>
      <c r="N40" s="32">
        <f t="shared" si="7"/>
        <v>85.143165856293891</v>
      </c>
      <c r="O40" s="352" t="s">
        <v>126</v>
      </c>
      <c r="P40" s="353"/>
      <c r="Q40" s="352"/>
      <c r="R40" s="353"/>
      <c r="S40" s="352"/>
      <c r="T40" s="353"/>
      <c r="U40" s="352"/>
      <c r="V40" s="353"/>
      <c r="W40" s="352"/>
      <c r="X40" s="353"/>
      <c r="Y40" s="352"/>
      <c r="Z40" s="353"/>
      <c r="AA40" s="1"/>
      <c r="AB40" s="1"/>
    </row>
    <row r="41" spans="10:28" s="95" customFormat="1" ht="13" x14ac:dyDescent="0.25">
      <c r="J41" s="354"/>
      <c r="K41" s="29" t="s">
        <v>131</v>
      </c>
      <c r="L41" s="30">
        <v>17.54</v>
      </c>
      <c r="M41" s="33">
        <v>15.08</v>
      </c>
      <c r="N41" s="32">
        <f t="shared" si="7"/>
        <v>85.974914481185863</v>
      </c>
      <c r="O41" s="352" t="s">
        <v>126</v>
      </c>
      <c r="P41" s="353"/>
      <c r="Q41" s="352"/>
      <c r="R41" s="353"/>
      <c r="S41" s="352"/>
      <c r="T41" s="353"/>
      <c r="U41" s="352"/>
      <c r="V41" s="353"/>
      <c r="W41" s="352"/>
      <c r="X41" s="353"/>
      <c r="Y41" s="352"/>
      <c r="Z41" s="353"/>
      <c r="AA41" s="1"/>
      <c r="AB41" s="1"/>
    </row>
    <row r="42" spans="10:28" s="95" customFormat="1" ht="13" x14ac:dyDescent="0.3">
      <c r="J42" s="1"/>
      <c r="K42" s="96"/>
      <c r="L42" s="97" t="s">
        <v>13</v>
      </c>
      <c r="M42" s="98"/>
      <c r="N42" s="98"/>
    </row>
    <row r="43" spans="10:28" s="95" customFormat="1" ht="13" x14ac:dyDescent="0.3">
      <c r="K43" s="96"/>
      <c r="L43" s="26" t="s">
        <v>107</v>
      </c>
      <c r="M43" s="98"/>
      <c r="N43" s="98"/>
    </row>
    <row r="44" spans="10:28" s="95" customFormat="1" ht="12.5" x14ac:dyDescent="0.25">
      <c r="J44" s="5"/>
      <c r="K44" s="96"/>
      <c r="L44" s="98"/>
      <c r="M44" s="98"/>
      <c r="N44" s="98"/>
    </row>
    <row r="45" spans="10:28" s="95" customFormat="1" ht="12.5" x14ac:dyDescent="0.25">
      <c r="J45" s="5"/>
      <c r="K45" s="96"/>
      <c r="L45" s="98"/>
      <c r="M45" s="98"/>
      <c r="N45" s="98"/>
    </row>
    <row r="46" spans="10:28" s="95" customFormat="1" ht="12.5" x14ac:dyDescent="0.25">
      <c r="J46" s="5"/>
      <c r="K46" s="96"/>
      <c r="L46" s="98"/>
      <c r="M46" s="98"/>
      <c r="N46" s="98"/>
    </row>
  </sheetData>
  <mergeCells count="92">
    <mergeCell ref="W4:X4"/>
    <mergeCell ref="Y4:Z4"/>
    <mergeCell ref="J6:J10"/>
    <mergeCell ref="AA6:AB6"/>
    <mergeCell ref="AA7:AB7"/>
    <mergeCell ref="AA8:AB8"/>
    <mergeCell ref="AA9:AB9"/>
    <mergeCell ref="AA10:AB10"/>
    <mergeCell ref="M4:N4"/>
    <mergeCell ref="O4:P4"/>
    <mergeCell ref="Q4:R4"/>
    <mergeCell ref="S4:T4"/>
    <mergeCell ref="U4:V4"/>
    <mergeCell ref="J11:J15"/>
    <mergeCell ref="AA11:AB11"/>
    <mergeCell ref="AA12:AB12"/>
    <mergeCell ref="AA13:AB13"/>
    <mergeCell ref="AA14:AB14"/>
    <mergeCell ref="AA15:AB15"/>
    <mergeCell ref="J16:J20"/>
    <mergeCell ref="S16:T16"/>
    <mergeCell ref="U16:V16"/>
    <mergeCell ref="W16:X16"/>
    <mergeCell ref="Y16:Z16"/>
    <mergeCell ref="S17:T17"/>
    <mergeCell ref="U17:V17"/>
    <mergeCell ref="W17:X17"/>
    <mergeCell ref="Y17:Z17"/>
    <mergeCell ref="Q18:R18"/>
    <mergeCell ref="S18:T18"/>
    <mergeCell ref="U18:V18"/>
    <mergeCell ref="W18:X18"/>
    <mergeCell ref="Y18:Z18"/>
    <mergeCell ref="S19:T19"/>
    <mergeCell ref="U19:V19"/>
    <mergeCell ref="W19:X19"/>
    <mergeCell ref="Y19:Z19"/>
    <mergeCell ref="Q20:R20"/>
    <mergeCell ref="S20:T20"/>
    <mergeCell ref="U20:V20"/>
    <mergeCell ref="W20:X20"/>
    <mergeCell ref="Y20:Z20"/>
    <mergeCell ref="W25:X25"/>
    <mergeCell ref="Y25:Z25"/>
    <mergeCell ref="J27:J31"/>
    <mergeCell ref="AA27:AB27"/>
    <mergeCell ref="AA28:AB28"/>
    <mergeCell ref="AA30:AB30"/>
    <mergeCell ref="Y29:Z29"/>
    <mergeCell ref="Y31:Z31"/>
    <mergeCell ref="M25:N25"/>
    <mergeCell ref="O25:P25"/>
    <mergeCell ref="Q25:R25"/>
    <mergeCell ref="S25:T25"/>
    <mergeCell ref="U25:V25"/>
    <mergeCell ref="J32:J36"/>
    <mergeCell ref="AA32:AB32"/>
    <mergeCell ref="AA33:AB33"/>
    <mergeCell ref="AA34:AB34"/>
    <mergeCell ref="AA35:AB35"/>
    <mergeCell ref="AA36:AB36"/>
    <mergeCell ref="J37:J41"/>
    <mergeCell ref="S37:T37"/>
    <mergeCell ref="U37:V37"/>
    <mergeCell ref="W37:X37"/>
    <mergeCell ref="Y37:Z37"/>
    <mergeCell ref="S38:T38"/>
    <mergeCell ref="U38:V38"/>
    <mergeCell ref="W38:X38"/>
    <mergeCell ref="Y38:Z38"/>
    <mergeCell ref="Q39:R39"/>
    <mergeCell ref="S39:T39"/>
    <mergeCell ref="U39:V39"/>
    <mergeCell ref="W39:X39"/>
    <mergeCell ref="Y39:Z39"/>
    <mergeCell ref="S40:T40"/>
    <mergeCell ref="U40:V40"/>
    <mergeCell ref="W40:X40"/>
    <mergeCell ref="Y40:Z40"/>
    <mergeCell ref="Q41:R41"/>
    <mergeCell ref="S41:T41"/>
    <mergeCell ref="U41:V41"/>
    <mergeCell ref="W41:X41"/>
    <mergeCell ref="Y41:Z41"/>
    <mergeCell ref="O40:P40"/>
    <mergeCell ref="Q40:R40"/>
    <mergeCell ref="O41:P41"/>
    <mergeCell ref="O37:P37"/>
    <mergeCell ref="Q37:R37"/>
    <mergeCell ref="O38:P38"/>
    <mergeCell ref="Q38:R38"/>
    <mergeCell ref="O39:P39"/>
  </mergeCells>
  <phoneticPr fontId="3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9F45-7778-4DC0-BA1C-553A965F37B3}">
  <dimension ref="B2:AH65"/>
  <sheetViews>
    <sheetView zoomScale="90" zoomScaleNormal="90" workbookViewId="0">
      <selection activeCell="G30" sqref="G30"/>
    </sheetView>
  </sheetViews>
  <sheetFormatPr defaultColWidth="9" defaultRowHeight="14" x14ac:dyDescent="0.3"/>
  <cols>
    <col min="1" max="3" width="9" style="25"/>
    <col min="4" max="4" width="12.08203125" style="25" bestFit="1" customWidth="1"/>
    <col min="5" max="5" width="19.5" style="25" customWidth="1"/>
    <col min="6" max="6" width="20.25" style="25" bestFit="1" customWidth="1"/>
    <col min="7" max="7" width="28.5" style="25" bestFit="1" customWidth="1"/>
    <col min="8" max="8" width="7.5" style="25" customWidth="1"/>
    <col min="9" max="9" width="29" style="25" bestFit="1" customWidth="1"/>
    <col min="10" max="10" width="7.83203125" style="25" customWidth="1"/>
    <col min="11" max="11" width="6.33203125" style="25" customWidth="1"/>
    <col min="12" max="12" width="15.83203125" style="37" customWidth="1"/>
    <col min="13" max="13" width="6.33203125" style="35" customWidth="1"/>
    <col min="14" max="15" width="6.5" style="36" customWidth="1"/>
    <col min="16" max="16" width="7.58203125" style="36" customWidth="1"/>
    <col min="17" max="17" width="6" style="25" bestFit="1" customWidth="1"/>
    <col min="18" max="18" width="6.75" style="25" customWidth="1"/>
    <col min="19" max="19" width="6" style="25" bestFit="1" customWidth="1"/>
    <col min="20" max="20" width="6.75" style="25" customWidth="1"/>
    <col min="21" max="21" width="6" style="25" bestFit="1" customWidth="1"/>
    <col min="22" max="22" width="6.75" style="25" customWidth="1"/>
    <col min="23" max="23" width="6" style="25" bestFit="1" customWidth="1"/>
    <col min="24" max="24" width="6.75" style="25" customWidth="1"/>
    <col min="25" max="25" width="6" style="25" bestFit="1" customWidth="1"/>
    <col min="26" max="26" width="6.75" style="25" customWidth="1"/>
    <col min="27" max="27" width="6" style="25" bestFit="1" customWidth="1"/>
    <col min="28" max="28" width="6.75" style="25" customWidth="1"/>
    <col min="29" max="29" width="5.75" style="25" customWidth="1"/>
    <col min="30" max="30" width="6.75" style="25" bestFit="1" customWidth="1"/>
    <col min="31" max="31" width="6" style="25" bestFit="1" customWidth="1"/>
    <col min="32" max="32" width="6.75" style="25" bestFit="1" customWidth="1"/>
    <col min="33" max="33" width="6.33203125" style="25" bestFit="1" customWidth="1"/>
    <col min="34" max="34" width="7.5" style="25" bestFit="1" customWidth="1"/>
    <col min="35" max="16384" width="9" style="25"/>
  </cols>
  <sheetData>
    <row r="2" spans="2:34" s="95" customFormat="1" ht="13" x14ac:dyDescent="0.25">
      <c r="B2" s="100" t="s">
        <v>1411</v>
      </c>
      <c r="M2" s="96"/>
      <c r="N2" s="101"/>
      <c r="O2" s="101"/>
    </row>
    <row r="3" spans="2:34" s="95" customFormat="1" ht="13" x14ac:dyDescent="0.3">
      <c r="L3" s="99" t="s">
        <v>1094</v>
      </c>
      <c r="M3" s="100"/>
      <c r="N3" s="101"/>
      <c r="O3" s="101"/>
    </row>
    <row r="4" spans="2:34" s="95" customFormat="1" ht="12.5" x14ac:dyDescent="0.25">
      <c r="L4" s="4"/>
      <c r="M4" s="263" t="s">
        <v>72</v>
      </c>
      <c r="N4" s="263" t="s">
        <v>172</v>
      </c>
      <c r="O4" s="358" t="s">
        <v>173</v>
      </c>
      <c r="P4" s="359"/>
      <c r="Q4" s="358" t="s">
        <v>174</v>
      </c>
      <c r="R4" s="359"/>
      <c r="S4" s="358" t="s">
        <v>103</v>
      </c>
      <c r="T4" s="359"/>
      <c r="U4" s="358" t="s">
        <v>175</v>
      </c>
      <c r="V4" s="359"/>
      <c r="W4" s="358" t="s">
        <v>74</v>
      </c>
      <c r="X4" s="359"/>
      <c r="Y4" s="358" t="s">
        <v>176</v>
      </c>
      <c r="Z4" s="359"/>
      <c r="AA4" s="358" t="s">
        <v>75</v>
      </c>
      <c r="AB4" s="359"/>
      <c r="AC4" s="358" t="s">
        <v>264</v>
      </c>
      <c r="AD4" s="359"/>
      <c r="AE4" s="358" t="s">
        <v>278</v>
      </c>
      <c r="AF4" s="359"/>
      <c r="AG4" s="358" t="s">
        <v>333</v>
      </c>
      <c r="AH4" s="359"/>
    </row>
    <row r="5" spans="2:34" s="95" customFormat="1" ht="13" x14ac:dyDescent="0.3">
      <c r="B5" s="4" t="s">
        <v>132</v>
      </c>
      <c r="C5" s="4" t="s">
        <v>494</v>
      </c>
      <c r="D5" s="9" t="s">
        <v>201</v>
      </c>
      <c r="E5" s="9" t="s">
        <v>1089</v>
      </c>
      <c r="F5" s="9" t="s">
        <v>1091</v>
      </c>
      <c r="G5" s="9" t="s">
        <v>1090</v>
      </c>
      <c r="H5" s="5"/>
      <c r="I5" s="103" t="s">
        <v>71</v>
      </c>
      <c r="L5" s="4"/>
      <c r="M5" s="263"/>
      <c r="N5" s="263"/>
      <c r="O5" s="263"/>
      <c r="P5" s="27"/>
      <c r="Q5" s="263"/>
      <c r="R5" s="27"/>
      <c r="S5" s="263"/>
      <c r="T5" s="27"/>
      <c r="U5" s="263"/>
      <c r="V5" s="27"/>
      <c r="W5" s="263"/>
      <c r="X5" s="27"/>
      <c r="Y5" s="263"/>
      <c r="Z5" s="27"/>
      <c r="AA5" s="263"/>
      <c r="AB5" s="27"/>
      <c r="AC5" s="263"/>
      <c r="AD5" s="27"/>
      <c r="AE5" s="263"/>
      <c r="AF5" s="27"/>
      <c r="AG5" s="263"/>
      <c r="AH5" s="27"/>
    </row>
    <row r="6" spans="2:34" s="95" customFormat="1" ht="14.25" customHeight="1" x14ac:dyDescent="0.25">
      <c r="B6" s="3">
        <v>22</v>
      </c>
      <c r="C6" s="3"/>
      <c r="D6" s="3"/>
      <c r="E6" s="3"/>
      <c r="F6" s="3"/>
      <c r="G6" s="3">
        <v>1</v>
      </c>
      <c r="H6" s="1"/>
      <c r="L6" s="354" t="s">
        <v>364</v>
      </c>
      <c r="M6" s="58" t="s">
        <v>372</v>
      </c>
      <c r="N6" s="55">
        <v>18.53</v>
      </c>
      <c r="O6" s="40">
        <v>17.46</v>
      </c>
      <c r="P6" s="47">
        <f>O6/N6*100</f>
        <v>94.225580140312999</v>
      </c>
      <c r="Q6" s="40">
        <v>18.05</v>
      </c>
      <c r="R6" s="47">
        <f>Q6/N6*100</f>
        <v>97.409606044252556</v>
      </c>
      <c r="S6" s="40">
        <v>17.86</v>
      </c>
      <c r="T6" s="47">
        <f>S6/N6*100</f>
        <v>96.384241770102534</v>
      </c>
      <c r="U6" s="40">
        <v>18.239999999999998</v>
      </c>
      <c r="V6" s="47">
        <f>U6/N6*100</f>
        <v>98.434970318402577</v>
      </c>
      <c r="W6" s="40">
        <v>18.329999999999998</v>
      </c>
      <c r="X6" s="47">
        <f>W6/N6*100</f>
        <v>98.920669185105211</v>
      </c>
      <c r="Y6" s="40">
        <v>18.36</v>
      </c>
      <c r="Z6" s="47">
        <f>Y6/N6*100</f>
        <v>99.082568807339442</v>
      </c>
      <c r="AA6" s="40">
        <v>18.75</v>
      </c>
      <c r="AB6" s="47">
        <f>AA6/N6*100</f>
        <v>101.18726389638424</v>
      </c>
      <c r="AC6" s="40">
        <v>19.010000000000002</v>
      </c>
      <c r="AD6" s="47">
        <f>AC6/N6*100</f>
        <v>102.59039395574744</v>
      </c>
      <c r="AE6" s="40">
        <v>18.54</v>
      </c>
      <c r="AF6" s="47">
        <f>AE6/N6*100</f>
        <v>100.05396654074472</v>
      </c>
      <c r="AG6" s="40">
        <v>18.600000000000001</v>
      </c>
      <c r="AH6" s="47">
        <f>AG6/N6*100</f>
        <v>100.37776578521319</v>
      </c>
    </row>
    <row r="7" spans="2:34" s="95" customFormat="1" ht="13" x14ac:dyDescent="0.3">
      <c r="B7" s="3">
        <v>24</v>
      </c>
      <c r="C7" s="3"/>
      <c r="D7" s="3"/>
      <c r="E7" s="3"/>
      <c r="F7" s="3">
        <v>1</v>
      </c>
      <c r="G7" s="3"/>
      <c r="H7" s="1"/>
      <c r="I7" s="7" t="s">
        <v>140</v>
      </c>
      <c r="J7" s="3"/>
      <c r="L7" s="354"/>
      <c r="M7" s="58" t="s">
        <v>373</v>
      </c>
      <c r="N7" s="55">
        <v>17.809999999999999</v>
      </c>
      <c r="O7" s="40">
        <v>17.66</v>
      </c>
      <c r="P7" s="47">
        <f t="shared" ref="P7:P30" si="0">O7/N7*100</f>
        <v>99.157776530039314</v>
      </c>
      <c r="Q7" s="40">
        <v>18.100000000000001</v>
      </c>
      <c r="R7" s="47">
        <f t="shared" ref="R7:R30" si="1">Q7/N7*100</f>
        <v>101.62829870859069</v>
      </c>
      <c r="S7" s="40">
        <v>18.46</v>
      </c>
      <c r="T7" s="47">
        <f t="shared" ref="T7:T30" si="2">S7/N7*100</f>
        <v>103.64963503649636</v>
      </c>
      <c r="U7" s="40">
        <v>19.079999999999998</v>
      </c>
      <c r="V7" s="47">
        <f t="shared" ref="V7:V30" si="3">U7/N7*100</f>
        <v>107.13082537900056</v>
      </c>
      <c r="W7" s="40">
        <v>19.02</v>
      </c>
      <c r="X7" s="47">
        <f t="shared" ref="X7:X30" si="4">W7/N7*100</f>
        <v>106.7939359910163</v>
      </c>
      <c r="Y7" s="40">
        <v>18.309999999999999</v>
      </c>
      <c r="Z7" s="47">
        <f t="shared" ref="Z7:Z30" si="5">Y7/N7*100</f>
        <v>102.80741156653565</v>
      </c>
      <c r="AA7" s="40">
        <v>18.41</v>
      </c>
      <c r="AB7" s="47">
        <f t="shared" ref="AB7:AB30" si="6">AA7/N7*100</f>
        <v>103.36889387984279</v>
      </c>
      <c r="AC7" s="40">
        <v>18.55</v>
      </c>
      <c r="AD7" s="47">
        <f t="shared" ref="AD7:AD30" si="7">AC7/N7*100</f>
        <v>104.15496911847278</v>
      </c>
      <c r="AE7" s="40">
        <v>18.32</v>
      </c>
      <c r="AF7" s="47">
        <f t="shared" ref="AF7:AF22" si="8">AE7/N7*100</f>
        <v>102.86355979786637</v>
      </c>
      <c r="AG7" s="40">
        <v>18.440000000000001</v>
      </c>
      <c r="AH7" s="47">
        <f t="shared" ref="AH7:AH22" si="9">AG7/N7*100</f>
        <v>103.53733857383493</v>
      </c>
    </row>
    <row r="8" spans="2:34" s="95" customFormat="1" ht="12.5" x14ac:dyDescent="0.25">
      <c r="B8" s="3">
        <v>29</v>
      </c>
      <c r="C8" s="3"/>
      <c r="D8" s="3"/>
      <c r="E8" s="3"/>
      <c r="F8" s="3"/>
      <c r="G8" s="3">
        <v>1</v>
      </c>
      <c r="H8" s="1"/>
      <c r="I8" s="2"/>
      <c r="J8" s="3"/>
      <c r="L8" s="354"/>
      <c r="M8" s="58" t="s">
        <v>374</v>
      </c>
      <c r="N8" s="55">
        <v>17.95</v>
      </c>
      <c r="O8" s="40">
        <v>17.34</v>
      </c>
      <c r="P8" s="47">
        <f t="shared" si="0"/>
        <v>96.601671309192199</v>
      </c>
      <c r="Q8" s="40">
        <v>17.510000000000002</v>
      </c>
      <c r="R8" s="47">
        <f t="shared" si="1"/>
        <v>97.548746518105872</v>
      </c>
      <c r="S8" s="40">
        <v>17.32</v>
      </c>
      <c r="T8" s="47">
        <f t="shared" si="2"/>
        <v>96.490250696378837</v>
      </c>
      <c r="U8" s="40">
        <v>18.010000000000002</v>
      </c>
      <c r="V8" s="47">
        <f t="shared" si="3"/>
        <v>100.33426183844011</v>
      </c>
      <c r="W8" s="40">
        <v>17.899999999999999</v>
      </c>
      <c r="X8" s="47">
        <f t="shared" si="4"/>
        <v>99.721448467966567</v>
      </c>
      <c r="Y8" s="40">
        <v>18.07</v>
      </c>
      <c r="Z8" s="47">
        <f t="shared" si="5"/>
        <v>100.66852367688024</v>
      </c>
      <c r="AA8" s="40">
        <v>18.75</v>
      </c>
      <c r="AB8" s="47">
        <f t="shared" si="6"/>
        <v>104.45682451253482</v>
      </c>
      <c r="AC8" s="40">
        <v>18.64</v>
      </c>
      <c r="AD8" s="47">
        <f t="shared" si="7"/>
        <v>103.84401114206131</v>
      </c>
      <c r="AE8" s="40">
        <v>18.420000000000002</v>
      </c>
      <c r="AF8" s="47">
        <f t="shared" si="8"/>
        <v>102.61838440111421</v>
      </c>
      <c r="AG8" s="40">
        <v>18.5</v>
      </c>
      <c r="AH8" s="47">
        <f t="shared" si="9"/>
        <v>103.06406685236769</v>
      </c>
    </row>
    <row r="9" spans="2:34" s="95" customFormat="1" ht="12.5" x14ac:dyDescent="0.25">
      <c r="B9" s="3">
        <v>35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1"/>
      <c r="I9" s="2" t="s">
        <v>141</v>
      </c>
      <c r="J9" s="3"/>
      <c r="L9" s="354"/>
      <c r="M9" s="58" t="s">
        <v>375</v>
      </c>
      <c r="N9" s="55">
        <v>17.63</v>
      </c>
      <c r="O9" s="40">
        <v>17.45</v>
      </c>
      <c r="P9" s="47">
        <f t="shared" si="0"/>
        <v>98.979013045944413</v>
      </c>
      <c r="Q9" s="40">
        <v>17.13</v>
      </c>
      <c r="R9" s="47">
        <f t="shared" si="1"/>
        <v>97.163925127623372</v>
      </c>
      <c r="S9" s="40">
        <v>17.28</v>
      </c>
      <c r="T9" s="47">
        <f t="shared" si="2"/>
        <v>98.014747589336366</v>
      </c>
      <c r="U9" s="40">
        <v>18.329999999999998</v>
      </c>
      <c r="V9" s="47">
        <f t="shared" si="3"/>
        <v>103.97050482132728</v>
      </c>
      <c r="W9" s="40">
        <v>18.16</v>
      </c>
      <c r="X9" s="47">
        <f t="shared" si="4"/>
        <v>103.00623936471925</v>
      </c>
      <c r="Y9" s="40">
        <v>18.16</v>
      </c>
      <c r="Z9" s="47">
        <f t="shared" si="5"/>
        <v>103.00623936471925</v>
      </c>
      <c r="AA9" s="40">
        <v>18.079999999999998</v>
      </c>
      <c r="AB9" s="47">
        <f t="shared" si="6"/>
        <v>102.55246738513897</v>
      </c>
      <c r="AC9" s="40">
        <v>17.940000000000001</v>
      </c>
      <c r="AD9" s="47">
        <f t="shared" si="7"/>
        <v>101.75836642087353</v>
      </c>
      <c r="AE9" s="40">
        <v>18.02</v>
      </c>
      <c r="AF9" s="47">
        <f t="shared" si="8"/>
        <v>102.21213840045378</v>
      </c>
      <c r="AG9" s="40">
        <v>18.170000000000002</v>
      </c>
      <c r="AH9" s="47">
        <f t="shared" si="9"/>
        <v>103.06296086216678</v>
      </c>
    </row>
    <row r="10" spans="2:34" s="95" customFormat="1" ht="12.5" x14ac:dyDescent="0.25">
      <c r="B10" s="3">
        <v>35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1"/>
      <c r="I10" s="2" t="s">
        <v>142</v>
      </c>
      <c r="J10" s="3">
        <v>3.919</v>
      </c>
      <c r="L10" s="354"/>
      <c r="M10" s="58" t="s">
        <v>376</v>
      </c>
      <c r="N10" s="55">
        <v>17.54</v>
      </c>
      <c r="O10" s="40">
        <v>17.260000000000002</v>
      </c>
      <c r="P10" s="47">
        <f t="shared" si="0"/>
        <v>98.403648802736626</v>
      </c>
      <c r="Q10" s="40">
        <v>17.21</v>
      </c>
      <c r="R10" s="47">
        <f t="shared" si="1"/>
        <v>98.11858608893958</v>
      </c>
      <c r="S10" s="40">
        <v>17.18</v>
      </c>
      <c r="T10" s="47">
        <f t="shared" si="2"/>
        <v>97.947548460661352</v>
      </c>
      <c r="U10" s="40">
        <v>17.88</v>
      </c>
      <c r="V10" s="47">
        <f t="shared" si="3"/>
        <v>101.93842645381983</v>
      </c>
      <c r="W10" s="40">
        <v>17.88</v>
      </c>
      <c r="X10" s="47">
        <f t="shared" si="4"/>
        <v>101.93842645381983</v>
      </c>
      <c r="Y10" s="40">
        <v>17.940000000000001</v>
      </c>
      <c r="Z10" s="47">
        <f t="shared" si="5"/>
        <v>102.2805017103763</v>
      </c>
      <c r="AA10" s="40">
        <v>18.21</v>
      </c>
      <c r="AB10" s="47">
        <f t="shared" si="6"/>
        <v>103.81984036488028</v>
      </c>
      <c r="AC10" s="40">
        <v>18.23</v>
      </c>
      <c r="AD10" s="47">
        <f t="shared" si="7"/>
        <v>103.93386545039908</v>
      </c>
      <c r="AE10" s="40">
        <v>18.66</v>
      </c>
      <c r="AF10" s="47">
        <f t="shared" si="8"/>
        <v>106.38540478905361</v>
      </c>
      <c r="AG10" s="40">
        <v>18.45</v>
      </c>
      <c r="AH10" s="47">
        <f t="shared" si="9"/>
        <v>105.18814139110604</v>
      </c>
    </row>
    <row r="11" spans="2:34" s="95" customFormat="1" ht="14.25" customHeight="1" x14ac:dyDescent="0.25">
      <c r="B11" s="3">
        <v>35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1"/>
      <c r="I11" s="2" t="s">
        <v>143</v>
      </c>
      <c r="J11" s="3">
        <v>3</v>
      </c>
      <c r="L11" s="366" t="s">
        <v>365</v>
      </c>
      <c r="M11" s="58" t="s">
        <v>377</v>
      </c>
      <c r="N11" s="55">
        <v>17.36</v>
      </c>
      <c r="O11" s="48">
        <v>16.28</v>
      </c>
      <c r="P11" s="47">
        <f t="shared" si="0"/>
        <v>93.778801843317979</v>
      </c>
      <c r="Q11" s="48">
        <v>15.83</v>
      </c>
      <c r="R11" s="47">
        <f t="shared" si="1"/>
        <v>91.18663594470047</v>
      </c>
      <c r="S11" s="48">
        <v>15.83</v>
      </c>
      <c r="T11" s="47">
        <f t="shared" si="2"/>
        <v>91.18663594470047</v>
      </c>
      <c r="U11" s="48">
        <v>16.579999999999998</v>
      </c>
      <c r="V11" s="47">
        <f t="shared" si="3"/>
        <v>95.506912442396313</v>
      </c>
      <c r="W11" s="40">
        <v>17.66</v>
      </c>
      <c r="X11" s="47">
        <f t="shared" si="4"/>
        <v>101.72811059907833</v>
      </c>
      <c r="Y11" s="40">
        <v>18.559999999999999</v>
      </c>
      <c r="Z11" s="47">
        <f t="shared" si="5"/>
        <v>106.91244239631337</v>
      </c>
      <c r="AA11" s="40">
        <v>18.21</v>
      </c>
      <c r="AB11" s="47">
        <f t="shared" si="6"/>
        <v>104.89631336405532</v>
      </c>
      <c r="AC11" s="40">
        <v>19.47</v>
      </c>
      <c r="AD11" s="47">
        <f t="shared" si="7"/>
        <v>112.15437788018431</v>
      </c>
      <c r="AE11" s="40">
        <v>18.920000000000002</v>
      </c>
      <c r="AF11" s="47">
        <f t="shared" si="8"/>
        <v>108.98617511520739</v>
      </c>
      <c r="AG11" s="40">
        <v>18.86</v>
      </c>
      <c r="AH11" s="47">
        <f t="shared" si="9"/>
        <v>108.6405529953917</v>
      </c>
    </row>
    <row r="12" spans="2:34" s="95" customFormat="1" ht="13" x14ac:dyDescent="0.3">
      <c r="B12" s="3">
        <v>35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1"/>
      <c r="I12" s="7" t="s">
        <v>47</v>
      </c>
      <c r="J12" s="8">
        <v>0.27029999999999998</v>
      </c>
      <c r="L12" s="366"/>
      <c r="M12" s="58" t="s">
        <v>378</v>
      </c>
      <c r="N12" s="55">
        <v>16.54</v>
      </c>
      <c r="O12" s="48">
        <v>15.66</v>
      </c>
      <c r="P12" s="47">
        <f t="shared" si="0"/>
        <v>94.679564691656594</v>
      </c>
      <c r="Q12" s="48">
        <v>14.25</v>
      </c>
      <c r="R12" s="47">
        <f t="shared" si="1"/>
        <v>86.154776299879089</v>
      </c>
      <c r="S12" s="48">
        <v>14.37</v>
      </c>
      <c r="T12" s="47">
        <f t="shared" si="2"/>
        <v>86.880290205562275</v>
      </c>
      <c r="U12" s="48">
        <v>15.24</v>
      </c>
      <c r="V12" s="47">
        <f t="shared" si="3"/>
        <v>92.140266021765427</v>
      </c>
      <c r="W12" s="48">
        <v>15.65</v>
      </c>
      <c r="X12" s="47">
        <f t="shared" si="4"/>
        <v>94.619105199516326</v>
      </c>
      <c r="Y12" s="48">
        <v>15.8</v>
      </c>
      <c r="Z12" s="47">
        <f t="shared" si="5"/>
        <v>95.525997581620331</v>
      </c>
      <c r="AA12" s="48">
        <v>16.34</v>
      </c>
      <c r="AB12" s="47">
        <f t="shared" si="6"/>
        <v>98.790810157194684</v>
      </c>
      <c r="AC12" s="40">
        <v>17.64</v>
      </c>
      <c r="AD12" s="47">
        <f t="shared" si="7"/>
        <v>106.65054413542927</v>
      </c>
      <c r="AE12" s="40">
        <v>17.850000000000001</v>
      </c>
      <c r="AF12" s="47">
        <f t="shared" si="8"/>
        <v>107.92019347037487</v>
      </c>
      <c r="AG12" s="40">
        <v>18.66</v>
      </c>
      <c r="AH12" s="47">
        <f t="shared" si="9"/>
        <v>112.81741233373641</v>
      </c>
    </row>
    <row r="13" spans="2:34" s="95" customFormat="1" ht="13" x14ac:dyDescent="0.3">
      <c r="B13" s="3">
        <v>35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1"/>
      <c r="I13" s="7" t="s">
        <v>49</v>
      </c>
      <c r="J13" s="8" t="s">
        <v>203</v>
      </c>
      <c r="L13" s="366"/>
      <c r="M13" s="58" t="s">
        <v>379</v>
      </c>
      <c r="N13" s="55">
        <v>16.87</v>
      </c>
      <c r="O13" s="48">
        <v>16.489999999999998</v>
      </c>
      <c r="P13" s="47">
        <f t="shared" si="0"/>
        <v>97.747480735032582</v>
      </c>
      <c r="Q13" s="48">
        <v>15.15</v>
      </c>
      <c r="R13" s="47">
        <f t="shared" si="1"/>
        <v>89.804386484884404</v>
      </c>
      <c r="S13" s="48">
        <v>15.28</v>
      </c>
      <c r="T13" s="47">
        <f t="shared" si="2"/>
        <v>90.5749851807943</v>
      </c>
      <c r="U13" s="48">
        <v>15.91</v>
      </c>
      <c r="V13" s="47">
        <f t="shared" si="3"/>
        <v>94.309425014819197</v>
      </c>
      <c r="W13" s="48">
        <v>16.84</v>
      </c>
      <c r="X13" s="47">
        <f t="shared" si="4"/>
        <v>99.822169531713087</v>
      </c>
      <c r="Y13" s="40">
        <v>17.38</v>
      </c>
      <c r="Z13" s="47">
        <f t="shared" si="5"/>
        <v>103.02311796087729</v>
      </c>
      <c r="AA13" s="40">
        <v>17.27</v>
      </c>
      <c r="AB13" s="47">
        <f t="shared" si="6"/>
        <v>102.37107291049199</v>
      </c>
      <c r="AC13" s="40">
        <v>18.149999999999999</v>
      </c>
      <c r="AD13" s="47">
        <f t="shared" si="7"/>
        <v>107.58743331357439</v>
      </c>
      <c r="AE13" s="40">
        <v>17.8</v>
      </c>
      <c r="AF13" s="47">
        <f t="shared" si="8"/>
        <v>105.5127445168939</v>
      </c>
      <c r="AG13" s="40">
        <v>18.16</v>
      </c>
      <c r="AH13" s="47">
        <f t="shared" si="9"/>
        <v>107.64671013633669</v>
      </c>
    </row>
    <row r="14" spans="2:34" s="95" customFormat="1" ht="12.5" x14ac:dyDescent="0.25">
      <c r="B14" s="3">
        <v>35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1"/>
      <c r="I14" s="2" t="s">
        <v>144</v>
      </c>
      <c r="J14" s="3" t="s">
        <v>204</v>
      </c>
      <c r="L14" s="366"/>
      <c r="M14" s="58" t="s">
        <v>380</v>
      </c>
      <c r="N14" s="55">
        <v>17.36</v>
      </c>
      <c r="O14" s="48">
        <v>15.55</v>
      </c>
      <c r="P14" s="47">
        <f t="shared" si="0"/>
        <v>89.573732718894021</v>
      </c>
      <c r="Q14" s="48">
        <v>14.58</v>
      </c>
      <c r="R14" s="47">
        <f t="shared" si="1"/>
        <v>83.986175115207374</v>
      </c>
      <c r="S14" s="48">
        <v>14.25</v>
      </c>
      <c r="T14" s="47">
        <f t="shared" si="2"/>
        <v>82.085253456221196</v>
      </c>
      <c r="U14" s="48">
        <v>14.45</v>
      </c>
      <c r="V14" s="47">
        <f t="shared" si="3"/>
        <v>83.237327188940085</v>
      </c>
      <c r="W14" s="48">
        <v>15.08</v>
      </c>
      <c r="X14" s="47">
        <f t="shared" si="4"/>
        <v>86.866359447004612</v>
      </c>
      <c r="Y14" s="48">
        <v>15.69</v>
      </c>
      <c r="Z14" s="47">
        <f t="shared" si="5"/>
        <v>90.380184331797224</v>
      </c>
      <c r="AA14" s="40">
        <v>17.02</v>
      </c>
      <c r="AB14" s="47">
        <f t="shared" si="6"/>
        <v>98.041474654377879</v>
      </c>
      <c r="AC14" s="40">
        <v>17.77</v>
      </c>
      <c r="AD14" s="47">
        <f t="shared" si="7"/>
        <v>102.36175115207374</v>
      </c>
      <c r="AE14" s="40">
        <v>18.07</v>
      </c>
      <c r="AF14" s="47">
        <f t="shared" si="8"/>
        <v>104.08986175115207</v>
      </c>
      <c r="AG14" s="40">
        <v>18.47</v>
      </c>
      <c r="AH14" s="47">
        <f t="shared" si="9"/>
        <v>106.39400921658986</v>
      </c>
    </row>
    <row r="15" spans="2:34" s="95" customFormat="1" ht="12.5" x14ac:dyDescent="0.25">
      <c r="B15" s="3">
        <v>35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1"/>
      <c r="I15" s="2"/>
      <c r="J15" s="3"/>
      <c r="L15" s="366"/>
      <c r="M15" s="58" t="s">
        <v>381</v>
      </c>
      <c r="N15" s="55">
        <v>17.100000000000001</v>
      </c>
      <c r="O15" s="48">
        <v>16.22</v>
      </c>
      <c r="P15" s="47">
        <f t="shared" si="0"/>
        <v>94.853801169590625</v>
      </c>
      <c r="Q15" s="48">
        <v>14.72</v>
      </c>
      <c r="R15" s="47">
        <f t="shared" si="1"/>
        <v>86.081871345029242</v>
      </c>
      <c r="S15" s="48">
        <v>15.2</v>
      </c>
      <c r="T15" s="47">
        <f t="shared" si="2"/>
        <v>88.888888888888872</v>
      </c>
      <c r="U15" s="48">
        <v>15.29</v>
      </c>
      <c r="V15" s="47">
        <f t="shared" si="3"/>
        <v>89.415204678362556</v>
      </c>
      <c r="W15" s="48">
        <v>15.42</v>
      </c>
      <c r="X15" s="47">
        <f t="shared" si="4"/>
        <v>90.175438596491219</v>
      </c>
      <c r="Y15" s="48">
        <v>15.09</v>
      </c>
      <c r="Z15" s="47">
        <f t="shared" si="5"/>
        <v>88.245614035087712</v>
      </c>
      <c r="AA15" s="48">
        <v>14.89</v>
      </c>
      <c r="AB15" s="47">
        <f t="shared" si="6"/>
        <v>87.076023391812868</v>
      </c>
      <c r="AC15" s="48">
        <v>13.91</v>
      </c>
      <c r="AD15" s="47">
        <f t="shared" si="7"/>
        <v>81.345029239766077</v>
      </c>
      <c r="AE15" s="48">
        <v>13.16</v>
      </c>
      <c r="AF15" s="50">
        <f t="shared" si="8"/>
        <v>76.959064327485365</v>
      </c>
      <c r="AG15" s="48">
        <v>12.89</v>
      </c>
      <c r="AH15" s="50">
        <f t="shared" si="9"/>
        <v>75.380116959064324</v>
      </c>
    </row>
    <row r="16" spans="2:34" s="95" customFormat="1" ht="14.25" customHeight="1" x14ac:dyDescent="0.25">
      <c r="B16" s="3">
        <v>35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1"/>
      <c r="I16" s="2" t="s">
        <v>145</v>
      </c>
      <c r="J16" s="3"/>
      <c r="L16" s="366" t="s">
        <v>862</v>
      </c>
      <c r="M16" s="58" t="s">
        <v>382</v>
      </c>
      <c r="N16" s="55">
        <v>19.21</v>
      </c>
      <c r="O16" s="40">
        <v>19.05</v>
      </c>
      <c r="P16" s="47">
        <f t="shared" si="0"/>
        <v>99.167100468505993</v>
      </c>
      <c r="Q16" s="40">
        <v>18.38</v>
      </c>
      <c r="R16" s="47">
        <f t="shared" si="1"/>
        <v>95.679333680374796</v>
      </c>
      <c r="S16" s="40">
        <v>18.760000000000002</v>
      </c>
      <c r="T16" s="47">
        <f t="shared" si="2"/>
        <v>97.657470067673088</v>
      </c>
      <c r="U16" s="40">
        <v>19.34</v>
      </c>
      <c r="V16" s="47">
        <f t="shared" si="3"/>
        <v>100.67673086933888</v>
      </c>
      <c r="W16" s="40">
        <v>19.52</v>
      </c>
      <c r="X16" s="47">
        <f t="shared" si="4"/>
        <v>101.61374284226964</v>
      </c>
      <c r="Y16" s="40">
        <v>19.32</v>
      </c>
      <c r="Z16" s="47">
        <f t="shared" si="5"/>
        <v>100.57261842790213</v>
      </c>
      <c r="AA16" s="40">
        <v>19.489999999999998</v>
      </c>
      <c r="AB16" s="47">
        <f t="shared" si="6"/>
        <v>101.45757418011452</v>
      </c>
      <c r="AC16" s="40">
        <v>20.39</v>
      </c>
      <c r="AD16" s="47">
        <f t="shared" si="7"/>
        <v>106.14263404476836</v>
      </c>
      <c r="AE16" s="40">
        <v>20.149999999999999</v>
      </c>
      <c r="AF16" s="47">
        <f t="shared" si="8"/>
        <v>104.89328474752733</v>
      </c>
      <c r="AG16" s="40">
        <v>20.11</v>
      </c>
      <c r="AH16" s="47">
        <f t="shared" si="9"/>
        <v>104.68505986465382</v>
      </c>
    </row>
    <row r="17" spans="2:34" s="95" customFormat="1" ht="12.5" x14ac:dyDescent="0.25">
      <c r="B17" s="3">
        <v>35</v>
      </c>
      <c r="C17" s="3">
        <v>0</v>
      </c>
      <c r="D17" s="3">
        <v>0</v>
      </c>
      <c r="E17" s="3">
        <v>0</v>
      </c>
      <c r="F17" s="3">
        <v>0</v>
      </c>
      <c r="G17" s="3"/>
      <c r="H17" s="1"/>
      <c r="I17" s="2" t="s">
        <v>142</v>
      </c>
      <c r="J17" s="3">
        <v>3.4649999999999999</v>
      </c>
      <c r="L17" s="366"/>
      <c r="M17" s="58" t="s">
        <v>383</v>
      </c>
      <c r="N17" s="55">
        <v>17.7</v>
      </c>
      <c r="O17" s="48">
        <v>16.75</v>
      </c>
      <c r="P17" s="47">
        <f t="shared" si="0"/>
        <v>94.632768361581924</v>
      </c>
      <c r="Q17" s="48">
        <v>15.36</v>
      </c>
      <c r="R17" s="47">
        <f t="shared" si="1"/>
        <v>86.779661016949149</v>
      </c>
      <c r="S17" s="48">
        <v>16.649999999999999</v>
      </c>
      <c r="T17" s="47">
        <f t="shared" si="2"/>
        <v>94.067796610169481</v>
      </c>
      <c r="U17" s="48">
        <v>16.559999999999999</v>
      </c>
      <c r="V17" s="47">
        <f t="shared" si="3"/>
        <v>93.559322033898312</v>
      </c>
      <c r="W17" s="40">
        <v>17.07</v>
      </c>
      <c r="X17" s="47">
        <f t="shared" si="4"/>
        <v>96.440677966101703</v>
      </c>
      <c r="Y17" s="48">
        <v>16.920000000000002</v>
      </c>
      <c r="Z17" s="47">
        <f t="shared" si="5"/>
        <v>95.593220338983059</v>
      </c>
      <c r="AA17" s="48">
        <v>14.37</v>
      </c>
      <c r="AB17" s="47">
        <f t="shared" si="6"/>
        <v>81.186440677966104</v>
      </c>
      <c r="AC17" s="40">
        <v>17.170000000000002</v>
      </c>
      <c r="AD17" s="47">
        <f t="shared" si="7"/>
        <v>97.005649717514146</v>
      </c>
      <c r="AE17" s="40">
        <v>17.8</v>
      </c>
      <c r="AF17" s="47">
        <f t="shared" si="8"/>
        <v>100.56497175141243</v>
      </c>
      <c r="AG17" s="40">
        <v>17.43</v>
      </c>
      <c r="AH17" s="47">
        <f t="shared" si="9"/>
        <v>98.474576271186436</v>
      </c>
    </row>
    <row r="18" spans="2:34" s="95" customFormat="1" ht="12.5" x14ac:dyDescent="0.25">
      <c r="B18" s="3">
        <v>35</v>
      </c>
      <c r="C18" s="3">
        <v>0</v>
      </c>
      <c r="D18" s="3">
        <v>0</v>
      </c>
      <c r="E18" s="3">
        <v>0</v>
      </c>
      <c r="F18" s="3"/>
      <c r="G18" s="3"/>
      <c r="H18" s="1"/>
      <c r="I18" s="2" t="s">
        <v>143</v>
      </c>
      <c r="J18" s="3">
        <v>1</v>
      </c>
      <c r="L18" s="366"/>
      <c r="M18" s="58" t="s">
        <v>384</v>
      </c>
      <c r="N18" s="55">
        <v>18.57</v>
      </c>
      <c r="O18" s="40">
        <v>17.260000000000002</v>
      </c>
      <c r="P18" s="47">
        <f t="shared" si="0"/>
        <v>92.945611200861606</v>
      </c>
      <c r="Q18" s="48">
        <v>16.59</v>
      </c>
      <c r="R18" s="47">
        <f t="shared" si="1"/>
        <v>89.337641357027465</v>
      </c>
      <c r="S18" s="40">
        <v>17.100000000000001</v>
      </c>
      <c r="T18" s="47">
        <f t="shared" si="2"/>
        <v>92.084006462035546</v>
      </c>
      <c r="U18" s="40">
        <v>18.54</v>
      </c>
      <c r="V18" s="47">
        <f t="shared" si="3"/>
        <v>99.838449111470112</v>
      </c>
      <c r="W18" s="40">
        <v>17.8</v>
      </c>
      <c r="X18" s="47">
        <f t="shared" si="4"/>
        <v>95.853527194399561</v>
      </c>
      <c r="Y18" s="40">
        <v>17.940000000000001</v>
      </c>
      <c r="Z18" s="47">
        <f t="shared" si="5"/>
        <v>96.607431340872381</v>
      </c>
      <c r="AA18" s="40">
        <v>18.21</v>
      </c>
      <c r="AB18" s="47">
        <f t="shared" si="6"/>
        <v>98.061389337641359</v>
      </c>
      <c r="AC18" s="40">
        <v>19.22</v>
      </c>
      <c r="AD18" s="47">
        <f t="shared" si="7"/>
        <v>103.50026925148089</v>
      </c>
      <c r="AE18" s="40">
        <v>18.98</v>
      </c>
      <c r="AF18" s="47">
        <f t="shared" si="8"/>
        <v>102.20786214324178</v>
      </c>
      <c r="AG18" s="40">
        <v>19.57</v>
      </c>
      <c r="AH18" s="47">
        <f t="shared" si="9"/>
        <v>105.38502961766289</v>
      </c>
    </row>
    <row r="19" spans="2:34" s="95" customFormat="1" ht="12.5" x14ac:dyDescent="0.25">
      <c r="B19" s="95" t="s">
        <v>170</v>
      </c>
      <c r="F19" s="1"/>
      <c r="G19" s="1"/>
      <c r="H19" s="1"/>
      <c r="I19" s="2" t="s">
        <v>47</v>
      </c>
      <c r="J19" s="3">
        <v>6.2700000000000006E-2</v>
      </c>
      <c r="L19" s="366"/>
      <c r="M19" s="58" t="s">
        <v>385</v>
      </c>
      <c r="N19" s="55">
        <v>18.47</v>
      </c>
      <c r="O19" s="40">
        <v>18.309999999999999</v>
      </c>
      <c r="P19" s="47">
        <f t="shared" si="0"/>
        <v>99.133730373578771</v>
      </c>
      <c r="Q19" s="40">
        <v>17.13</v>
      </c>
      <c r="R19" s="47">
        <f t="shared" si="1"/>
        <v>92.744991878722246</v>
      </c>
      <c r="S19" s="40">
        <v>17.16</v>
      </c>
      <c r="T19" s="47">
        <f t="shared" si="2"/>
        <v>92.907417433676244</v>
      </c>
      <c r="U19" s="40">
        <v>17.46</v>
      </c>
      <c r="V19" s="47">
        <f t="shared" si="3"/>
        <v>94.531672983216041</v>
      </c>
      <c r="W19" s="40">
        <v>17.36</v>
      </c>
      <c r="X19" s="47">
        <f t="shared" si="4"/>
        <v>93.990254466702766</v>
      </c>
      <c r="Y19" s="48">
        <v>16.18</v>
      </c>
      <c r="Z19" s="47">
        <f t="shared" si="5"/>
        <v>87.60151597184624</v>
      </c>
      <c r="AA19" s="48">
        <v>13.38</v>
      </c>
      <c r="AB19" s="50">
        <f t="shared" si="6"/>
        <v>72.441797509474839</v>
      </c>
      <c r="AC19" s="48">
        <v>13.73</v>
      </c>
      <c r="AD19" s="50">
        <f t="shared" si="7"/>
        <v>74.336762317271251</v>
      </c>
      <c r="AE19" s="48">
        <v>12.87</v>
      </c>
      <c r="AF19" s="50">
        <f t="shared" si="8"/>
        <v>69.680563075257169</v>
      </c>
      <c r="AG19" s="48">
        <v>12.38</v>
      </c>
      <c r="AH19" s="50">
        <f t="shared" si="9"/>
        <v>67.027612344342174</v>
      </c>
    </row>
    <row r="20" spans="2:34" s="95" customFormat="1" ht="12.5" x14ac:dyDescent="0.25">
      <c r="F20" s="1"/>
      <c r="G20" s="1"/>
      <c r="H20" s="1"/>
      <c r="I20" s="2" t="s">
        <v>49</v>
      </c>
      <c r="J20" s="3" t="s">
        <v>203</v>
      </c>
      <c r="L20" s="366"/>
      <c r="M20" s="58" t="s">
        <v>386</v>
      </c>
      <c r="N20" s="55">
        <v>17.71</v>
      </c>
      <c r="O20" s="48">
        <v>16.2</v>
      </c>
      <c r="P20" s="47">
        <f t="shared" si="0"/>
        <v>91.473743647656676</v>
      </c>
      <c r="Q20" s="48">
        <v>15.4</v>
      </c>
      <c r="R20" s="47">
        <f t="shared" si="1"/>
        <v>86.956521739130437</v>
      </c>
      <c r="S20" s="48">
        <v>15.92</v>
      </c>
      <c r="T20" s="47">
        <f t="shared" si="2"/>
        <v>89.892715979672502</v>
      </c>
      <c r="U20" s="48">
        <v>16.54</v>
      </c>
      <c r="V20" s="47">
        <f t="shared" si="3"/>
        <v>93.393562958780336</v>
      </c>
      <c r="W20" s="48">
        <v>16.86</v>
      </c>
      <c r="X20" s="47">
        <f t="shared" si="4"/>
        <v>95.200451722190849</v>
      </c>
      <c r="Y20" s="48">
        <v>16.829999999999998</v>
      </c>
      <c r="Z20" s="47">
        <f t="shared" si="5"/>
        <v>95.031055900621112</v>
      </c>
      <c r="AA20" s="48">
        <v>16.25</v>
      </c>
      <c r="AB20" s="47">
        <f t="shared" si="6"/>
        <v>91.756070016939574</v>
      </c>
      <c r="AC20" s="48">
        <v>15.12</v>
      </c>
      <c r="AD20" s="47">
        <f t="shared" si="7"/>
        <v>85.375494071146235</v>
      </c>
      <c r="AE20" s="48">
        <v>13.48</v>
      </c>
      <c r="AF20" s="50">
        <f t="shared" si="8"/>
        <v>76.11518915866742</v>
      </c>
      <c r="AG20" s="48">
        <v>12.94</v>
      </c>
      <c r="AH20" s="50">
        <f t="shared" si="9"/>
        <v>73.066064370412192</v>
      </c>
    </row>
    <row r="21" spans="2:34" s="95" customFormat="1" ht="14.25" customHeight="1" x14ac:dyDescent="0.25">
      <c r="F21" s="1"/>
      <c r="G21" s="1"/>
      <c r="H21" s="1"/>
      <c r="I21" s="2" t="s">
        <v>147</v>
      </c>
      <c r="J21" s="3" t="s">
        <v>204</v>
      </c>
      <c r="L21" s="366" t="s">
        <v>863</v>
      </c>
      <c r="M21" s="58" t="s">
        <v>387</v>
      </c>
      <c r="N21" s="55">
        <v>17.059999999999999</v>
      </c>
      <c r="O21" s="40">
        <v>17.260000000000002</v>
      </c>
      <c r="P21" s="47">
        <f t="shared" si="0"/>
        <v>101.1723329425557</v>
      </c>
      <c r="Q21" s="48">
        <v>16.23</v>
      </c>
      <c r="R21" s="47">
        <f t="shared" si="1"/>
        <v>95.134818288393916</v>
      </c>
      <c r="S21" s="48">
        <v>16.260000000000002</v>
      </c>
      <c r="T21" s="47">
        <f t="shared" si="2"/>
        <v>95.310668229777278</v>
      </c>
      <c r="U21" s="40">
        <v>17.489999999999998</v>
      </c>
      <c r="V21" s="47">
        <f t="shared" si="3"/>
        <v>102.52051582649473</v>
      </c>
      <c r="W21" s="40">
        <v>17.12</v>
      </c>
      <c r="X21" s="47">
        <f t="shared" si="4"/>
        <v>100.35169988276671</v>
      </c>
      <c r="Y21" s="40">
        <v>17.98</v>
      </c>
      <c r="Z21" s="47">
        <f t="shared" si="5"/>
        <v>105.39273153575617</v>
      </c>
      <c r="AA21" s="40">
        <v>17.16</v>
      </c>
      <c r="AB21" s="47">
        <f t="shared" si="6"/>
        <v>100.58616647127785</v>
      </c>
      <c r="AC21" s="40">
        <v>18.149999999999999</v>
      </c>
      <c r="AD21" s="47">
        <f t="shared" si="7"/>
        <v>106.38921453692849</v>
      </c>
      <c r="AE21" s="40">
        <v>18.16</v>
      </c>
      <c r="AF21" s="47">
        <f t="shared" si="8"/>
        <v>106.44783118405627</v>
      </c>
      <c r="AG21" s="40">
        <v>18.32</v>
      </c>
      <c r="AH21" s="47">
        <f t="shared" si="9"/>
        <v>107.38569753810083</v>
      </c>
    </row>
    <row r="22" spans="2:34" s="95" customFormat="1" ht="12.5" x14ac:dyDescent="0.25">
      <c r="F22" s="1"/>
      <c r="G22" s="1"/>
      <c r="H22" s="1"/>
      <c r="I22" s="1"/>
      <c r="J22" s="1"/>
      <c r="L22" s="366"/>
      <c r="M22" s="58" t="s">
        <v>388</v>
      </c>
      <c r="N22" s="55">
        <v>16.72</v>
      </c>
      <c r="O22" s="48">
        <v>16.2</v>
      </c>
      <c r="P22" s="47">
        <f t="shared" si="0"/>
        <v>96.889952153110045</v>
      </c>
      <c r="Q22" s="48">
        <v>14.56</v>
      </c>
      <c r="R22" s="47">
        <f t="shared" si="1"/>
        <v>87.081339712918677</v>
      </c>
      <c r="S22" s="48">
        <v>14.93</v>
      </c>
      <c r="T22" s="47">
        <f t="shared" si="2"/>
        <v>89.29425837320575</v>
      </c>
      <c r="U22" s="48">
        <v>15.23</v>
      </c>
      <c r="V22" s="47">
        <f t="shared" si="3"/>
        <v>91.0885167464115</v>
      </c>
      <c r="W22" s="48">
        <v>16.13</v>
      </c>
      <c r="X22" s="47">
        <f t="shared" si="4"/>
        <v>96.471291866028707</v>
      </c>
      <c r="Y22" s="48">
        <v>16.850000000000001</v>
      </c>
      <c r="Z22" s="47">
        <f t="shared" si="5"/>
        <v>100.77751196172251</v>
      </c>
      <c r="AA22" s="48">
        <v>16.43</v>
      </c>
      <c r="AB22" s="47">
        <f t="shared" si="6"/>
        <v>98.265550239234457</v>
      </c>
      <c r="AC22" s="48">
        <v>16.38</v>
      </c>
      <c r="AD22" s="47">
        <f t="shared" si="7"/>
        <v>97.966507177033492</v>
      </c>
      <c r="AE22" s="48">
        <v>15.11</v>
      </c>
      <c r="AF22" s="47">
        <f t="shared" si="8"/>
        <v>90.370813397129197</v>
      </c>
      <c r="AG22" s="48">
        <v>13.19</v>
      </c>
      <c r="AH22" s="50">
        <f t="shared" si="9"/>
        <v>78.887559808612437</v>
      </c>
    </row>
    <row r="23" spans="2:34" s="95" customFormat="1" ht="13" x14ac:dyDescent="0.3">
      <c r="F23" s="1"/>
      <c r="G23" s="1"/>
      <c r="H23" s="1"/>
      <c r="I23" s="1"/>
      <c r="J23" s="1"/>
      <c r="L23" s="366"/>
      <c r="M23" s="58" t="s">
        <v>389</v>
      </c>
      <c r="N23" s="55">
        <v>17.39</v>
      </c>
      <c r="O23" s="48">
        <v>16.61</v>
      </c>
      <c r="P23" s="47">
        <f t="shared" si="0"/>
        <v>95.514663599769975</v>
      </c>
      <c r="Q23" s="48">
        <v>15.1</v>
      </c>
      <c r="R23" s="47">
        <f t="shared" si="1"/>
        <v>86.831512363427251</v>
      </c>
      <c r="S23" s="48">
        <v>15.4</v>
      </c>
      <c r="T23" s="47">
        <f t="shared" si="2"/>
        <v>88.556641748131099</v>
      </c>
      <c r="U23" s="48">
        <v>14.99</v>
      </c>
      <c r="V23" s="47">
        <f t="shared" si="3"/>
        <v>86.198964922369186</v>
      </c>
      <c r="W23" s="48">
        <v>15.83</v>
      </c>
      <c r="X23" s="47">
        <f t="shared" si="4"/>
        <v>91.029327199539964</v>
      </c>
      <c r="Y23" s="48">
        <v>14.88</v>
      </c>
      <c r="Z23" s="47">
        <f t="shared" si="5"/>
        <v>85.566417481311092</v>
      </c>
      <c r="AA23" s="48">
        <v>14.21</v>
      </c>
      <c r="AB23" s="47">
        <f t="shared" si="6"/>
        <v>81.71362852213916</v>
      </c>
      <c r="AC23" s="48">
        <v>14.04</v>
      </c>
      <c r="AD23" s="47">
        <f t="shared" si="7"/>
        <v>80.7360552041403</v>
      </c>
      <c r="AE23" s="49" t="s">
        <v>290</v>
      </c>
      <c r="AF23" s="54"/>
      <c r="AG23" s="48"/>
      <c r="AH23" s="54"/>
    </row>
    <row r="24" spans="2:34" s="95" customFormat="1" ht="12.5" x14ac:dyDescent="0.25">
      <c r="F24" s="1"/>
      <c r="G24" s="1"/>
      <c r="H24" s="1"/>
      <c r="L24" s="366"/>
      <c r="M24" s="58" t="s">
        <v>390</v>
      </c>
      <c r="N24" s="55">
        <v>18.2</v>
      </c>
      <c r="O24" s="40">
        <v>17.03</v>
      </c>
      <c r="P24" s="47">
        <f t="shared" si="0"/>
        <v>93.571428571428584</v>
      </c>
      <c r="Q24" s="48">
        <v>16.100000000000001</v>
      </c>
      <c r="R24" s="47">
        <f t="shared" si="1"/>
        <v>88.461538461538467</v>
      </c>
      <c r="S24" s="48">
        <v>15.54</v>
      </c>
      <c r="T24" s="47">
        <f t="shared" si="2"/>
        <v>85.384615384615387</v>
      </c>
      <c r="U24" s="48">
        <v>14.58</v>
      </c>
      <c r="V24" s="47">
        <f t="shared" si="3"/>
        <v>80.109890109890117</v>
      </c>
      <c r="W24" s="48">
        <v>15.02</v>
      </c>
      <c r="X24" s="47">
        <f t="shared" si="4"/>
        <v>82.527472527472526</v>
      </c>
      <c r="Y24" s="48">
        <v>14.28</v>
      </c>
      <c r="Z24" s="47">
        <f t="shared" si="5"/>
        <v>78.461538461538467</v>
      </c>
      <c r="AA24" s="48">
        <v>14.22</v>
      </c>
      <c r="AB24" s="50">
        <f t="shared" si="6"/>
        <v>78.131868131868146</v>
      </c>
      <c r="AC24" s="48">
        <v>14.42</v>
      </c>
      <c r="AD24" s="50">
        <f t="shared" si="7"/>
        <v>79.230769230769241</v>
      </c>
      <c r="AE24" s="48">
        <v>13.62</v>
      </c>
      <c r="AF24" s="50">
        <f t="shared" ref="AF24:AF30" si="10">AE24/N24*100</f>
        <v>74.835164835164832</v>
      </c>
      <c r="AG24" s="48">
        <v>13.22</v>
      </c>
      <c r="AH24" s="50">
        <f t="shared" ref="AH24:AH27" si="11">AG24/N24*100</f>
        <v>72.637362637362642</v>
      </c>
    </row>
    <row r="25" spans="2:34" s="95" customFormat="1" ht="12.5" x14ac:dyDescent="0.25">
      <c r="F25" s="1"/>
      <c r="G25" s="1"/>
      <c r="H25" s="1"/>
      <c r="L25" s="366"/>
      <c r="M25" s="58" t="s">
        <v>391</v>
      </c>
      <c r="N25" s="55">
        <v>18.73</v>
      </c>
      <c r="O25" s="40">
        <v>17.920000000000002</v>
      </c>
      <c r="P25" s="47">
        <f t="shared" si="0"/>
        <v>95.675387079551527</v>
      </c>
      <c r="Q25" s="48">
        <v>16.84</v>
      </c>
      <c r="R25" s="47">
        <f t="shared" si="1"/>
        <v>89.909236518953549</v>
      </c>
      <c r="S25" s="40">
        <v>17.079999999999998</v>
      </c>
      <c r="T25" s="47">
        <f t="shared" si="2"/>
        <v>91.190603310197531</v>
      </c>
      <c r="U25" s="40">
        <v>17.690000000000001</v>
      </c>
      <c r="V25" s="47">
        <f t="shared" si="3"/>
        <v>94.447410571276038</v>
      </c>
      <c r="W25" s="40">
        <v>18.61</v>
      </c>
      <c r="X25" s="47">
        <f t="shared" si="4"/>
        <v>99.359316604377995</v>
      </c>
      <c r="Y25" s="40">
        <v>19.39</v>
      </c>
      <c r="Z25" s="47">
        <f t="shared" si="5"/>
        <v>103.52375867592099</v>
      </c>
      <c r="AA25" s="40">
        <v>18.71</v>
      </c>
      <c r="AB25" s="47">
        <f t="shared" si="6"/>
        <v>99.893219434063013</v>
      </c>
      <c r="AC25" s="40">
        <v>19.47</v>
      </c>
      <c r="AD25" s="47">
        <f t="shared" si="7"/>
        <v>103.95088093966898</v>
      </c>
      <c r="AE25" s="40">
        <v>19.100000000000001</v>
      </c>
      <c r="AF25" s="47">
        <f t="shared" si="10"/>
        <v>101.9754404698345</v>
      </c>
      <c r="AG25" s="40">
        <v>19.82</v>
      </c>
      <c r="AH25" s="47">
        <f t="shared" si="11"/>
        <v>105.81954084356646</v>
      </c>
    </row>
    <row r="26" spans="2:34" s="95" customFormat="1" ht="14.25" customHeight="1" x14ac:dyDescent="0.25">
      <c r="H26" s="1"/>
      <c r="L26" s="354" t="s">
        <v>864</v>
      </c>
      <c r="M26" s="58" t="s">
        <v>392</v>
      </c>
      <c r="N26" s="55">
        <v>18.34</v>
      </c>
      <c r="O26" s="40">
        <v>18.079999999999998</v>
      </c>
      <c r="P26" s="47">
        <f t="shared" si="0"/>
        <v>98.582333696837509</v>
      </c>
      <c r="Q26" s="40">
        <v>17.07</v>
      </c>
      <c r="R26" s="47">
        <f t="shared" si="1"/>
        <v>93.075245365321706</v>
      </c>
      <c r="S26" s="40">
        <v>17.57</v>
      </c>
      <c r="T26" s="47">
        <f t="shared" si="2"/>
        <v>95.801526717557252</v>
      </c>
      <c r="U26" s="40">
        <v>18.48</v>
      </c>
      <c r="V26" s="47">
        <f t="shared" si="3"/>
        <v>100.76335877862597</v>
      </c>
      <c r="W26" s="40">
        <v>18.73</v>
      </c>
      <c r="X26" s="47">
        <f t="shared" si="4"/>
        <v>102.12649945474372</v>
      </c>
      <c r="Y26" s="40">
        <v>18.72</v>
      </c>
      <c r="Z26" s="47">
        <f t="shared" si="5"/>
        <v>102.07197382769901</v>
      </c>
      <c r="AA26" s="40">
        <v>18.98</v>
      </c>
      <c r="AB26" s="47">
        <f t="shared" si="6"/>
        <v>103.4896401308615</v>
      </c>
      <c r="AC26" s="40">
        <v>19.8</v>
      </c>
      <c r="AD26" s="47">
        <f t="shared" si="7"/>
        <v>107.96074154852782</v>
      </c>
      <c r="AE26" s="40">
        <v>19.54</v>
      </c>
      <c r="AF26" s="47">
        <f t="shared" si="10"/>
        <v>106.54307524536533</v>
      </c>
      <c r="AG26" s="40">
        <v>19.66</v>
      </c>
      <c r="AH26" s="47">
        <f t="shared" si="11"/>
        <v>107.19738276990185</v>
      </c>
    </row>
    <row r="27" spans="2:34" s="95" customFormat="1" ht="12.5" x14ac:dyDescent="0.25">
      <c r="H27" s="1"/>
      <c r="L27" s="354"/>
      <c r="M27" s="58" t="s">
        <v>393</v>
      </c>
      <c r="N27" s="55">
        <v>18.350000000000001</v>
      </c>
      <c r="O27" s="40">
        <v>17.899999999999999</v>
      </c>
      <c r="P27" s="47">
        <f t="shared" si="0"/>
        <v>97.547683923705705</v>
      </c>
      <c r="Q27" s="48">
        <v>16.22</v>
      </c>
      <c r="R27" s="47">
        <f t="shared" si="1"/>
        <v>88.392370572207071</v>
      </c>
      <c r="S27" s="48">
        <v>16.940000000000001</v>
      </c>
      <c r="T27" s="47">
        <f t="shared" si="2"/>
        <v>92.31607629427792</v>
      </c>
      <c r="U27" s="40">
        <v>18.52</v>
      </c>
      <c r="V27" s="47">
        <f t="shared" si="3"/>
        <v>100.92643051771115</v>
      </c>
      <c r="W27" s="40">
        <v>18.39</v>
      </c>
      <c r="X27" s="47">
        <f t="shared" si="4"/>
        <v>100.21798365122616</v>
      </c>
      <c r="Y27" s="40">
        <v>18.59</v>
      </c>
      <c r="Z27" s="47">
        <f t="shared" si="5"/>
        <v>101.30790190735695</v>
      </c>
      <c r="AA27" s="40">
        <v>18.7</v>
      </c>
      <c r="AB27" s="47">
        <f t="shared" si="6"/>
        <v>101.90735694822888</v>
      </c>
      <c r="AC27" s="40">
        <v>19.34</v>
      </c>
      <c r="AD27" s="47">
        <f t="shared" si="7"/>
        <v>105.39509536784742</v>
      </c>
      <c r="AE27" s="40">
        <v>19.45</v>
      </c>
      <c r="AF27" s="47">
        <f t="shared" si="10"/>
        <v>105.99455040871932</v>
      </c>
      <c r="AG27" s="40">
        <v>20.329999999999998</v>
      </c>
      <c r="AH27" s="47">
        <f t="shared" si="11"/>
        <v>110.79019073569481</v>
      </c>
    </row>
    <row r="28" spans="2:34" s="95" customFormat="1" ht="13" x14ac:dyDescent="0.3">
      <c r="H28" s="1"/>
      <c r="L28" s="354"/>
      <c r="M28" s="58" t="s">
        <v>283</v>
      </c>
      <c r="N28" s="55">
        <v>17.72</v>
      </c>
      <c r="O28" s="40">
        <v>17.149999999999999</v>
      </c>
      <c r="P28" s="47">
        <f t="shared" si="0"/>
        <v>96.783295711060944</v>
      </c>
      <c r="Q28" s="48">
        <v>16.34</v>
      </c>
      <c r="R28" s="47">
        <f t="shared" si="1"/>
        <v>92.212189616252829</v>
      </c>
      <c r="S28" s="48">
        <v>16.11</v>
      </c>
      <c r="T28" s="47">
        <f t="shared" si="2"/>
        <v>90.914221218961629</v>
      </c>
      <c r="U28" s="48">
        <v>16.91</v>
      </c>
      <c r="V28" s="47">
        <f t="shared" si="3"/>
        <v>95.428893905191885</v>
      </c>
      <c r="W28" s="40">
        <v>17.29</v>
      </c>
      <c r="X28" s="47">
        <f t="shared" si="4"/>
        <v>97.573363431151236</v>
      </c>
      <c r="Y28" s="40">
        <v>17.32</v>
      </c>
      <c r="Z28" s="47">
        <f t="shared" si="5"/>
        <v>97.742663656884886</v>
      </c>
      <c r="AA28" s="48">
        <v>15.47</v>
      </c>
      <c r="AB28" s="47">
        <f t="shared" si="6"/>
        <v>87.302483069977427</v>
      </c>
      <c r="AC28" s="48">
        <v>15.44</v>
      </c>
      <c r="AD28" s="47">
        <f t="shared" si="7"/>
        <v>87.133182844243791</v>
      </c>
      <c r="AE28" s="48">
        <v>14.06</v>
      </c>
      <c r="AF28" s="50">
        <f t="shared" si="10"/>
        <v>79.34537246049662</v>
      </c>
      <c r="AG28" s="49" t="s">
        <v>394</v>
      </c>
      <c r="AH28" s="54"/>
    </row>
    <row r="29" spans="2:34" s="95" customFormat="1" ht="12.5" x14ac:dyDescent="0.25">
      <c r="H29" s="1"/>
      <c r="L29" s="354"/>
      <c r="M29" s="58" t="s">
        <v>395</v>
      </c>
      <c r="N29" s="55">
        <v>16.62</v>
      </c>
      <c r="O29" s="48">
        <v>16.66</v>
      </c>
      <c r="P29" s="47">
        <f t="shared" si="0"/>
        <v>100.24067388688327</v>
      </c>
      <c r="Q29" s="48">
        <v>15.6</v>
      </c>
      <c r="R29" s="47">
        <f t="shared" si="1"/>
        <v>93.862815884476518</v>
      </c>
      <c r="S29" s="48">
        <v>15.81</v>
      </c>
      <c r="T29" s="47">
        <f t="shared" si="2"/>
        <v>95.12635379061372</v>
      </c>
      <c r="U29" s="48">
        <v>16.600000000000001</v>
      </c>
      <c r="V29" s="47">
        <f t="shared" si="3"/>
        <v>99.879663056558371</v>
      </c>
      <c r="W29" s="48">
        <v>16.27</v>
      </c>
      <c r="X29" s="47">
        <f t="shared" si="4"/>
        <v>97.894103489771354</v>
      </c>
      <c r="Y29" s="40">
        <v>17.7</v>
      </c>
      <c r="Z29" s="47">
        <f t="shared" si="5"/>
        <v>106.49819494584835</v>
      </c>
      <c r="AA29" s="40">
        <v>18.11</v>
      </c>
      <c r="AB29" s="47">
        <f t="shared" si="6"/>
        <v>108.9651022864019</v>
      </c>
      <c r="AC29" s="40">
        <v>18.22</v>
      </c>
      <c r="AD29" s="47">
        <f t="shared" si="7"/>
        <v>109.62695547533092</v>
      </c>
      <c r="AE29" s="40">
        <v>18.329999999999998</v>
      </c>
      <c r="AF29" s="47">
        <f t="shared" si="10"/>
        <v>110.28880866425992</v>
      </c>
      <c r="AG29" s="40">
        <v>18.309999999999999</v>
      </c>
      <c r="AH29" s="47">
        <f t="shared" ref="AH29:AH30" si="12">AG29/N29*100</f>
        <v>110.16847172081827</v>
      </c>
    </row>
    <row r="30" spans="2:34" s="95" customFormat="1" ht="12.5" x14ac:dyDescent="0.25">
      <c r="H30" s="1"/>
      <c r="L30" s="354"/>
      <c r="M30" s="58" t="s">
        <v>396</v>
      </c>
      <c r="N30" s="55">
        <v>17.78</v>
      </c>
      <c r="O30" s="40">
        <v>17.07</v>
      </c>
      <c r="P30" s="47">
        <f t="shared" si="0"/>
        <v>96.006749156355454</v>
      </c>
      <c r="Q30" s="48">
        <v>15.78</v>
      </c>
      <c r="R30" s="47">
        <f t="shared" si="1"/>
        <v>88.75140607424072</v>
      </c>
      <c r="S30" s="48">
        <v>16.32</v>
      </c>
      <c r="T30" s="47">
        <f t="shared" si="2"/>
        <v>91.788526434195717</v>
      </c>
      <c r="U30" s="40">
        <v>17.2</v>
      </c>
      <c r="V30" s="47">
        <f t="shared" si="3"/>
        <v>96.737907761529797</v>
      </c>
      <c r="W30" s="40">
        <v>17.27</v>
      </c>
      <c r="X30" s="47">
        <f t="shared" si="4"/>
        <v>97.131608548931368</v>
      </c>
      <c r="Y30" s="40">
        <v>18.07</v>
      </c>
      <c r="Z30" s="47">
        <f t="shared" si="5"/>
        <v>101.63104611923508</v>
      </c>
      <c r="AA30" s="40">
        <v>18.38</v>
      </c>
      <c r="AB30" s="47">
        <f t="shared" si="6"/>
        <v>103.37457817772777</v>
      </c>
      <c r="AC30" s="40">
        <v>19.2</v>
      </c>
      <c r="AD30" s="47">
        <f t="shared" si="7"/>
        <v>107.98650168728908</v>
      </c>
      <c r="AE30" s="40">
        <v>18.690000000000001</v>
      </c>
      <c r="AF30" s="47">
        <f t="shared" si="10"/>
        <v>105.11811023622046</v>
      </c>
      <c r="AG30" s="40">
        <v>19.41</v>
      </c>
      <c r="AH30" s="47">
        <f t="shared" si="12"/>
        <v>109.16760404949382</v>
      </c>
    </row>
    <row r="31" spans="2:34" s="95" customFormat="1" ht="13" x14ac:dyDescent="0.3">
      <c r="L31" s="5"/>
      <c r="M31" s="264"/>
      <c r="N31" s="265" t="s">
        <v>13</v>
      </c>
      <c r="O31" s="264"/>
      <c r="P31" s="264"/>
    </row>
    <row r="32" spans="2:34" s="95" customFormat="1" ht="13" x14ac:dyDescent="0.3">
      <c r="L32" s="5"/>
      <c r="M32" s="264"/>
      <c r="N32" s="266" t="s">
        <v>107</v>
      </c>
      <c r="O32" s="264"/>
      <c r="P32" s="264"/>
    </row>
    <row r="33" spans="12:32" s="95" customFormat="1" ht="12.5" x14ac:dyDescent="0.25">
      <c r="L33" s="5"/>
      <c r="M33" s="96"/>
      <c r="N33" s="98"/>
      <c r="O33" s="98"/>
      <c r="P33" s="98"/>
    </row>
    <row r="34" spans="12:32" s="95" customFormat="1" ht="12.5" x14ac:dyDescent="0.25">
      <c r="L34" s="5"/>
      <c r="M34" s="96"/>
      <c r="N34" s="98"/>
      <c r="O34" s="98"/>
      <c r="P34" s="98"/>
    </row>
    <row r="35" spans="12:32" s="95" customFormat="1" ht="13" x14ac:dyDescent="0.3">
      <c r="L35" s="99" t="s">
        <v>1093</v>
      </c>
      <c r="M35" s="96"/>
      <c r="N35" s="98"/>
      <c r="O35" s="98"/>
      <c r="P35" s="98"/>
    </row>
    <row r="36" spans="12:32" s="95" customFormat="1" ht="12.5" x14ac:dyDescent="0.25">
      <c r="L36" s="4"/>
      <c r="M36" s="263" t="s">
        <v>72</v>
      </c>
      <c r="N36" s="263" t="s">
        <v>172</v>
      </c>
      <c r="O36" s="358" t="s">
        <v>173</v>
      </c>
      <c r="P36" s="359"/>
      <c r="Q36" s="358" t="s">
        <v>102</v>
      </c>
      <c r="R36" s="359"/>
      <c r="S36" s="358" t="s">
        <v>174</v>
      </c>
      <c r="T36" s="359"/>
      <c r="U36" s="358" t="s">
        <v>103</v>
      </c>
      <c r="V36" s="359"/>
      <c r="W36" s="358" t="s">
        <v>175</v>
      </c>
      <c r="X36" s="359"/>
      <c r="Y36" s="358" t="s">
        <v>74</v>
      </c>
      <c r="Z36" s="359"/>
      <c r="AA36" s="358" t="s">
        <v>176</v>
      </c>
      <c r="AB36" s="359"/>
      <c r="AC36" s="358" t="s">
        <v>75</v>
      </c>
      <c r="AD36" s="359"/>
      <c r="AE36" s="358" t="s">
        <v>264</v>
      </c>
      <c r="AF36" s="359"/>
    </row>
    <row r="37" spans="12:32" s="95" customFormat="1" ht="16.5" customHeight="1" x14ac:dyDescent="0.25">
      <c r="L37" s="4"/>
      <c r="M37" s="263"/>
      <c r="N37" s="263"/>
      <c r="O37" s="263"/>
      <c r="P37" s="27"/>
      <c r="Q37" s="263"/>
      <c r="R37" s="27"/>
      <c r="S37" s="263"/>
      <c r="T37" s="27"/>
      <c r="U37" s="263"/>
      <c r="V37" s="27"/>
      <c r="W37" s="263"/>
      <c r="X37" s="27"/>
      <c r="Y37" s="263"/>
      <c r="Z37" s="27"/>
      <c r="AA37" s="263"/>
      <c r="AB37" s="27"/>
      <c r="AC37" s="263"/>
      <c r="AD37" s="27"/>
      <c r="AE37" s="263"/>
      <c r="AF37" s="27"/>
    </row>
    <row r="38" spans="12:32" s="95" customFormat="1" ht="12.5" x14ac:dyDescent="0.25">
      <c r="L38" s="354" t="s">
        <v>364</v>
      </c>
      <c r="M38" s="58" t="s">
        <v>463</v>
      </c>
      <c r="N38" s="55">
        <v>18.059999999999999</v>
      </c>
      <c r="O38" s="40">
        <v>18.05</v>
      </c>
      <c r="P38" s="47">
        <f>O38/N38*100</f>
        <v>99.944629014396469</v>
      </c>
      <c r="Q38" s="40">
        <v>17.600000000000001</v>
      </c>
      <c r="R38" s="47">
        <f>Q38/N38*100</f>
        <v>97.452934662236999</v>
      </c>
      <c r="S38" s="40">
        <v>17.600000000000001</v>
      </c>
      <c r="T38" s="47">
        <f>S38/N38*100</f>
        <v>97.452934662236999</v>
      </c>
      <c r="U38" s="40">
        <v>18.28</v>
      </c>
      <c r="V38" s="47">
        <f>U38/N38*100</f>
        <v>101.21816168327797</v>
      </c>
      <c r="W38" s="40">
        <v>18.600000000000001</v>
      </c>
      <c r="X38" s="47">
        <f>W38/N38*100</f>
        <v>102.99003322259136</v>
      </c>
      <c r="Y38" s="40">
        <v>18.43</v>
      </c>
      <c r="Z38" s="47">
        <f>Y38/N38*100</f>
        <v>102.04872646733112</v>
      </c>
      <c r="AA38" s="40">
        <v>18.2</v>
      </c>
      <c r="AB38" s="47">
        <f>AA38/N38*100</f>
        <v>100.77519379844961</v>
      </c>
      <c r="AC38" s="40">
        <v>18.309999999999999</v>
      </c>
      <c r="AD38" s="47">
        <f>AC38/N38*100</f>
        <v>101.38427464008859</v>
      </c>
      <c r="AE38" s="40">
        <v>18.510000000000002</v>
      </c>
      <c r="AF38" s="47">
        <f>AE38/N38*100</f>
        <v>102.49169435215948</v>
      </c>
    </row>
    <row r="39" spans="12:32" s="95" customFormat="1" ht="12.5" x14ac:dyDescent="0.25">
      <c r="L39" s="354"/>
      <c r="M39" s="58" t="s">
        <v>464</v>
      </c>
      <c r="N39" s="55">
        <v>18.350000000000001</v>
      </c>
      <c r="O39" s="40">
        <v>17.510000000000002</v>
      </c>
      <c r="P39" s="47">
        <f t="shared" ref="P39:P62" si="13">O39/N39*100</f>
        <v>95.422343324250676</v>
      </c>
      <c r="Q39" s="40">
        <v>17.5</v>
      </c>
      <c r="R39" s="47">
        <f t="shared" ref="R39:R62" si="14">Q39/N39*100</f>
        <v>95.367847411444131</v>
      </c>
      <c r="S39" s="40">
        <v>17.5</v>
      </c>
      <c r="T39" s="47">
        <f t="shared" ref="T39:T62" si="15">S39/N39*100</f>
        <v>95.367847411444131</v>
      </c>
      <c r="U39" s="40">
        <v>18.27</v>
      </c>
      <c r="V39" s="47">
        <f t="shared" ref="V39:V62" si="16">U39/N39*100</f>
        <v>99.564032697547674</v>
      </c>
      <c r="W39" s="40">
        <v>18.91</v>
      </c>
      <c r="X39" s="47">
        <f t="shared" ref="X39:X62" si="17">W39/N39*100</f>
        <v>103.05177111716621</v>
      </c>
      <c r="Y39" s="40">
        <v>18.739999999999998</v>
      </c>
      <c r="Z39" s="47">
        <f t="shared" ref="Z39:Z62" si="18">Y39/N39*100</f>
        <v>102.12534059945501</v>
      </c>
      <c r="AA39" s="40">
        <v>18.82</v>
      </c>
      <c r="AB39" s="47">
        <f t="shared" ref="AB39:AB62" si="19">AA39/N39*100</f>
        <v>102.56130790190736</v>
      </c>
      <c r="AC39" s="40">
        <v>19.079999999999998</v>
      </c>
      <c r="AD39" s="47">
        <f t="shared" ref="AD39:AD62" si="20">AC39/N39*100</f>
        <v>103.97820163487737</v>
      </c>
      <c r="AE39" s="40">
        <v>18.88</v>
      </c>
      <c r="AF39" s="47">
        <f t="shared" ref="AF39:AF60" si="21">AE39/N39*100</f>
        <v>102.88828337874658</v>
      </c>
    </row>
    <row r="40" spans="12:32" s="95" customFormat="1" ht="12.5" x14ac:dyDescent="0.25">
      <c r="L40" s="354"/>
      <c r="M40" s="58" t="s">
        <v>465</v>
      </c>
      <c r="N40" s="55">
        <v>18.02</v>
      </c>
      <c r="O40" s="40">
        <v>17.82</v>
      </c>
      <c r="P40" s="47">
        <f t="shared" si="13"/>
        <v>98.890122086570486</v>
      </c>
      <c r="Q40" s="40">
        <v>17.55</v>
      </c>
      <c r="R40" s="47">
        <f t="shared" si="14"/>
        <v>97.391786903440618</v>
      </c>
      <c r="S40" s="40">
        <v>17.55</v>
      </c>
      <c r="T40" s="47">
        <f t="shared" si="15"/>
        <v>97.391786903440618</v>
      </c>
      <c r="U40" s="40">
        <v>17.899999999999999</v>
      </c>
      <c r="V40" s="47">
        <f t="shared" si="16"/>
        <v>99.334073251942272</v>
      </c>
      <c r="W40" s="40">
        <v>17.86</v>
      </c>
      <c r="X40" s="47">
        <f t="shared" si="17"/>
        <v>99.112097669256386</v>
      </c>
      <c r="Y40" s="40">
        <v>18.36</v>
      </c>
      <c r="Z40" s="47">
        <f t="shared" si="18"/>
        <v>101.88679245283019</v>
      </c>
      <c r="AA40" s="40">
        <v>18.09</v>
      </c>
      <c r="AB40" s="47">
        <f t="shared" si="19"/>
        <v>100.38845726970034</v>
      </c>
      <c r="AC40" s="40">
        <v>18.559999999999999</v>
      </c>
      <c r="AD40" s="47">
        <f t="shared" si="20"/>
        <v>102.99667036625971</v>
      </c>
      <c r="AE40" s="40">
        <v>18.760000000000002</v>
      </c>
      <c r="AF40" s="47">
        <f t="shared" si="21"/>
        <v>104.10654827968924</v>
      </c>
    </row>
    <row r="41" spans="12:32" s="95" customFormat="1" ht="12.5" x14ac:dyDescent="0.25">
      <c r="L41" s="354"/>
      <c r="M41" s="58" t="s">
        <v>466</v>
      </c>
      <c r="N41" s="55">
        <v>17.45</v>
      </c>
      <c r="O41" s="40">
        <v>17.03</v>
      </c>
      <c r="P41" s="47">
        <f t="shared" si="13"/>
        <v>97.593123209169065</v>
      </c>
      <c r="Q41" s="48">
        <v>16.75</v>
      </c>
      <c r="R41" s="47">
        <f t="shared" si="14"/>
        <v>95.988538681948427</v>
      </c>
      <c r="S41" s="48">
        <v>16.75</v>
      </c>
      <c r="T41" s="47">
        <f t="shared" si="15"/>
        <v>95.988538681948427</v>
      </c>
      <c r="U41" s="40">
        <v>17.559999999999999</v>
      </c>
      <c r="V41" s="47">
        <f t="shared" si="16"/>
        <v>100.63037249283668</v>
      </c>
      <c r="W41" s="40">
        <v>18.27</v>
      </c>
      <c r="X41" s="47">
        <f t="shared" si="17"/>
        <v>104.69914040114614</v>
      </c>
      <c r="Y41" s="40">
        <v>17.510000000000002</v>
      </c>
      <c r="Z41" s="47">
        <f t="shared" si="18"/>
        <v>100.34383954154728</v>
      </c>
      <c r="AA41" s="40">
        <v>17.559999999999999</v>
      </c>
      <c r="AB41" s="47">
        <f t="shared" si="19"/>
        <v>100.63037249283668</v>
      </c>
      <c r="AC41" s="40">
        <v>17.989999999999998</v>
      </c>
      <c r="AD41" s="47">
        <f t="shared" si="20"/>
        <v>103.09455587392549</v>
      </c>
      <c r="AE41" s="40">
        <v>17.739999999999998</v>
      </c>
      <c r="AF41" s="47">
        <f t="shared" si="21"/>
        <v>101.6618911174785</v>
      </c>
    </row>
    <row r="42" spans="12:32" s="95" customFormat="1" ht="12.5" x14ac:dyDescent="0.25">
      <c r="L42" s="354"/>
      <c r="M42" s="58" t="s">
        <v>467</v>
      </c>
      <c r="N42" s="55">
        <v>17.7</v>
      </c>
      <c r="O42" s="40">
        <v>17.239999999999998</v>
      </c>
      <c r="P42" s="47">
        <f t="shared" si="13"/>
        <v>97.401129943502823</v>
      </c>
      <c r="Q42" s="48">
        <v>16.95</v>
      </c>
      <c r="R42" s="47">
        <f t="shared" si="14"/>
        <v>95.762711864406782</v>
      </c>
      <c r="S42" s="48">
        <v>16.95</v>
      </c>
      <c r="T42" s="47">
        <f t="shared" si="15"/>
        <v>95.762711864406782</v>
      </c>
      <c r="U42" s="40">
        <v>17.690000000000001</v>
      </c>
      <c r="V42" s="47">
        <f t="shared" si="16"/>
        <v>99.943502824858768</v>
      </c>
      <c r="W42" s="40">
        <v>18.54</v>
      </c>
      <c r="X42" s="47">
        <f t="shared" si="17"/>
        <v>104.7457627118644</v>
      </c>
      <c r="Y42" s="40">
        <v>17.88</v>
      </c>
      <c r="Z42" s="47">
        <f t="shared" si="18"/>
        <v>101.01694915254238</v>
      </c>
      <c r="AA42" s="40">
        <v>17.82</v>
      </c>
      <c r="AB42" s="47">
        <f t="shared" si="19"/>
        <v>100.67796610169492</v>
      </c>
      <c r="AC42" s="40">
        <v>17.75</v>
      </c>
      <c r="AD42" s="47">
        <f t="shared" si="20"/>
        <v>100.28248587570623</v>
      </c>
      <c r="AE42" s="40">
        <v>17.920000000000002</v>
      </c>
      <c r="AF42" s="47">
        <f t="shared" si="21"/>
        <v>101.24293785310736</v>
      </c>
    </row>
    <row r="43" spans="12:32" s="95" customFormat="1" ht="12.5" x14ac:dyDescent="0.25">
      <c r="L43" s="366" t="s">
        <v>365</v>
      </c>
      <c r="M43" s="58" t="s">
        <v>468</v>
      </c>
      <c r="N43" s="55">
        <v>17.59</v>
      </c>
      <c r="O43" s="48">
        <v>16.61</v>
      </c>
      <c r="P43" s="47">
        <f t="shared" si="13"/>
        <v>94.42865264354748</v>
      </c>
      <c r="Q43" s="48">
        <v>15.19</v>
      </c>
      <c r="R43" s="47">
        <f t="shared" si="14"/>
        <v>86.355884025014205</v>
      </c>
      <c r="S43" s="48">
        <v>15.19</v>
      </c>
      <c r="T43" s="47">
        <f t="shared" si="15"/>
        <v>86.355884025014205</v>
      </c>
      <c r="U43" s="48">
        <v>15.5</v>
      </c>
      <c r="V43" s="47">
        <f t="shared" si="16"/>
        <v>88.118249005116539</v>
      </c>
      <c r="W43" s="48">
        <v>15.28</v>
      </c>
      <c r="X43" s="47">
        <f t="shared" si="17"/>
        <v>86.867538374076176</v>
      </c>
      <c r="Y43" s="48">
        <v>16.440000000000001</v>
      </c>
      <c r="Z43" s="47">
        <f t="shared" si="18"/>
        <v>93.462194428652651</v>
      </c>
      <c r="AA43" s="48">
        <v>16.04</v>
      </c>
      <c r="AB43" s="47">
        <f t="shared" si="19"/>
        <v>91.188175099488348</v>
      </c>
      <c r="AC43" s="48">
        <v>16.28</v>
      </c>
      <c r="AD43" s="47">
        <f t="shared" si="20"/>
        <v>92.552586696986921</v>
      </c>
      <c r="AE43" s="48">
        <v>15.91</v>
      </c>
      <c r="AF43" s="47">
        <f t="shared" si="21"/>
        <v>90.449118817509955</v>
      </c>
    </row>
    <row r="44" spans="12:32" s="95" customFormat="1" ht="12.5" x14ac:dyDescent="0.25">
      <c r="L44" s="366"/>
      <c r="M44" s="58" t="s">
        <v>469</v>
      </c>
      <c r="N44" s="55">
        <v>17.600000000000001</v>
      </c>
      <c r="O44" s="48">
        <v>16.73</v>
      </c>
      <c r="P44" s="47">
        <f t="shared" si="13"/>
        <v>95.056818181818187</v>
      </c>
      <c r="Q44" s="48">
        <v>15.31</v>
      </c>
      <c r="R44" s="47">
        <f t="shared" si="14"/>
        <v>86.98863636363636</v>
      </c>
      <c r="S44" s="48">
        <v>15.31</v>
      </c>
      <c r="T44" s="47">
        <f t="shared" si="15"/>
        <v>86.98863636363636</v>
      </c>
      <c r="U44" s="48">
        <v>16.52</v>
      </c>
      <c r="V44" s="47">
        <f t="shared" si="16"/>
        <v>93.863636363636346</v>
      </c>
      <c r="W44" s="48">
        <v>16.79</v>
      </c>
      <c r="X44" s="47">
        <f t="shared" si="17"/>
        <v>95.397727272727266</v>
      </c>
      <c r="Y44" s="40">
        <v>18.07</v>
      </c>
      <c r="Z44" s="47">
        <f t="shared" si="18"/>
        <v>102.67045454545453</v>
      </c>
      <c r="AA44" s="40">
        <v>17.86</v>
      </c>
      <c r="AB44" s="47">
        <f t="shared" si="19"/>
        <v>101.47727272727272</v>
      </c>
      <c r="AC44" s="40">
        <v>18.36</v>
      </c>
      <c r="AD44" s="47">
        <f t="shared" si="20"/>
        <v>104.3181818181818</v>
      </c>
      <c r="AE44" s="40">
        <v>18.579999999999998</v>
      </c>
      <c r="AF44" s="47">
        <f t="shared" si="21"/>
        <v>105.5681818181818</v>
      </c>
    </row>
    <row r="45" spans="12:32" s="95" customFormat="1" ht="12.5" x14ac:dyDescent="0.25">
      <c r="L45" s="366"/>
      <c r="M45" s="58" t="s">
        <v>470</v>
      </c>
      <c r="N45" s="55">
        <v>17.495000000000001</v>
      </c>
      <c r="O45" s="48">
        <v>16.5975</v>
      </c>
      <c r="P45" s="47">
        <f t="shared" si="13"/>
        <v>94.869962846527585</v>
      </c>
      <c r="Q45" s="48">
        <v>15.077500000000001</v>
      </c>
      <c r="R45" s="47">
        <f t="shared" si="14"/>
        <v>86.181766218919691</v>
      </c>
      <c r="S45" s="48">
        <v>15.077500000000001</v>
      </c>
      <c r="T45" s="47">
        <f t="shared" si="15"/>
        <v>86.181766218919691</v>
      </c>
      <c r="U45" s="48">
        <v>15.83</v>
      </c>
      <c r="V45" s="47">
        <f t="shared" si="16"/>
        <v>90.48299514146899</v>
      </c>
      <c r="W45" s="48">
        <v>16.23</v>
      </c>
      <c r="X45" s="47">
        <f t="shared" si="17"/>
        <v>92.769362675050019</v>
      </c>
      <c r="Y45" s="40">
        <v>18.66</v>
      </c>
      <c r="Z45" s="47">
        <f t="shared" si="18"/>
        <v>106.65904544155474</v>
      </c>
      <c r="AA45" s="40">
        <v>18.78</v>
      </c>
      <c r="AB45" s="47">
        <f t="shared" si="19"/>
        <v>107.34495570162903</v>
      </c>
      <c r="AC45" s="40">
        <v>18.940000000000001</v>
      </c>
      <c r="AD45" s="47">
        <f t="shared" si="20"/>
        <v>108.25950271506144</v>
      </c>
      <c r="AE45" s="40">
        <v>19.39</v>
      </c>
      <c r="AF45" s="47">
        <f t="shared" si="21"/>
        <v>110.83166619034009</v>
      </c>
    </row>
    <row r="46" spans="12:32" s="95" customFormat="1" ht="12.5" x14ac:dyDescent="0.25">
      <c r="L46" s="366"/>
      <c r="M46" s="58" t="s">
        <v>471</v>
      </c>
      <c r="N46" s="55">
        <v>17.57</v>
      </c>
      <c r="O46" s="48">
        <v>16.7</v>
      </c>
      <c r="P46" s="47">
        <f t="shared" si="13"/>
        <v>95.048377916903803</v>
      </c>
      <c r="Q46" s="48">
        <v>15.03</v>
      </c>
      <c r="R46" s="47">
        <f t="shared" si="14"/>
        <v>85.543540125213426</v>
      </c>
      <c r="S46" s="48">
        <v>15.03</v>
      </c>
      <c r="T46" s="47">
        <f t="shared" si="15"/>
        <v>85.543540125213426</v>
      </c>
      <c r="U46" s="48">
        <v>16.12</v>
      </c>
      <c r="V46" s="47">
        <f t="shared" si="16"/>
        <v>91.747296528173024</v>
      </c>
      <c r="W46" s="48">
        <v>16.93</v>
      </c>
      <c r="X46" s="47">
        <f t="shared" si="17"/>
        <v>96.357427433124641</v>
      </c>
      <c r="Y46" s="40">
        <v>17.399999999999999</v>
      </c>
      <c r="Z46" s="47">
        <f t="shared" si="18"/>
        <v>99.032441661923727</v>
      </c>
      <c r="AA46" s="40">
        <v>17.22</v>
      </c>
      <c r="AB46" s="47">
        <f t="shared" si="19"/>
        <v>98.007968127490031</v>
      </c>
      <c r="AC46" s="48">
        <v>16.649999999999999</v>
      </c>
      <c r="AD46" s="47">
        <f t="shared" si="20"/>
        <v>94.763801935116661</v>
      </c>
      <c r="AE46" s="48">
        <v>15.8</v>
      </c>
      <c r="AF46" s="47">
        <f t="shared" si="21"/>
        <v>89.926010244735338</v>
      </c>
    </row>
    <row r="47" spans="12:32" s="95" customFormat="1" ht="12.5" x14ac:dyDescent="0.25">
      <c r="L47" s="366"/>
      <c r="M47" s="58" t="s">
        <v>472</v>
      </c>
      <c r="N47" s="55">
        <v>17.22</v>
      </c>
      <c r="O47" s="48">
        <v>16.350000000000001</v>
      </c>
      <c r="P47" s="47">
        <f t="shared" si="13"/>
        <v>94.947735191637648</v>
      </c>
      <c r="Q47" s="48">
        <v>14.78</v>
      </c>
      <c r="R47" s="47">
        <f t="shared" si="14"/>
        <v>85.830429732868765</v>
      </c>
      <c r="S47" s="48">
        <v>14.78</v>
      </c>
      <c r="T47" s="47">
        <f t="shared" si="15"/>
        <v>85.830429732868765</v>
      </c>
      <c r="U47" s="48">
        <v>15.2</v>
      </c>
      <c r="V47" s="47">
        <f t="shared" si="16"/>
        <v>88.269454123112652</v>
      </c>
      <c r="W47" s="48">
        <v>15.93</v>
      </c>
      <c r="X47" s="47">
        <f t="shared" si="17"/>
        <v>92.508710801393732</v>
      </c>
      <c r="Y47" s="48">
        <v>16.78</v>
      </c>
      <c r="Z47" s="47">
        <f t="shared" si="18"/>
        <v>97.44483159117307</v>
      </c>
      <c r="AA47" s="40">
        <v>17.440000000000001</v>
      </c>
      <c r="AB47" s="47">
        <f t="shared" si="19"/>
        <v>101.27758420441349</v>
      </c>
      <c r="AC47" s="40">
        <v>17.649999999999999</v>
      </c>
      <c r="AD47" s="47">
        <f t="shared" si="20"/>
        <v>102.49709639953541</v>
      </c>
      <c r="AE47" s="40">
        <v>17.64</v>
      </c>
      <c r="AF47" s="47">
        <f t="shared" si="21"/>
        <v>102.4390243902439</v>
      </c>
    </row>
    <row r="48" spans="12:32" s="95" customFormat="1" ht="12.5" x14ac:dyDescent="0.25">
      <c r="L48" s="366" t="s">
        <v>862</v>
      </c>
      <c r="M48" s="58" t="s">
        <v>473</v>
      </c>
      <c r="N48" s="55">
        <v>17</v>
      </c>
      <c r="O48" s="48">
        <v>15.93</v>
      </c>
      <c r="P48" s="47">
        <f t="shared" si="13"/>
        <v>93.705882352941174</v>
      </c>
      <c r="Q48" s="48">
        <v>14.52</v>
      </c>
      <c r="R48" s="47">
        <f t="shared" si="14"/>
        <v>85.411764705882348</v>
      </c>
      <c r="S48" s="48">
        <v>14.52</v>
      </c>
      <c r="T48" s="47">
        <f t="shared" si="15"/>
        <v>85.411764705882348</v>
      </c>
      <c r="U48" s="48">
        <v>15.86</v>
      </c>
      <c r="V48" s="47">
        <f t="shared" si="16"/>
        <v>93.294117647058812</v>
      </c>
      <c r="W48" s="48">
        <v>16.190000000000001</v>
      </c>
      <c r="X48" s="47">
        <f t="shared" si="17"/>
        <v>95.235294117647058</v>
      </c>
      <c r="Y48" s="48">
        <v>16.7</v>
      </c>
      <c r="Z48" s="47">
        <f t="shared" si="18"/>
        <v>98.235294117647058</v>
      </c>
      <c r="AA48" s="48">
        <v>16.739999999999998</v>
      </c>
      <c r="AB48" s="47">
        <f t="shared" si="19"/>
        <v>98.470588235294116</v>
      </c>
      <c r="AC48" s="48">
        <v>15.85</v>
      </c>
      <c r="AD48" s="47">
        <f t="shared" si="20"/>
        <v>93.235294117647058</v>
      </c>
      <c r="AE48" s="48">
        <v>15.41</v>
      </c>
      <c r="AF48" s="47">
        <f t="shared" si="21"/>
        <v>90.64705882352942</v>
      </c>
    </row>
    <row r="49" spans="12:32" s="95" customFormat="1" ht="12.5" x14ac:dyDescent="0.25">
      <c r="L49" s="366"/>
      <c r="M49" s="58" t="s">
        <v>474</v>
      </c>
      <c r="N49" s="55">
        <v>17.010000000000002</v>
      </c>
      <c r="O49" s="48">
        <v>15.9</v>
      </c>
      <c r="P49" s="47">
        <f t="shared" si="13"/>
        <v>93.474426807760139</v>
      </c>
      <c r="Q49" s="48">
        <v>14.32</v>
      </c>
      <c r="R49" s="47">
        <f t="shared" si="14"/>
        <v>84.185773074661967</v>
      </c>
      <c r="S49" s="48">
        <v>14.32</v>
      </c>
      <c r="T49" s="47">
        <f t="shared" si="15"/>
        <v>84.185773074661967</v>
      </c>
      <c r="U49" s="48">
        <v>16.43</v>
      </c>
      <c r="V49" s="47">
        <f t="shared" si="16"/>
        <v>96.590241034685462</v>
      </c>
      <c r="W49" s="48">
        <v>16.34</v>
      </c>
      <c r="X49" s="47">
        <f t="shared" si="17"/>
        <v>96.061140505584945</v>
      </c>
      <c r="Y49" s="48">
        <v>15.71</v>
      </c>
      <c r="Z49" s="47">
        <f t="shared" si="18"/>
        <v>92.357436801881249</v>
      </c>
      <c r="AA49" s="48">
        <v>13.9</v>
      </c>
      <c r="AB49" s="47">
        <f t="shared" si="19"/>
        <v>81.716637272192827</v>
      </c>
      <c r="AC49" s="48">
        <v>12.8</v>
      </c>
      <c r="AD49" s="47">
        <f t="shared" si="20"/>
        <v>75.249853027630792</v>
      </c>
      <c r="AE49" s="48">
        <v>11.47</v>
      </c>
      <c r="AF49" s="50">
        <f t="shared" si="21"/>
        <v>67.430922986478535</v>
      </c>
    </row>
    <row r="50" spans="12:32" s="95" customFormat="1" ht="12.5" x14ac:dyDescent="0.25">
      <c r="L50" s="366"/>
      <c r="M50" s="58" t="s">
        <v>475</v>
      </c>
      <c r="N50" s="55">
        <v>17.260000000000002</v>
      </c>
      <c r="O50" s="48">
        <v>15.92</v>
      </c>
      <c r="P50" s="47">
        <f t="shared" si="13"/>
        <v>92.236384704519111</v>
      </c>
      <c r="Q50" s="48">
        <v>14.56</v>
      </c>
      <c r="R50" s="47">
        <f t="shared" si="14"/>
        <v>84.356894553881801</v>
      </c>
      <c r="S50" s="48">
        <v>14.56</v>
      </c>
      <c r="T50" s="47">
        <f t="shared" si="15"/>
        <v>84.356894553881801</v>
      </c>
      <c r="U50" s="48">
        <v>15.87</v>
      </c>
      <c r="V50" s="47">
        <f t="shared" si="16"/>
        <v>91.946697566628032</v>
      </c>
      <c r="W50" s="48">
        <v>16.18</v>
      </c>
      <c r="X50" s="47">
        <f t="shared" si="17"/>
        <v>93.742757821552715</v>
      </c>
      <c r="Y50" s="48">
        <v>16.739999999999998</v>
      </c>
      <c r="Z50" s="47">
        <f t="shared" si="18"/>
        <v>96.987253765932778</v>
      </c>
      <c r="AA50" s="48">
        <v>16.829999999999998</v>
      </c>
      <c r="AB50" s="47">
        <f t="shared" si="19"/>
        <v>97.508690614136711</v>
      </c>
      <c r="AC50" s="48">
        <v>15.38</v>
      </c>
      <c r="AD50" s="47">
        <f t="shared" si="20"/>
        <v>89.107763615295482</v>
      </c>
      <c r="AE50" s="48">
        <v>14.87</v>
      </c>
      <c r="AF50" s="47">
        <f t="shared" si="21"/>
        <v>86.152954808806484</v>
      </c>
    </row>
    <row r="51" spans="12:32" s="95" customFormat="1" ht="12.5" x14ac:dyDescent="0.25">
      <c r="L51" s="366"/>
      <c r="M51" s="58" t="s">
        <v>476</v>
      </c>
      <c r="N51" s="55">
        <v>17.89</v>
      </c>
      <c r="O51" s="40">
        <v>17.510000000000002</v>
      </c>
      <c r="P51" s="47">
        <f t="shared" si="13"/>
        <v>97.875908328675237</v>
      </c>
      <c r="Q51" s="48">
        <v>16.03</v>
      </c>
      <c r="R51" s="47">
        <f t="shared" si="14"/>
        <v>89.603130240357743</v>
      </c>
      <c r="S51" s="48">
        <v>16.03</v>
      </c>
      <c r="T51" s="47">
        <f t="shared" si="15"/>
        <v>89.603130240357743</v>
      </c>
      <c r="U51" s="40">
        <v>17.37</v>
      </c>
      <c r="V51" s="47">
        <f t="shared" si="16"/>
        <v>97.093348239239802</v>
      </c>
      <c r="W51" s="40">
        <v>18.2</v>
      </c>
      <c r="X51" s="47">
        <f t="shared" si="17"/>
        <v>101.73281162660703</v>
      </c>
      <c r="Y51" s="40">
        <v>18.260000000000002</v>
      </c>
      <c r="Z51" s="47">
        <f t="shared" si="18"/>
        <v>102.06819452207938</v>
      </c>
      <c r="AA51" s="40">
        <v>18.39</v>
      </c>
      <c r="AB51" s="47">
        <f t="shared" si="19"/>
        <v>102.79485746226942</v>
      </c>
      <c r="AC51" s="48">
        <v>15.13</v>
      </c>
      <c r="AD51" s="47">
        <f t="shared" si="20"/>
        <v>84.572386808272782</v>
      </c>
      <c r="AE51" s="48">
        <v>14.62</v>
      </c>
      <c r="AF51" s="47">
        <f t="shared" si="21"/>
        <v>81.721632196757952</v>
      </c>
    </row>
    <row r="52" spans="12:32" s="95" customFormat="1" ht="12.5" x14ac:dyDescent="0.25">
      <c r="L52" s="366"/>
      <c r="M52" s="58" t="s">
        <v>477</v>
      </c>
      <c r="N52" s="55">
        <v>17.52</v>
      </c>
      <c r="O52" s="48">
        <v>16.7</v>
      </c>
      <c r="P52" s="47">
        <f t="shared" si="13"/>
        <v>95.319634703196343</v>
      </c>
      <c r="Q52" s="48">
        <v>16.510000000000002</v>
      </c>
      <c r="R52" s="47">
        <f t="shared" si="14"/>
        <v>94.235159817351615</v>
      </c>
      <c r="S52" s="48">
        <v>16.510000000000002</v>
      </c>
      <c r="T52" s="47">
        <f t="shared" si="15"/>
        <v>94.235159817351615</v>
      </c>
      <c r="U52" s="40">
        <v>17.66</v>
      </c>
      <c r="V52" s="47">
        <f t="shared" si="16"/>
        <v>100.79908675799088</v>
      </c>
      <c r="W52" s="40">
        <v>17.12</v>
      </c>
      <c r="X52" s="47">
        <f t="shared" si="17"/>
        <v>97.716894977168948</v>
      </c>
      <c r="Y52" s="40">
        <v>17.07</v>
      </c>
      <c r="Z52" s="47">
        <f t="shared" si="18"/>
        <v>97.43150684931507</v>
      </c>
      <c r="AA52" s="40">
        <v>17.260000000000002</v>
      </c>
      <c r="AB52" s="47">
        <f t="shared" si="19"/>
        <v>98.515981735159826</v>
      </c>
      <c r="AC52" s="40">
        <v>17.559999999999999</v>
      </c>
      <c r="AD52" s="47">
        <f t="shared" si="20"/>
        <v>100.22831050228309</v>
      </c>
      <c r="AE52" s="40">
        <v>18.36</v>
      </c>
      <c r="AF52" s="47">
        <f t="shared" si="21"/>
        <v>104.7945205479452</v>
      </c>
    </row>
    <row r="53" spans="12:32" s="95" customFormat="1" ht="12.5" x14ac:dyDescent="0.25">
      <c r="L53" s="366" t="s">
        <v>863</v>
      </c>
      <c r="M53" s="58" t="s">
        <v>478</v>
      </c>
      <c r="N53" s="55">
        <v>18.04</v>
      </c>
      <c r="O53" s="48">
        <v>16.93</v>
      </c>
      <c r="P53" s="47">
        <f t="shared" si="13"/>
        <v>93.847006651884698</v>
      </c>
      <c r="Q53" s="48">
        <v>15.57</v>
      </c>
      <c r="R53" s="47">
        <f t="shared" si="14"/>
        <v>86.308203991130824</v>
      </c>
      <c r="S53" s="48">
        <v>15.57</v>
      </c>
      <c r="T53" s="47">
        <f t="shared" si="15"/>
        <v>86.308203991130824</v>
      </c>
      <c r="U53" s="40">
        <v>17.010000000000002</v>
      </c>
      <c r="V53" s="47">
        <f t="shared" si="16"/>
        <v>94.290465631929052</v>
      </c>
      <c r="W53" s="48">
        <v>16.72</v>
      </c>
      <c r="X53" s="47">
        <f t="shared" si="17"/>
        <v>92.682926829268283</v>
      </c>
      <c r="Y53" s="40">
        <v>18.329999999999998</v>
      </c>
      <c r="Z53" s="47">
        <f t="shared" si="18"/>
        <v>101.60753880266076</v>
      </c>
      <c r="AA53" s="40">
        <v>19.21</v>
      </c>
      <c r="AB53" s="47">
        <f t="shared" si="19"/>
        <v>106.48558758314857</v>
      </c>
      <c r="AC53" s="40">
        <v>18.86</v>
      </c>
      <c r="AD53" s="47">
        <f t="shared" si="20"/>
        <v>104.54545454545455</v>
      </c>
      <c r="AE53" s="40">
        <v>19.18</v>
      </c>
      <c r="AF53" s="47">
        <f t="shared" si="21"/>
        <v>106.31929046563194</v>
      </c>
    </row>
    <row r="54" spans="12:32" s="95" customFormat="1" ht="12.5" x14ac:dyDescent="0.25">
      <c r="L54" s="366"/>
      <c r="M54" s="58" t="s">
        <v>479</v>
      </c>
      <c r="N54" s="55">
        <v>18.32</v>
      </c>
      <c r="O54" s="40">
        <v>17.100000000000001</v>
      </c>
      <c r="P54" s="47">
        <f t="shared" si="13"/>
        <v>93.340611353711793</v>
      </c>
      <c r="Q54" s="48">
        <v>15.8</v>
      </c>
      <c r="R54" s="47">
        <f t="shared" si="14"/>
        <v>86.244541484716166</v>
      </c>
      <c r="S54" s="48">
        <v>15.8</v>
      </c>
      <c r="T54" s="47">
        <f t="shared" si="15"/>
        <v>86.244541484716166</v>
      </c>
      <c r="U54" s="48">
        <v>16.239999999999998</v>
      </c>
      <c r="V54" s="47">
        <f t="shared" si="16"/>
        <v>88.646288209606965</v>
      </c>
      <c r="W54" s="48">
        <v>16.13</v>
      </c>
      <c r="X54" s="47">
        <f t="shared" si="17"/>
        <v>88.045851528384276</v>
      </c>
      <c r="Y54" s="48">
        <v>16.79</v>
      </c>
      <c r="Z54" s="47">
        <f t="shared" si="18"/>
        <v>91.648471615720524</v>
      </c>
      <c r="AA54" s="48">
        <v>16.82</v>
      </c>
      <c r="AB54" s="47">
        <f t="shared" si="19"/>
        <v>91.812227074235807</v>
      </c>
      <c r="AC54" s="40">
        <v>17.23</v>
      </c>
      <c r="AD54" s="47">
        <f t="shared" si="20"/>
        <v>94.050218340611352</v>
      </c>
      <c r="AE54" s="40">
        <v>17.59</v>
      </c>
      <c r="AF54" s="47">
        <f t="shared" si="21"/>
        <v>96.015283842794759</v>
      </c>
    </row>
    <row r="55" spans="12:32" s="95" customFormat="1" ht="12.5" x14ac:dyDescent="0.25">
      <c r="L55" s="366"/>
      <c r="M55" s="58" t="s">
        <v>480</v>
      </c>
      <c r="N55" s="55">
        <v>17.41</v>
      </c>
      <c r="O55" s="48">
        <v>16.350000000000001</v>
      </c>
      <c r="P55" s="47">
        <f t="shared" si="13"/>
        <v>93.911545089029303</v>
      </c>
      <c r="Q55" s="48">
        <v>14.99</v>
      </c>
      <c r="R55" s="47">
        <f t="shared" si="14"/>
        <v>86.099942561746118</v>
      </c>
      <c r="S55" s="48">
        <v>14.99</v>
      </c>
      <c r="T55" s="47">
        <f t="shared" si="15"/>
        <v>86.099942561746118</v>
      </c>
      <c r="U55" s="48">
        <v>15.24</v>
      </c>
      <c r="V55" s="47">
        <f t="shared" si="16"/>
        <v>87.535898908673175</v>
      </c>
      <c r="W55" s="48">
        <v>14.95</v>
      </c>
      <c r="X55" s="47">
        <f t="shared" si="17"/>
        <v>85.870189546237782</v>
      </c>
      <c r="Y55" s="48">
        <v>14.83</v>
      </c>
      <c r="Z55" s="47">
        <f t="shared" si="18"/>
        <v>85.180930499712801</v>
      </c>
      <c r="AA55" s="48">
        <v>14.42</v>
      </c>
      <c r="AB55" s="47">
        <f t="shared" si="19"/>
        <v>82.825962090752441</v>
      </c>
      <c r="AC55" s="48">
        <v>12.39</v>
      </c>
      <c r="AD55" s="47">
        <f t="shared" si="20"/>
        <v>71.165996553704773</v>
      </c>
      <c r="AE55" s="48">
        <v>11.52</v>
      </c>
      <c r="AF55" s="50">
        <f t="shared" si="21"/>
        <v>66.168868466398621</v>
      </c>
    </row>
    <row r="56" spans="12:32" s="95" customFormat="1" ht="12.5" x14ac:dyDescent="0.25">
      <c r="L56" s="366"/>
      <c r="M56" s="58" t="s">
        <v>481</v>
      </c>
      <c r="N56" s="55">
        <v>18.09</v>
      </c>
      <c r="O56" s="40">
        <v>17.3</v>
      </c>
      <c r="P56" s="47">
        <f t="shared" si="13"/>
        <v>95.632946379215042</v>
      </c>
      <c r="Q56" s="48">
        <v>15.6</v>
      </c>
      <c r="R56" s="47">
        <f t="shared" si="14"/>
        <v>86.235489220563849</v>
      </c>
      <c r="S56" s="48">
        <v>15.6</v>
      </c>
      <c r="T56" s="47">
        <f t="shared" si="15"/>
        <v>86.235489220563849</v>
      </c>
      <c r="U56" s="48">
        <v>16.170000000000002</v>
      </c>
      <c r="V56" s="47">
        <f t="shared" si="16"/>
        <v>89.386401326699854</v>
      </c>
      <c r="W56" s="48">
        <v>15.85</v>
      </c>
      <c r="X56" s="47">
        <f t="shared" si="17"/>
        <v>87.617468214483139</v>
      </c>
      <c r="Y56" s="48">
        <v>16.8</v>
      </c>
      <c r="Z56" s="47">
        <f t="shared" si="18"/>
        <v>92.868988391376448</v>
      </c>
      <c r="AA56" s="48">
        <v>16.989999999999998</v>
      </c>
      <c r="AB56" s="47">
        <f t="shared" si="19"/>
        <v>93.919292426755106</v>
      </c>
      <c r="AC56" s="48">
        <v>16.36</v>
      </c>
      <c r="AD56" s="47">
        <f t="shared" si="20"/>
        <v>90.436705362078499</v>
      </c>
      <c r="AE56" s="48">
        <v>15.89</v>
      </c>
      <c r="AF56" s="47">
        <f t="shared" si="21"/>
        <v>87.838584853510227</v>
      </c>
    </row>
    <row r="57" spans="12:32" s="95" customFormat="1" ht="12.5" x14ac:dyDescent="0.25">
      <c r="L57" s="366"/>
      <c r="M57" s="58" t="s">
        <v>482</v>
      </c>
      <c r="N57" s="55">
        <v>17.86</v>
      </c>
      <c r="O57" s="48">
        <v>15.98</v>
      </c>
      <c r="P57" s="47">
        <f t="shared" si="13"/>
        <v>89.473684210526315</v>
      </c>
      <c r="Q57" s="48">
        <v>14.52</v>
      </c>
      <c r="R57" s="47">
        <f t="shared" si="14"/>
        <v>81.298992161254205</v>
      </c>
      <c r="S57" s="48">
        <v>14.52</v>
      </c>
      <c r="T57" s="47">
        <f t="shared" si="15"/>
        <v>81.298992161254205</v>
      </c>
      <c r="U57" s="48">
        <v>15.02</v>
      </c>
      <c r="V57" s="47">
        <f t="shared" si="16"/>
        <v>84.098544232922734</v>
      </c>
      <c r="W57" s="48">
        <v>15.58</v>
      </c>
      <c r="X57" s="47">
        <f t="shared" si="17"/>
        <v>87.2340425531915</v>
      </c>
      <c r="Y57" s="48">
        <v>16.68</v>
      </c>
      <c r="Z57" s="47">
        <f t="shared" si="18"/>
        <v>93.393057110862259</v>
      </c>
      <c r="AA57" s="48">
        <v>16.21</v>
      </c>
      <c r="AB57" s="47">
        <f t="shared" si="19"/>
        <v>90.761478163493848</v>
      </c>
      <c r="AC57" s="48">
        <v>15.34</v>
      </c>
      <c r="AD57" s="47">
        <f t="shared" si="20"/>
        <v>85.890257558790594</v>
      </c>
      <c r="AE57" s="48">
        <v>14.94</v>
      </c>
      <c r="AF57" s="47">
        <f t="shared" si="21"/>
        <v>83.650615901455765</v>
      </c>
    </row>
    <row r="58" spans="12:32" s="95" customFormat="1" ht="12.5" x14ac:dyDescent="0.25">
      <c r="L58" s="354" t="s">
        <v>864</v>
      </c>
      <c r="M58" s="58" t="s">
        <v>483</v>
      </c>
      <c r="N58" s="55">
        <v>17.260000000000002</v>
      </c>
      <c r="O58" s="48">
        <v>16.29</v>
      </c>
      <c r="P58" s="47">
        <f t="shared" si="13"/>
        <v>94.380069524913083</v>
      </c>
      <c r="Q58" s="48">
        <v>15.38</v>
      </c>
      <c r="R58" s="47">
        <f t="shared" si="14"/>
        <v>89.107763615295482</v>
      </c>
      <c r="S58" s="48">
        <v>15.38</v>
      </c>
      <c r="T58" s="47">
        <f t="shared" si="15"/>
        <v>89.107763615295482</v>
      </c>
      <c r="U58" s="40">
        <v>17.12</v>
      </c>
      <c r="V58" s="47">
        <f t="shared" si="16"/>
        <v>99.188876013904974</v>
      </c>
      <c r="W58" s="40">
        <v>17.11</v>
      </c>
      <c r="X58" s="47">
        <f t="shared" si="17"/>
        <v>99.130938586326749</v>
      </c>
      <c r="Y58" s="40">
        <v>17.440000000000001</v>
      </c>
      <c r="Z58" s="47">
        <f t="shared" si="18"/>
        <v>101.04287369640788</v>
      </c>
      <c r="AA58" s="40">
        <v>18.190000000000001</v>
      </c>
      <c r="AB58" s="47">
        <f t="shared" si="19"/>
        <v>105.38818076477403</v>
      </c>
      <c r="AC58" s="40">
        <v>17.600000000000001</v>
      </c>
      <c r="AD58" s="47">
        <f t="shared" si="20"/>
        <v>101.96987253765933</v>
      </c>
      <c r="AE58" s="40">
        <v>18.510000000000002</v>
      </c>
      <c r="AF58" s="47">
        <f t="shared" si="21"/>
        <v>107.24217844727694</v>
      </c>
    </row>
    <row r="59" spans="12:32" s="95" customFormat="1" ht="12.5" x14ac:dyDescent="0.25">
      <c r="L59" s="354"/>
      <c r="M59" s="58" t="s">
        <v>484</v>
      </c>
      <c r="N59" s="55">
        <v>18.05</v>
      </c>
      <c r="O59" s="48">
        <v>16.93</v>
      </c>
      <c r="P59" s="47">
        <f t="shared" si="13"/>
        <v>93.795013850415515</v>
      </c>
      <c r="Q59" s="48">
        <v>15.37</v>
      </c>
      <c r="R59" s="47">
        <f t="shared" si="14"/>
        <v>85.152354570637115</v>
      </c>
      <c r="S59" s="48">
        <v>15.37</v>
      </c>
      <c r="T59" s="47">
        <f t="shared" si="15"/>
        <v>85.152354570637115</v>
      </c>
      <c r="U59" s="48">
        <v>16.940000000000001</v>
      </c>
      <c r="V59" s="47">
        <f t="shared" si="16"/>
        <v>93.850415512465375</v>
      </c>
      <c r="W59" s="40">
        <v>17.3</v>
      </c>
      <c r="X59" s="47">
        <f t="shared" si="17"/>
        <v>95.84487534626038</v>
      </c>
      <c r="Y59" s="40">
        <v>18.02</v>
      </c>
      <c r="Z59" s="47">
        <f t="shared" si="18"/>
        <v>99.83379501385042</v>
      </c>
      <c r="AA59" s="40">
        <v>18.5</v>
      </c>
      <c r="AB59" s="47">
        <f t="shared" si="19"/>
        <v>102.49307479224376</v>
      </c>
      <c r="AC59" s="40">
        <v>18.27</v>
      </c>
      <c r="AD59" s="47">
        <f t="shared" si="20"/>
        <v>101.21883656509694</v>
      </c>
      <c r="AE59" s="40">
        <v>18.579999999999998</v>
      </c>
      <c r="AF59" s="47">
        <f t="shared" si="21"/>
        <v>102.93628808864264</v>
      </c>
    </row>
    <row r="60" spans="12:32" s="95" customFormat="1" ht="12.5" x14ac:dyDescent="0.25">
      <c r="L60" s="354"/>
      <c r="M60" s="58" t="s">
        <v>485</v>
      </c>
      <c r="N60" s="55">
        <v>17.239999999999998</v>
      </c>
      <c r="O60" s="48">
        <v>16.350000000000001</v>
      </c>
      <c r="P60" s="47">
        <f t="shared" si="13"/>
        <v>94.837587006960575</v>
      </c>
      <c r="Q60" s="48">
        <v>15.02</v>
      </c>
      <c r="R60" s="47">
        <f t="shared" si="14"/>
        <v>87.122969837587021</v>
      </c>
      <c r="S60" s="48">
        <v>15.02</v>
      </c>
      <c r="T60" s="47">
        <f t="shared" si="15"/>
        <v>87.122969837587021</v>
      </c>
      <c r="U60" s="48">
        <v>16.36</v>
      </c>
      <c r="V60" s="47">
        <f t="shared" si="16"/>
        <v>94.895591647331784</v>
      </c>
      <c r="W60" s="48">
        <v>16.399999999999999</v>
      </c>
      <c r="X60" s="47">
        <f t="shared" si="17"/>
        <v>95.127610208816705</v>
      </c>
      <c r="Y60" s="40">
        <v>17.22</v>
      </c>
      <c r="Z60" s="47">
        <f t="shared" si="18"/>
        <v>99.88399071925754</v>
      </c>
      <c r="AA60" s="40">
        <v>17.48</v>
      </c>
      <c r="AB60" s="47">
        <f t="shared" si="19"/>
        <v>101.39211136890953</v>
      </c>
      <c r="AC60" s="40">
        <v>17.32</v>
      </c>
      <c r="AD60" s="47">
        <f t="shared" si="20"/>
        <v>100.46403712296986</v>
      </c>
      <c r="AE60" s="48">
        <v>16.52</v>
      </c>
      <c r="AF60" s="47">
        <f t="shared" si="21"/>
        <v>95.823665893271468</v>
      </c>
    </row>
    <row r="61" spans="12:32" s="95" customFormat="1" ht="13" x14ac:dyDescent="0.3">
      <c r="L61" s="354"/>
      <c r="M61" s="58" t="s">
        <v>486</v>
      </c>
      <c r="N61" s="55">
        <v>16.61</v>
      </c>
      <c r="O61" s="48">
        <v>16.100000000000001</v>
      </c>
      <c r="P61" s="47">
        <f t="shared" si="13"/>
        <v>96.929560505719465</v>
      </c>
      <c r="Q61" s="48">
        <v>15.26</v>
      </c>
      <c r="R61" s="47">
        <f t="shared" si="14"/>
        <v>91.872366044551484</v>
      </c>
      <c r="S61" s="48">
        <v>15.26</v>
      </c>
      <c r="T61" s="47">
        <f t="shared" si="15"/>
        <v>91.872366044551484</v>
      </c>
      <c r="U61" s="48">
        <v>16.09</v>
      </c>
      <c r="V61" s="47">
        <f t="shared" si="16"/>
        <v>96.869355809753159</v>
      </c>
      <c r="W61" s="48">
        <v>15.97</v>
      </c>
      <c r="X61" s="47">
        <f t="shared" si="17"/>
        <v>96.146899458157748</v>
      </c>
      <c r="Y61" s="48">
        <v>15.8</v>
      </c>
      <c r="Z61" s="47">
        <f t="shared" si="18"/>
        <v>95.123419626730893</v>
      </c>
      <c r="AA61" s="48">
        <v>15.9</v>
      </c>
      <c r="AB61" s="47">
        <f t="shared" si="19"/>
        <v>95.72546658639375</v>
      </c>
      <c r="AC61" s="48">
        <v>13.78</v>
      </c>
      <c r="AD61" s="47">
        <f t="shared" si="20"/>
        <v>82.962071041541236</v>
      </c>
      <c r="AE61" s="49" t="s">
        <v>487</v>
      </c>
      <c r="AF61" s="54"/>
    </row>
    <row r="62" spans="12:32" s="95" customFormat="1" ht="12.5" x14ac:dyDescent="0.25">
      <c r="L62" s="354"/>
      <c r="M62" s="58" t="s">
        <v>488</v>
      </c>
      <c r="N62" s="55">
        <v>18.09</v>
      </c>
      <c r="O62" s="40">
        <v>17.61</v>
      </c>
      <c r="P62" s="47">
        <f t="shared" si="13"/>
        <v>97.346600331674964</v>
      </c>
      <c r="Q62" s="48">
        <v>15.86</v>
      </c>
      <c r="R62" s="47">
        <f t="shared" si="14"/>
        <v>87.672747374239918</v>
      </c>
      <c r="S62" s="48">
        <v>15.86</v>
      </c>
      <c r="T62" s="47">
        <f t="shared" si="15"/>
        <v>87.672747374239918</v>
      </c>
      <c r="U62" s="40">
        <v>17.350000000000001</v>
      </c>
      <c r="V62" s="47">
        <f t="shared" si="16"/>
        <v>95.909342177998909</v>
      </c>
      <c r="W62" s="40">
        <v>17.170000000000002</v>
      </c>
      <c r="X62" s="47">
        <f t="shared" si="17"/>
        <v>94.914317302377015</v>
      </c>
      <c r="Y62" s="40">
        <v>18.010000000000002</v>
      </c>
      <c r="Z62" s="47">
        <f t="shared" si="18"/>
        <v>99.557766721945839</v>
      </c>
      <c r="AA62" s="40">
        <v>17.89</v>
      </c>
      <c r="AB62" s="47">
        <f t="shared" si="19"/>
        <v>98.894416804864576</v>
      </c>
      <c r="AC62" s="40">
        <v>17.8</v>
      </c>
      <c r="AD62" s="47">
        <f t="shared" si="20"/>
        <v>98.396904367053622</v>
      </c>
      <c r="AE62" s="40">
        <v>18.47</v>
      </c>
      <c r="AF62" s="47">
        <f t="shared" ref="AF62" si="22">AE62/N62*100</f>
        <v>102.10060807075732</v>
      </c>
    </row>
    <row r="63" spans="12:32" s="95" customFormat="1" ht="13" x14ac:dyDescent="0.3">
      <c r="L63" s="5"/>
      <c r="M63" s="264"/>
      <c r="N63" s="265" t="s">
        <v>13</v>
      </c>
      <c r="O63" s="264"/>
      <c r="P63" s="264"/>
    </row>
    <row r="64" spans="12:32" s="95" customFormat="1" ht="13" x14ac:dyDescent="0.3">
      <c r="L64" s="5"/>
      <c r="M64" s="264"/>
      <c r="N64" s="266" t="s">
        <v>107</v>
      </c>
      <c r="O64" s="264"/>
      <c r="P64" s="264"/>
    </row>
    <row r="65" spans="12:16" s="95" customFormat="1" ht="12.5" x14ac:dyDescent="0.25">
      <c r="L65" s="5"/>
      <c r="M65" s="96"/>
      <c r="N65" s="98"/>
      <c r="O65" s="98"/>
      <c r="P65" s="98"/>
    </row>
  </sheetData>
  <mergeCells count="29">
    <mergeCell ref="AE36:AF36"/>
    <mergeCell ref="L38:L42"/>
    <mergeCell ref="L43:L47"/>
    <mergeCell ref="L48:L52"/>
    <mergeCell ref="L53:L57"/>
    <mergeCell ref="AA36:AB36"/>
    <mergeCell ref="AC36:AD36"/>
    <mergeCell ref="L58:L62"/>
    <mergeCell ref="S36:T36"/>
    <mergeCell ref="U36:V36"/>
    <mergeCell ref="W36:X36"/>
    <mergeCell ref="Y36:Z36"/>
    <mergeCell ref="Q36:R36"/>
    <mergeCell ref="L11:L15"/>
    <mergeCell ref="L16:L20"/>
    <mergeCell ref="L21:L25"/>
    <mergeCell ref="L26:L30"/>
    <mergeCell ref="O36:P36"/>
    <mergeCell ref="AA4:AB4"/>
    <mergeCell ref="AC4:AD4"/>
    <mergeCell ref="AE4:AF4"/>
    <mergeCell ref="AG4:AH4"/>
    <mergeCell ref="L6:L10"/>
    <mergeCell ref="O4:P4"/>
    <mergeCell ref="Q4:R4"/>
    <mergeCell ref="S4:T4"/>
    <mergeCell ref="U4:V4"/>
    <mergeCell ref="W4:X4"/>
    <mergeCell ref="Y4:Z4"/>
  </mergeCells>
  <phoneticPr fontId="3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3B00-763F-4069-A1D6-A707DD2CF719}">
  <dimension ref="B2:AH37"/>
  <sheetViews>
    <sheetView zoomScale="90" zoomScaleNormal="90" workbookViewId="0">
      <selection activeCell="G35" sqref="G35"/>
    </sheetView>
  </sheetViews>
  <sheetFormatPr defaultColWidth="9" defaultRowHeight="14" x14ac:dyDescent="0.3"/>
  <cols>
    <col min="1" max="3" width="9" style="25"/>
    <col min="4" max="4" width="12.08203125" style="25" bestFit="1" customWidth="1"/>
    <col min="5" max="5" width="19.5" style="25" customWidth="1"/>
    <col min="6" max="6" width="7.5" style="25" customWidth="1"/>
    <col min="7" max="7" width="29" style="25" bestFit="1" customWidth="1"/>
    <col min="8" max="8" width="8" style="25" customWidth="1"/>
    <col min="9" max="9" width="6.33203125" style="25" customWidth="1"/>
    <col min="10" max="10" width="15.83203125" style="37" customWidth="1"/>
    <col min="11" max="11" width="6.33203125" style="35" customWidth="1"/>
    <col min="12" max="13" width="6.5" style="36" customWidth="1"/>
    <col min="14" max="14" width="7.58203125" style="36" customWidth="1"/>
    <col min="15" max="15" width="6" style="25" bestFit="1" customWidth="1"/>
    <col min="16" max="16" width="6.75" style="25" customWidth="1"/>
    <col min="17" max="17" width="6" style="25" bestFit="1" customWidth="1"/>
    <col min="18" max="18" width="6.75" style="25" customWidth="1"/>
    <col min="19" max="19" width="6" style="25" bestFit="1" customWidth="1"/>
    <col min="20" max="20" width="6.75" style="25" customWidth="1"/>
    <col min="21" max="21" width="6" style="25" bestFit="1" customWidth="1"/>
    <col min="22" max="22" width="6.75" style="25" customWidth="1"/>
    <col min="23" max="23" width="6" style="25" bestFit="1" customWidth="1"/>
    <col min="24" max="24" width="6.75" style="25" customWidth="1"/>
    <col min="25" max="25" width="6" style="25" bestFit="1" customWidth="1"/>
    <col min="26" max="26" width="6.75" style="25" customWidth="1"/>
    <col min="27" max="27" width="5.75" style="25" customWidth="1"/>
    <col min="28" max="28" width="6.75" style="25" bestFit="1" customWidth="1"/>
    <col min="29" max="29" width="6" style="25" bestFit="1" customWidth="1"/>
    <col min="30" max="30" width="6.75" style="25" bestFit="1" customWidth="1"/>
    <col min="31" max="31" width="6.33203125" style="25" bestFit="1" customWidth="1"/>
    <col min="32" max="32" width="7.5" style="25" bestFit="1" customWidth="1"/>
    <col min="33" max="33" width="6.33203125" style="25" bestFit="1" customWidth="1"/>
    <col min="34" max="34" width="7.5" style="25" bestFit="1" customWidth="1"/>
    <col min="35" max="16384" width="9" style="25"/>
  </cols>
  <sheetData>
    <row r="2" spans="2:34" s="95" customFormat="1" ht="13" x14ac:dyDescent="0.25">
      <c r="B2" s="100" t="s">
        <v>1087</v>
      </c>
      <c r="K2" s="96"/>
      <c r="L2" s="101"/>
      <c r="M2" s="101"/>
    </row>
    <row r="3" spans="2:34" s="95" customFormat="1" ht="13" x14ac:dyDescent="0.3">
      <c r="J3" s="99" t="s">
        <v>1088</v>
      </c>
      <c r="K3" s="100"/>
      <c r="L3" s="101"/>
      <c r="M3" s="101"/>
    </row>
    <row r="4" spans="2:34" s="95" customFormat="1" ht="12.5" x14ac:dyDescent="0.25">
      <c r="J4" s="5"/>
      <c r="K4" s="96"/>
      <c r="L4" s="98"/>
      <c r="M4" s="98"/>
      <c r="N4" s="98"/>
    </row>
    <row r="5" spans="2:34" s="95" customFormat="1" ht="13" x14ac:dyDescent="0.3">
      <c r="B5" s="4" t="s">
        <v>132</v>
      </c>
      <c r="C5" s="4" t="s">
        <v>494</v>
      </c>
      <c r="D5" s="9" t="s">
        <v>201</v>
      </c>
      <c r="E5" s="9" t="s">
        <v>1092</v>
      </c>
      <c r="F5" s="5"/>
      <c r="G5" s="103" t="s">
        <v>71</v>
      </c>
      <c r="J5" s="4"/>
      <c r="K5" s="263" t="s">
        <v>72</v>
      </c>
      <c r="L5" s="263" t="s">
        <v>172</v>
      </c>
      <c r="M5" s="358" t="s">
        <v>173</v>
      </c>
      <c r="N5" s="359"/>
      <c r="O5" s="358" t="s">
        <v>102</v>
      </c>
      <c r="P5" s="359"/>
      <c r="Q5" s="358" t="s">
        <v>174</v>
      </c>
      <c r="R5" s="359"/>
      <c r="S5" s="358" t="s">
        <v>103</v>
      </c>
      <c r="T5" s="359"/>
      <c r="U5" s="358" t="s">
        <v>175</v>
      </c>
      <c r="V5" s="359"/>
      <c r="W5" s="358" t="s">
        <v>74</v>
      </c>
      <c r="X5" s="359"/>
      <c r="Y5" s="358" t="s">
        <v>176</v>
      </c>
      <c r="Z5" s="359"/>
      <c r="AA5" s="358" t="s">
        <v>75</v>
      </c>
      <c r="AB5" s="359"/>
      <c r="AC5" s="358" t="s">
        <v>264</v>
      </c>
      <c r="AD5" s="359"/>
      <c r="AE5" s="358" t="s">
        <v>278</v>
      </c>
      <c r="AF5" s="359"/>
      <c r="AG5" s="358" t="s">
        <v>333</v>
      </c>
      <c r="AH5" s="359"/>
    </row>
    <row r="6" spans="2:34" s="95" customFormat="1" ht="12.5" x14ac:dyDescent="0.25">
      <c r="B6" s="3">
        <v>3</v>
      </c>
      <c r="C6" s="3"/>
      <c r="D6" s="3"/>
      <c r="E6" s="3">
        <v>1</v>
      </c>
      <c r="F6" s="1"/>
      <c r="J6" s="4"/>
      <c r="K6" s="263"/>
      <c r="L6" s="263"/>
      <c r="M6" s="263"/>
      <c r="N6" s="27"/>
      <c r="O6" s="263"/>
      <c r="P6" s="27"/>
      <c r="Q6" s="263"/>
      <c r="R6" s="27"/>
      <c r="S6" s="263"/>
      <c r="T6" s="27"/>
      <c r="U6" s="263"/>
      <c r="V6" s="27"/>
      <c r="W6" s="263"/>
      <c r="X6" s="27"/>
      <c r="Y6" s="263"/>
      <c r="Z6" s="27"/>
      <c r="AA6" s="263"/>
      <c r="AB6" s="27"/>
      <c r="AC6" s="263"/>
      <c r="AD6" s="27"/>
      <c r="AE6" s="263"/>
      <c r="AF6" s="27"/>
      <c r="AG6" s="263"/>
      <c r="AH6" s="27"/>
    </row>
    <row r="7" spans="2:34" s="95" customFormat="1" ht="13" x14ac:dyDescent="0.3">
      <c r="B7" s="3">
        <v>4</v>
      </c>
      <c r="C7" s="3"/>
      <c r="D7" s="3">
        <v>1</v>
      </c>
      <c r="E7" s="3"/>
      <c r="F7" s="1"/>
      <c r="G7" s="7" t="s">
        <v>140</v>
      </c>
      <c r="H7" s="3"/>
      <c r="J7" s="354" t="s">
        <v>364</v>
      </c>
      <c r="K7" s="58" t="s">
        <v>334</v>
      </c>
      <c r="L7" s="55">
        <v>17.559999999999999</v>
      </c>
      <c r="M7" s="40">
        <v>16.670000000000002</v>
      </c>
      <c r="N7" s="47">
        <f>M7/L7*100</f>
        <v>94.931662870159471</v>
      </c>
      <c r="O7" s="40">
        <v>16.239999999999998</v>
      </c>
      <c r="P7" s="47">
        <f>O7/L7*100</f>
        <v>92.482915717539854</v>
      </c>
      <c r="Q7" s="40">
        <v>17.170000000000002</v>
      </c>
      <c r="R7" s="47">
        <f>Q7/L7*100</f>
        <v>97.77904328018225</v>
      </c>
      <c r="S7" s="40">
        <v>17.02</v>
      </c>
      <c r="T7" s="47">
        <f>S7/L7*100</f>
        <v>96.924829157175409</v>
      </c>
      <c r="U7" s="40">
        <v>17.559999999999999</v>
      </c>
      <c r="V7" s="47">
        <f>U7/L7*100</f>
        <v>100</v>
      </c>
      <c r="W7" s="40">
        <v>18.18</v>
      </c>
      <c r="X7" s="47">
        <f>W7/L7*100</f>
        <v>103.53075170842826</v>
      </c>
      <c r="Y7" s="40">
        <v>18.21</v>
      </c>
      <c r="Z7" s="47">
        <f>Y7/L7*100</f>
        <v>103.70159453302963</v>
      </c>
      <c r="AA7" s="40">
        <v>18.46</v>
      </c>
      <c r="AB7" s="47">
        <f>AA7/L7*100</f>
        <v>105.12528473804102</v>
      </c>
      <c r="AC7" s="40">
        <v>18.37</v>
      </c>
      <c r="AD7" s="47">
        <f>AC7/L7*100</f>
        <v>104.61275626423692</v>
      </c>
      <c r="AE7" s="40">
        <v>18.86</v>
      </c>
      <c r="AF7" s="47">
        <f>AE7/L7*100</f>
        <v>107.40318906605924</v>
      </c>
      <c r="AG7" s="40">
        <v>19.04</v>
      </c>
      <c r="AH7" s="47">
        <f>AG7/L7*100</f>
        <v>108.42824601366743</v>
      </c>
    </row>
    <row r="8" spans="2:34" s="95" customFormat="1" ht="12.5" x14ac:dyDescent="0.25">
      <c r="B8" s="3">
        <v>4</v>
      </c>
      <c r="C8" s="3"/>
      <c r="D8" s="3">
        <v>1</v>
      </c>
      <c r="E8" s="3"/>
      <c r="F8" s="1"/>
      <c r="G8" s="2"/>
      <c r="H8" s="3"/>
      <c r="J8" s="354"/>
      <c r="K8" s="58" t="s">
        <v>335</v>
      </c>
      <c r="L8" s="55">
        <v>18.010000000000002</v>
      </c>
      <c r="M8" s="40">
        <v>18.440000000000001</v>
      </c>
      <c r="N8" s="47">
        <f t="shared" ref="N8:N21" si="0">M8/L8*100</f>
        <v>102.38756246529705</v>
      </c>
      <c r="O8" s="40">
        <v>17.97</v>
      </c>
      <c r="P8" s="47">
        <f t="shared" ref="P8:P21" si="1">O8/L8*100</f>
        <v>99.777901166018864</v>
      </c>
      <c r="Q8" s="40">
        <v>18.010000000000002</v>
      </c>
      <c r="R8" s="47">
        <f t="shared" ref="R8:R16" si="2">Q8/L8*100</f>
        <v>100</v>
      </c>
      <c r="S8" s="40">
        <v>18.07</v>
      </c>
      <c r="T8" s="47">
        <f t="shared" ref="T8:T16" si="3">S8/L8*100</f>
        <v>100.33314825097167</v>
      </c>
      <c r="U8" s="40">
        <v>18.22</v>
      </c>
      <c r="V8" s="47">
        <f t="shared" ref="V8:V12" si="4">U8/L8*100</f>
        <v>101.16601887840086</v>
      </c>
      <c r="W8" s="40">
        <v>18.43</v>
      </c>
      <c r="X8" s="47">
        <f t="shared" ref="X8:X11" si="5">W8/L8*100</f>
        <v>102.33203775680178</v>
      </c>
      <c r="Y8" s="40">
        <v>18.809999999999999</v>
      </c>
      <c r="Z8" s="47">
        <f t="shared" ref="Z8:Z11" si="6">Y8/L8*100</f>
        <v>104.4419766796224</v>
      </c>
      <c r="AA8" s="40">
        <v>18.97</v>
      </c>
      <c r="AB8" s="47">
        <f t="shared" ref="AB8:AB11" si="7">AA8/L8*100</f>
        <v>105.33037201554691</v>
      </c>
      <c r="AC8" s="40">
        <v>19.07</v>
      </c>
      <c r="AD8" s="47">
        <f t="shared" ref="AD8:AD11" si="8">AC8/L8*100</f>
        <v>105.88561910049972</v>
      </c>
      <c r="AE8" s="40">
        <v>19.170000000000002</v>
      </c>
      <c r="AF8" s="47">
        <f t="shared" ref="AF8:AF11" si="9">AE8/L8*100</f>
        <v>106.44086618545252</v>
      </c>
      <c r="AG8" s="40">
        <v>20.13</v>
      </c>
      <c r="AH8" s="47">
        <f t="shared" ref="AH8:AH11" si="10">AG8/L8*100</f>
        <v>111.77123820099943</v>
      </c>
    </row>
    <row r="9" spans="2:34" s="95" customFormat="1" ht="12.5" x14ac:dyDescent="0.25">
      <c r="B9" s="3">
        <v>5</v>
      </c>
      <c r="C9" s="3"/>
      <c r="D9" s="3"/>
      <c r="E9" s="3">
        <v>1</v>
      </c>
      <c r="F9" s="1"/>
      <c r="G9" s="2" t="s">
        <v>141</v>
      </c>
      <c r="H9" s="3"/>
      <c r="J9" s="354"/>
      <c r="K9" s="58" t="s">
        <v>336</v>
      </c>
      <c r="L9" s="55">
        <v>18.97</v>
      </c>
      <c r="M9" s="40">
        <v>18.079999999999998</v>
      </c>
      <c r="N9" s="47">
        <f t="shared" si="0"/>
        <v>95.308381655245128</v>
      </c>
      <c r="O9" s="40">
        <v>17.77</v>
      </c>
      <c r="P9" s="47">
        <f t="shared" si="1"/>
        <v>93.674222456510279</v>
      </c>
      <c r="Q9" s="40">
        <v>18.12</v>
      </c>
      <c r="R9" s="47">
        <f t="shared" si="2"/>
        <v>95.51924090669479</v>
      </c>
      <c r="S9" s="40">
        <v>18.66</v>
      </c>
      <c r="T9" s="47">
        <f t="shared" si="3"/>
        <v>98.365840801265165</v>
      </c>
      <c r="U9" s="40">
        <v>18.89</v>
      </c>
      <c r="V9" s="47">
        <f t="shared" si="4"/>
        <v>99.57828149710069</v>
      </c>
      <c r="W9" s="40">
        <v>19.14</v>
      </c>
      <c r="X9" s="47">
        <f t="shared" si="5"/>
        <v>100.89615181866105</v>
      </c>
      <c r="Y9" s="40">
        <v>19.399999999999999</v>
      </c>
      <c r="Z9" s="47">
        <f t="shared" si="6"/>
        <v>102.26673695308381</v>
      </c>
      <c r="AA9" s="40">
        <v>19.809999999999999</v>
      </c>
      <c r="AB9" s="47">
        <f t="shared" si="7"/>
        <v>104.4280442804428</v>
      </c>
      <c r="AC9" s="40">
        <v>19.64</v>
      </c>
      <c r="AD9" s="47">
        <f t="shared" si="8"/>
        <v>103.53189246178177</v>
      </c>
      <c r="AE9" s="40">
        <v>19.88</v>
      </c>
      <c r="AF9" s="47">
        <f t="shared" si="9"/>
        <v>104.79704797047971</v>
      </c>
      <c r="AG9" s="40">
        <v>20.52</v>
      </c>
      <c r="AH9" s="47">
        <f t="shared" si="10"/>
        <v>108.17079599367423</v>
      </c>
    </row>
    <row r="10" spans="2:34" s="95" customFormat="1" ht="12.5" x14ac:dyDescent="0.25">
      <c r="B10" s="3">
        <v>9</v>
      </c>
      <c r="C10" s="3"/>
      <c r="D10" s="3"/>
      <c r="E10" s="3">
        <v>1</v>
      </c>
      <c r="F10" s="1"/>
      <c r="G10" s="2" t="s">
        <v>142</v>
      </c>
      <c r="H10" s="3">
        <v>0.65449999999999997</v>
      </c>
      <c r="J10" s="354"/>
      <c r="K10" s="58" t="s">
        <v>337</v>
      </c>
      <c r="L10" s="55">
        <v>17.07</v>
      </c>
      <c r="M10" s="40">
        <v>16.809999999999999</v>
      </c>
      <c r="N10" s="47">
        <f t="shared" si="0"/>
        <v>98.476859988283522</v>
      </c>
      <c r="O10" s="40">
        <v>16.48</v>
      </c>
      <c r="P10" s="47">
        <f t="shared" si="1"/>
        <v>96.543643819566498</v>
      </c>
      <c r="Q10" s="40">
        <v>16.7</v>
      </c>
      <c r="R10" s="47">
        <f t="shared" si="2"/>
        <v>97.83245459871118</v>
      </c>
      <c r="S10" s="40">
        <v>16.89</v>
      </c>
      <c r="T10" s="47">
        <f t="shared" si="3"/>
        <v>98.945518453427056</v>
      </c>
      <c r="U10" s="40">
        <v>16.809999999999999</v>
      </c>
      <c r="V10" s="47">
        <f t="shared" si="4"/>
        <v>98.476859988283522</v>
      </c>
      <c r="W10" s="40">
        <v>17.48</v>
      </c>
      <c r="X10" s="47">
        <f t="shared" si="5"/>
        <v>102.40187463386057</v>
      </c>
      <c r="Y10" s="40">
        <v>17.82</v>
      </c>
      <c r="Z10" s="47">
        <f t="shared" si="6"/>
        <v>104.39367311072057</v>
      </c>
      <c r="AA10" s="40">
        <v>17.670000000000002</v>
      </c>
      <c r="AB10" s="47">
        <f t="shared" si="7"/>
        <v>103.51493848857646</v>
      </c>
      <c r="AC10" s="40">
        <v>17.989999999999998</v>
      </c>
      <c r="AD10" s="47">
        <f t="shared" si="8"/>
        <v>105.38957234915054</v>
      </c>
      <c r="AE10" s="40">
        <v>17.84</v>
      </c>
      <c r="AF10" s="47">
        <f t="shared" si="9"/>
        <v>104.51083772700645</v>
      </c>
      <c r="AG10" s="40">
        <v>18.12</v>
      </c>
      <c r="AH10" s="47">
        <f t="shared" si="10"/>
        <v>106.1511423550088</v>
      </c>
    </row>
    <row r="11" spans="2:34" s="95" customFormat="1" ht="12.5" x14ac:dyDescent="0.25">
      <c r="B11" s="3">
        <v>10</v>
      </c>
      <c r="C11" s="3"/>
      <c r="D11" s="3">
        <v>1</v>
      </c>
      <c r="E11" s="3">
        <v>1</v>
      </c>
      <c r="F11" s="1"/>
      <c r="G11" s="2" t="s">
        <v>143</v>
      </c>
      <c r="H11" s="3">
        <v>1</v>
      </c>
      <c r="J11" s="354"/>
      <c r="K11" s="58" t="s">
        <v>338</v>
      </c>
      <c r="L11" s="55">
        <v>17.809999999999999</v>
      </c>
      <c r="M11" s="40">
        <v>17.84</v>
      </c>
      <c r="N11" s="47">
        <f t="shared" si="0"/>
        <v>100.16844469399216</v>
      </c>
      <c r="O11" s="40">
        <v>17.61</v>
      </c>
      <c r="P11" s="47">
        <f t="shared" si="1"/>
        <v>98.877035373385752</v>
      </c>
      <c r="Q11" s="40">
        <v>17.809999999999999</v>
      </c>
      <c r="R11" s="47">
        <f t="shared" si="2"/>
        <v>100</v>
      </c>
      <c r="S11" s="40">
        <v>17.63</v>
      </c>
      <c r="T11" s="47">
        <f t="shared" si="3"/>
        <v>98.989331836047171</v>
      </c>
      <c r="U11" s="40">
        <v>17.73</v>
      </c>
      <c r="V11" s="47">
        <f t="shared" si="4"/>
        <v>99.550814149354309</v>
      </c>
      <c r="W11" s="40">
        <v>18.13</v>
      </c>
      <c r="X11" s="47">
        <f t="shared" si="5"/>
        <v>101.79674340258282</v>
      </c>
      <c r="Y11" s="40">
        <v>18.510000000000002</v>
      </c>
      <c r="Z11" s="47">
        <f t="shared" si="6"/>
        <v>103.93037619314993</v>
      </c>
      <c r="AA11" s="40">
        <v>19.010000000000002</v>
      </c>
      <c r="AB11" s="47">
        <f t="shared" si="7"/>
        <v>106.73778775968559</v>
      </c>
      <c r="AC11" s="40">
        <v>19.13</v>
      </c>
      <c r="AD11" s="47">
        <f t="shared" si="8"/>
        <v>107.41156653565413</v>
      </c>
      <c r="AE11" s="40">
        <v>19.600000000000001</v>
      </c>
      <c r="AF11" s="47">
        <f t="shared" si="9"/>
        <v>110.05053340819767</v>
      </c>
      <c r="AG11" s="40">
        <v>19.61</v>
      </c>
      <c r="AH11" s="47">
        <f t="shared" si="10"/>
        <v>110.10668163952838</v>
      </c>
    </row>
    <row r="12" spans="2:34" s="95" customFormat="1" ht="13" x14ac:dyDescent="0.3">
      <c r="B12" s="3">
        <v>11</v>
      </c>
      <c r="C12" s="3"/>
      <c r="D12" s="3">
        <v>1</v>
      </c>
      <c r="E12" s="3">
        <v>1</v>
      </c>
      <c r="F12" s="1"/>
      <c r="G12" s="7" t="s">
        <v>47</v>
      </c>
      <c r="H12" s="8">
        <v>0.41849999999999998</v>
      </c>
      <c r="J12" s="366" t="s">
        <v>365</v>
      </c>
      <c r="K12" s="58" t="s">
        <v>339</v>
      </c>
      <c r="L12" s="55">
        <v>16.97</v>
      </c>
      <c r="M12" s="40">
        <v>16.14</v>
      </c>
      <c r="N12" s="47">
        <f t="shared" si="0"/>
        <v>95.109015910430188</v>
      </c>
      <c r="O12" s="40">
        <v>14.29</v>
      </c>
      <c r="P12" s="47">
        <f t="shared" si="1"/>
        <v>84.207424867413081</v>
      </c>
      <c r="Q12" s="40">
        <v>13.65</v>
      </c>
      <c r="R12" s="47">
        <f t="shared" si="2"/>
        <v>80.436063641720693</v>
      </c>
      <c r="S12" s="40">
        <v>11.86</v>
      </c>
      <c r="T12" s="50">
        <f t="shared" si="3"/>
        <v>69.888037713612263</v>
      </c>
      <c r="U12" s="40">
        <v>12.67</v>
      </c>
      <c r="V12" s="50">
        <f t="shared" si="4"/>
        <v>74.661166764879212</v>
      </c>
      <c r="W12" s="49" t="s">
        <v>126</v>
      </c>
      <c r="X12" s="50"/>
      <c r="Y12" s="48"/>
      <c r="Z12" s="50"/>
      <c r="AA12" s="59"/>
      <c r="AB12" s="50"/>
      <c r="AC12" s="59"/>
      <c r="AD12" s="50"/>
      <c r="AE12" s="59"/>
      <c r="AF12" s="50"/>
      <c r="AG12" s="59"/>
      <c r="AH12" s="50"/>
    </row>
    <row r="13" spans="2:34" s="95" customFormat="1" ht="13" x14ac:dyDescent="0.3">
      <c r="B13" s="3">
        <v>12</v>
      </c>
      <c r="C13" s="3"/>
      <c r="D13" s="3">
        <v>1</v>
      </c>
      <c r="E13" s="3"/>
      <c r="F13" s="1"/>
      <c r="G13" s="7" t="s">
        <v>49</v>
      </c>
      <c r="H13" s="8" t="s">
        <v>203</v>
      </c>
      <c r="J13" s="366"/>
      <c r="K13" s="58" t="s">
        <v>340</v>
      </c>
      <c r="L13" s="55">
        <v>17.8</v>
      </c>
      <c r="M13" s="40">
        <v>16.8</v>
      </c>
      <c r="N13" s="47">
        <f t="shared" si="0"/>
        <v>94.382022471910105</v>
      </c>
      <c r="O13" s="40">
        <v>15.03</v>
      </c>
      <c r="P13" s="47">
        <f t="shared" si="1"/>
        <v>84.438202247191015</v>
      </c>
      <c r="Q13" s="40">
        <v>14.2</v>
      </c>
      <c r="R13" s="50">
        <f t="shared" si="2"/>
        <v>79.775280898876403</v>
      </c>
      <c r="S13" s="49" t="s">
        <v>341</v>
      </c>
      <c r="T13" s="50"/>
      <c r="U13" s="48"/>
      <c r="V13" s="50"/>
      <c r="W13" s="49"/>
      <c r="X13" s="50"/>
      <c r="Y13" s="48"/>
      <c r="Z13" s="50"/>
      <c r="AA13" s="48"/>
      <c r="AB13" s="50"/>
      <c r="AC13" s="48"/>
      <c r="AD13" s="50"/>
      <c r="AE13" s="48"/>
      <c r="AF13" s="50"/>
      <c r="AG13" s="48"/>
      <c r="AH13" s="50"/>
    </row>
    <row r="14" spans="2:34" s="95" customFormat="1" ht="13" x14ac:dyDescent="0.25">
      <c r="B14" s="3">
        <v>35</v>
      </c>
      <c r="C14" s="3">
        <v>0</v>
      </c>
      <c r="D14" s="3"/>
      <c r="E14" s="3"/>
      <c r="F14" s="1"/>
      <c r="G14" s="2" t="s">
        <v>144</v>
      </c>
      <c r="H14" s="3" t="s">
        <v>204</v>
      </c>
      <c r="J14" s="366"/>
      <c r="K14" s="58" t="s">
        <v>342</v>
      </c>
      <c r="L14" s="55">
        <v>17.95</v>
      </c>
      <c r="M14" s="40">
        <v>16.88</v>
      </c>
      <c r="N14" s="47">
        <f t="shared" si="0"/>
        <v>94.038997214484681</v>
      </c>
      <c r="O14" s="40">
        <v>14.99</v>
      </c>
      <c r="P14" s="47">
        <f t="shared" si="1"/>
        <v>83.509749303621177</v>
      </c>
      <c r="Q14" s="40">
        <v>14.15</v>
      </c>
      <c r="R14" s="50">
        <f t="shared" si="2"/>
        <v>78.830083565459617</v>
      </c>
      <c r="S14" s="40">
        <v>12.32</v>
      </c>
      <c r="T14" s="50">
        <f t="shared" si="3"/>
        <v>68.635097493036213</v>
      </c>
      <c r="U14" s="40">
        <v>13.18</v>
      </c>
      <c r="V14" s="50">
        <f>U14/L14*100</f>
        <v>73.426183844011135</v>
      </c>
      <c r="W14" s="49" t="s">
        <v>128</v>
      </c>
      <c r="X14" s="50"/>
      <c r="Y14" s="48"/>
      <c r="Z14" s="50"/>
      <c r="AA14" s="48"/>
      <c r="AB14" s="50"/>
      <c r="AC14" s="48"/>
      <c r="AD14" s="50"/>
      <c r="AE14" s="48"/>
      <c r="AF14" s="50"/>
      <c r="AG14" s="48"/>
      <c r="AH14" s="50"/>
    </row>
    <row r="15" spans="2:34" s="95" customFormat="1" ht="13" x14ac:dyDescent="0.25">
      <c r="B15" s="3">
        <v>35</v>
      </c>
      <c r="C15" s="3">
        <v>0</v>
      </c>
      <c r="D15" s="3"/>
      <c r="E15" s="3"/>
      <c r="F15" s="1"/>
      <c r="G15" s="1"/>
      <c r="H15" s="1"/>
      <c r="J15" s="366"/>
      <c r="K15" s="58" t="s">
        <v>343</v>
      </c>
      <c r="L15" s="55">
        <v>17.2</v>
      </c>
      <c r="M15" s="40">
        <v>16.2</v>
      </c>
      <c r="N15" s="47">
        <f t="shared" si="0"/>
        <v>94.186046511627907</v>
      </c>
      <c r="O15" s="40">
        <v>14.71</v>
      </c>
      <c r="P15" s="47">
        <f t="shared" si="1"/>
        <v>85.523255813953497</v>
      </c>
      <c r="Q15" s="40">
        <v>14.1</v>
      </c>
      <c r="R15" s="47">
        <f t="shared" si="2"/>
        <v>81.976744186046517</v>
      </c>
      <c r="S15" s="49" t="s">
        <v>341</v>
      </c>
      <c r="T15" s="50"/>
      <c r="U15" s="48"/>
      <c r="V15" s="50"/>
      <c r="W15" s="49"/>
      <c r="X15" s="50"/>
      <c r="Y15" s="48"/>
      <c r="Z15" s="50"/>
      <c r="AA15" s="48"/>
      <c r="AB15" s="50"/>
      <c r="AC15" s="48"/>
      <c r="AD15" s="50"/>
      <c r="AE15" s="48"/>
      <c r="AF15" s="50"/>
      <c r="AG15" s="48"/>
      <c r="AH15" s="50"/>
    </row>
    <row r="16" spans="2:34" s="95" customFormat="1" ht="14.25" customHeight="1" x14ac:dyDescent="0.25">
      <c r="B16" s="3">
        <v>35</v>
      </c>
      <c r="C16" s="3">
        <v>0</v>
      </c>
      <c r="D16" s="3"/>
      <c r="E16" s="3"/>
      <c r="F16" s="1"/>
      <c r="G16" s="1"/>
      <c r="H16" s="1"/>
      <c r="J16" s="366"/>
      <c r="K16" s="58" t="s">
        <v>344</v>
      </c>
      <c r="L16" s="55">
        <v>17.350000000000001</v>
      </c>
      <c r="M16" s="40">
        <v>16.7</v>
      </c>
      <c r="N16" s="47">
        <f t="shared" si="0"/>
        <v>96.253602305475496</v>
      </c>
      <c r="O16" s="40">
        <v>14.93</v>
      </c>
      <c r="P16" s="47">
        <f t="shared" si="1"/>
        <v>86.051873198847247</v>
      </c>
      <c r="Q16" s="40">
        <v>14.09</v>
      </c>
      <c r="R16" s="47">
        <f t="shared" si="2"/>
        <v>81.210374639769441</v>
      </c>
      <c r="S16" s="40">
        <v>12.61</v>
      </c>
      <c r="T16" s="50">
        <f t="shared" si="3"/>
        <v>72.680115273775201</v>
      </c>
      <c r="U16" s="40">
        <v>12.7</v>
      </c>
      <c r="V16" s="50">
        <f t="shared" ref="V16" si="11">U16/L16*100</f>
        <v>73.198847262247824</v>
      </c>
      <c r="W16" s="49" t="s">
        <v>345</v>
      </c>
      <c r="X16" s="50"/>
      <c r="Y16" s="48"/>
      <c r="Z16" s="50"/>
      <c r="AA16" s="48"/>
      <c r="AB16" s="50"/>
      <c r="AC16" s="48"/>
      <c r="AD16" s="50"/>
      <c r="AE16" s="48"/>
      <c r="AF16" s="50"/>
      <c r="AG16" s="48"/>
      <c r="AH16" s="50"/>
    </row>
    <row r="17" spans="2:34" s="95" customFormat="1" ht="13" x14ac:dyDescent="0.3">
      <c r="B17" s="3">
        <v>35</v>
      </c>
      <c r="C17" s="3">
        <v>0</v>
      </c>
      <c r="D17" s="3"/>
      <c r="E17" s="3"/>
      <c r="F17" s="1"/>
      <c r="J17" s="354" t="s">
        <v>865</v>
      </c>
      <c r="K17" s="58" t="s">
        <v>367</v>
      </c>
      <c r="L17" s="55">
        <v>16.28</v>
      </c>
      <c r="M17" s="40">
        <v>15.53</v>
      </c>
      <c r="N17" s="41">
        <f t="shared" si="0"/>
        <v>95.393120393120384</v>
      </c>
      <c r="O17" s="40">
        <v>14.06</v>
      </c>
      <c r="P17" s="41">
        <f t="shared" si="1"/>
        <v>86.36363636363636</v>
      </c>
      <c r="Q17" s="49" t="s">
        <v>228</v>
      </c>
      <c r="R17" s="57"/>
      <c r="S17" s="48"/>
      <c r="T17" s="56"/>
      <c r="U17" s="48"/>
      <c r="V17" s="56"/>
      <c r="W17" s="49"/>
      <c r="X17" s="56"/>
      <c r="Y17" s="48"/>
      <c r="Z17" s="56"/>
      <c r="AA17" s="48"/>
      <c r="AB17" s="56"/>
      <c r="AC17" s="48"/>
      <c r="AD17" s="56"/>
      <c r="AE17" s="48"/>
      <c r="AF17" s="56"/>
      <c r="AG17" s="48"/>
      <c r="AH17" s="56"/>
    </row>
    <row r="18" spans="2:34" s="95" customFormat="1" ht="13" x14ac:dyDescent="0.25">
      <c r="B18" s="3">
        <v>35</v>
      </c>
      <c r="C18" s="3">
        <v>0</v>
      </c>
      <c r="D18" s="3"/>
      <c r="E18" s="3"/>
      <c r="F18" s="1"/>
      <c r="J18" s="354"/>
      <c r="K18" s="58" t="s">
        <v>368</v>
      </c>
      <c r="L18" s="55">
        <v>16.89</v>
      </c>
      <c r="M18" s="40">
        <v>16.420000000000002</v>
      </c>
      <c r="N18" s="41">
        <f t="shared" si="0"/>
        <v>97.217288336293677</v>
      </c>
      <c r="O18" s="40">
        <v>14.91</v>
      </c>
      <c r="P18" s="41">
        <f t="shared" si="1"/>
        <v>88.277087033747776</v>
      </c>
      <c r="Q18" s="40">
        <v>14.08</v>
      </c>
      <c r="R18" s="41">
        <f t="shared" ref="R18:R21" si="12">Q18/L18*100</f>
        <v>83.362936648904679</v>
      </c>
      <c r="S18" s="49" t="s">
        <v>366</v>
      </c>
      <c r="T18" s="56"/>
      <c r="U18" s="48"/>
      <c r="V18" s="56"/>
      <c r="W18" s="49"/>
      <c r="X18" s="56"/>
      <c r="Y18" s="48"/>
      <c r="Z18" s="56"/>
      <c r="AA18" s="48"/>
      <c r="AB18" s="56"/>
      <c r="AC18" s="48"/>
      <c r="AD18" s="56"/>
      <c r="AE18" s="48"/>
      <c r="AF18" s="56"/>
      <c r="AG18" s="48"/>
      <c r="AH18" s="56"/>
    </row>
    <row r="19" spans="2:34" s="95" customFormat="1" ht="13" x14ac:dyDescent="0.25">
      <c r="B19" s="95" t="s">
        <v>170</v>
      </c>
      <c r="F19" s="1"/>
      <c r="J19" s="354"/>
      <c r="K19" s="58" t="s">
        <v>369</v>
      </c>
      <c r="L19" s="55">
        <v>17.37</v>
      </c>
      <c r="M19" s="40">
        <v>16.100000000000001</v>
      </c>
      <c r="N19" s="41">
        <f t="shared" si="0"/>
        <v>92.688543465745539</v>
      </c>
      <c r="O19" s="40">
        <v>14.9</v>
      </c>
      <c r="P19" s="41">
        <f t="shared" si="1"/>
        <v>85.780080598733448</v>
      </c>
      <c r="Q19" s="40">
        <v>13.76</v>
      </c>
      <c r="R19" s="56">
        <f t="shared" si="12"/>
        <v>79.217040875071959</v>
      </c>
      <c r="S19" s="40">
        <v>12.46</v>
      </c>
      <c r="T19" s="56">
        <f t="shared" ref="T19:T21" si="13">S19/L19*100</f>
        <v>71.732872769142205</v>
      </c>
      <c r="U19" s="40">
        <v>11.45</v>
      </c>
      <c r="V19" s="56">
        <f t="shared" ref="V19:V21" si="14">U19/L19*100</f>
        <v>65.918249856073686</v>
      </c>
      <c r="W19" s="49" t="s">
        <v>126</v>
      </c>
      <c r="X19" s="56"/>
      <c r="Y19" s="48"/>
      <c r="Z19" s="56"/>
      <c r="AA19" s="48"/>
      <c r="AB19" s="56"/>
      <c r="AC19" s="48"/>
      <c r="AD19" s="56"/>
      <c r="AE19" s="48"/>
      <c r="AF19" s="56"/>
      <c r="AG19" s="48"/>
      <c r="AH19" s="56"/>
    </row>
    <row r="20" spans="2:34" s="95" customFormat="1" ht="13" x14ac:dyDescent="0.25">
      <c r="F20" s="1"/>
      <c r="J20" s="354"/>
      <c r="K20" s="58" t="s">
        <v>370</v>
      </c>
      <c r="L20" s="55">
        <v>17.79</v>
      </c>
      <c r="M20" s="40">
        <v>16.93</v>
      </c>
      <c r="N20" s="41">
        <f t="shared" si="0"/>
        <v>95.165823496346263</v>
      </c>
      <c r="O20" s="40">
        <v>15.4</v>
      </c>
      <c r="P20" s="41">
        <f t="shared" si="1"/>
        <v>86.565486228218106</v>
      </c>
      <c r="Q20" s="40">
        <v>14.67</v>
      </c>
      <c r="R20" s="41">
        <f t="shared" si="12"/>
        <v>82.46205733558179</v>
      </c>
      <c r="S20" s="40">
        <v>13.57</v>
      </c>
      <c r="T20" s="56">
        <f t="shared" si="13"/>
        <v>76.2788083192805</v>
      </c>
      <c r="U20" s="40">
        <v>12.8</v>
      </c>
      <c r="V20" s="56">
        <f t="shared" si="14"/>
        <v>71.950534007869592</v>
      </c>
      <c r="W20" s="49" t="s">
        <v>186</v>
      </c>
      <c r="X20" s="56"/>
      <c r="Y20" s="48"/>
      <c r="Z20" s="56"/>
      <c r="AA20" s="48"/>
      <c r="AB20" s="56"/>
      <c r="AC20" s="48"/>
      <c r="AD20" s="56"/>
      <c r="AE20" s="48"/>
      <c r="AF20" s="56"/>
      <c r="AG20" s="48"/>
      <c r="AH20" s="56"/>
    </row>
    <row r="21" spans="2:34" s="95" customFormat="1" ht="13" x14ac:dyDescent="0.25">
      <c r="F21" s="1"/>
      <c r="J21" s="354"/>
      <c r="K21" s="58" t="s">
        <v>371</v>
      </c>
      <c r="L21" s="55">
        <v>16.89</v>
      </c>
      <c r="M21" s="40">
        <v>16.260000000000002</v>
      </c>
      <c r="N21" s="41">
        <f t="shared" si="0"/>
        <v>96.26998223801067</v>
      </c>
      <c r="O21" s="40">
        <v>14.93</v>
      </c>
      <c r="P21" s="41">
        <f t="shared" si="1"/>
        <v>88.395500296033148</v>
      </c>
      <c r="Q21" s="40">
        <v>14.05</v>
      </c>
      <c r="R21" s="41">
        <f t="shared" si="12"/>
        <v>83.185316755476606</v>
      </c>
      <c r="S21" s="40">
        <v>12.79</v>
      </c>
      <c r="T21" s="56">
        <f t="shared" si="13"/>
        <v>75.725281231497917</v>
      </c>
      <c r="U21" s="40">
        <v>12.73</v>
      </c>
      <c r="V21" s="56">
        <f t="shared" si="14"/>
        <v>75.370041444641799</v>
      </c>
      <c r="W21" s="49" t="s">
        <v>345</v>
      </c>
      <c r="X21" s="56"/>
      <c r="Y21" s="48"/>
      <c r="Z21" s="56"/>
      <c r="AA21" s="48"/>
      <c r="AB21" s="56"/>
      <c r="AC21" s="48"/>
      <c r="AD21" s="56"/>
      <c r="AE21" s="48"/>
      <c r="AF21" s="56"/>
      <c r="AG21" s="48"/>
      <c r="AH21" s="56"/>
    </row>
    <row r="22" spans="2:34" s="95" customFormat="1" ht="13" x14ac:dyDescent="0.3">
      <c r="F22" s="1"/>
      <c r="J22" s="5"/>
      <c r="K22" s="264"/>
      <c r="L22" s="265" t="s">
        <v>13</v>
      </c>
      <c r="M22" s="264"/>
      <c r="N22" s="264"/>
    </row>
    <row r="23" spans="2:34" s="95" customFormat="1" ht="13" x14ac:dyDescent="0.3">
      <c r="F23" s="1"/>
      <c r="J23" s="5"/>
      <c r="K23" s="264"/>
      <c r="L23" s="266" t="s">
        <v>107</v>
      </c>
      <c r="M23" s="264"/>
      <c r="N23" s="264"/>
    </row>
    <row r="24" spans="2:34" s="95" customFormat="1" ht="12.5" x14ac:dyDescent="0.25">
      <c r="F24" s="1"/>
      <c r="J24" s="5"/>
      <c r="K24" s="96"/>
      <c r="L24" s="98"/>
      <c r="M24" s="98"/>
      <c r="N24" s="98"/>
    </row>
    <row r="25" spans="2:34" s="95" customFormat="1" ht="12.5" x14ac:dyDescent="0.25">
      <c r="F25" s="1"/>
      <c r="J25" s="5"/>
      <c r="K25" s="96"/>
      <c r="L25" s="98"/>
      <c r="M25" s="98"/>
      <c r="N25" s="98"/>
    </row>
    <row r="26" spans="2:34" s="95" customFormat="1" ht="12.5" x14ac:dyDescent="0.25">
      <c r="F26" s="1"/>
      <c r="J26" s="5"/>
      <c r="K26" s="96"/>
      <c r="L26" s="98"/>
      <c r="M26" s="98"/>
      <c r="N26" s="98"/>
    </row>
    <row r="27" spans="2:34" x14ac:dyDescent="0.3">
      <c r="F27" s="1"/>
    </row>
    <row r="28" spans="2:34" x14ac:dyDescent="0.3">
      <c r="F28" s="1"/>
    </row>
    <row r="29" spans="2:34" x14ac:dyDescent="0.3">
      <c r="F29" s="1"/>
    </row>
    <row r="30" spans="2:34" x14ac:dyDescent="0.3">
      <c r="F30" s="1"/>
    </row>
    <row r="37" ht="16.5" customHeight="1" x14ac:dyDescent="0.3"/>
  </sheetData>
  <mergeCells count="14">
    <mergeCell ref="M5:N5"/>
    <mergeCell ref="O5:P5"/>
    <mergeCell ref="J7:J11"/>
    <mergeCell ref="J12:J16"/>
    <mergeCell ref="J17:J21"/>
    <mergeCell ref="AA5:AB5"/>
    <mergeCell ref="AC5:AD5"/>
    <mergeCell ref="AE5:AF5"/>
    <mergeCell ref="AG5:AH5"/>
    <mergeCell ref="Q5:R5"/>
    <mergeCell ref="S5:T5"/>
    <mergeCell ref="U5:V5"/>
    <mergeCell ref="W5:X5"/>
    <mergeCell ref="Y5:Z5"/>
  </mergeCells>
  <phoneticPr fontId="3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9DE4-E0A3-4E0B-91E5-7220F755A852}">
  <dimension ref="B2:AF45"/>
  <sheetViews>
    <sheetView zoomScale="90" zoomScaleNormal="90" workbookViewId="0">
      <selection activeCell="E21" sqref="E21"/>
    </sheetView>
  </sheetViews>
  <sheetFormatPr defaultColWidth="9" defaultRowHeight="14" x14ac:dyDescent="0.3"/>
  <cols>
    <col min="1" max="3" width="9" style="25"/>
    <col min="4" max="4" width="12.08203125" style="25" bestFit="1" customWidth="1"/>
    <col min="5" max="5" width="19.5" style="25" customWidth="1"/>
    <col min="6" max="6" width="7.5" style="25" customWidth="1"/>
    <col min="7" max="7" width="29" style="25" bestFit="1" customWidth="1"/>
    <col min="8" max="8" width="7.08203125" style="25" customWidth="1"/>
    <col min="9" max="9" width="6.33203125" style="25" customWidth="1"/>
    <col min="10" max="10" width="15.83203125" style="37" customWidth="1"/>
    <col min="11" max="11" width="6.33203125" style="35" customWidth="1"/>
    <col min="12" max="13" width="6.5" style="36" customWidth="1"/>
    <col min="14" max="14" width="7.58203125" style="36" customWidth="1"/>
    <col min="15" max="15" width="6" style="25" bestFit="1" customWidth="1"/>
    <col min="16" max="16" width="6.75" style="25" customWidth="1"/>
    <col min="17" max="17" width="6" style="25" bestFit="1" customWidth="1"/>
    <col min="18" max="18" width="6.75" style="25" customWidth="1"/>
    <col min="19" max="19" width="6" style="25" bestFit="1" customWidth="1"/>
    <col min="20" max="20" width="6.75" style="25" customWidth="1"/>
    <col min="21" max="21" width="6" style="25" bestFit="1" customWidth="1"/>
    <col min="22" max="22" width="6.75" style="25" customWidth="1"/>
    <col min="23" max="23" width="6" style="25" bestFit="1" customWidth="1"/>
    <col min="24" max="24" width="6.75" style="25" customWidth="1"/>
    <col min="25" max="25" width="6" style="25" bestFit="1" customWidth="1"/>
    <col min="26" max="26" width="6.75" style="25" customWidth="1"/>
    <col min="27" max="27" width="5.75" style="25" customWidth="1"/>
    <col min="28" max="28" width="6.75" style="25" bestFit="1" customWidth="1"/>
    <col min="29" max="29" width="6" style="25" bestFit="1" customWidth="1"/>
    <col min="30" max="30" width="6.75" style="25" bestFit="1" customWidth="1"/>
    <col min="31" max="31" width="6.33203125" style="25" bestFit="1" customWidth="1"/>
    <col min="32" max="32" width="7.5" style="25" bestFit="1" customWidth="1"/>
    <col min="33" max="16384" width="9" style="25"/>
  </cols>
  <sheetData>
    <row r="2" spans="2:32" s="95" customFormat="1" ht="13" x14ac:dyDescent="0.25">
      <c r="B2" s="100" t="s">
        <v>1411</v>
      </c>
      <c r="K2" s="96"/>
      <c r="L2" s="101"/>
      <c r="M2" s="101"/>
    </row>
    <row r="3" spans="2:32" s="95" customFormat="1" ht="13" x14ac:dyDescent="0.3">
      <c r="J3" s="99" t="s">
        <v>1094</v>
      </c>
      <c r="K3" s="100"/>
      <c r="L3" s="101"/>
      <c r="M3" s="101"/>
    </row>
    <row r="4" spans="2:32" s="95" customFormat="1" ht="12.75" customHeight="1" x14ac:dyDescent="0.25">
      <c r="J4" s="5"/>
      <c r="K4" s="96"/>
      <c r="L4" s="98"/>
      <c r="M4" s="98"/>
      <c r="N4" s="98"/>
    </row>
    <row r="5" spans="2:32" s="95" customFormat="1" ht="12.75" customHeight="1" x14ac:dyDescent="0.3">
      <c r="B5" s="4" t="s">
        <v>132</v>
      </c>
      <c r="C5" s="4" t="s">
        <v>494</v>
      </c>
      <c r="D5" s="9" t="s">
        <v>201</v>
      </c>
      <c r="E5" s="9" t="s">
        <v>1092</v>
      </c>
      <c r="F5" s="5"/>
      <c r="G5" s="103" t="s">
        <v>71</v>
      </c>
      <c r="J5" s="4"/>
      <c r="K5" s="263" t="s">
        <v>72</v>
      </c>
      <c r="L5" s="263" t="s">
        <v>172</v>
      </c>
      <c r="M5" s="358" t="s">
        <v>173</v>
      </c>
      <c r="N5" s="359"/>
      <c r="O5" s="358" t="s">
        <v>174</v>
      </c>
      <c r="P5" s="359"/>
      <c r="Q5" s="358" t="s">
        <v>103</v>
      </c>
      <c r="R5" s="359"/>
      <c r="S5" s="358" t="s">
        <v>175</v>
      </c>
      <c r="T5" s="359"/>
      <c r="U5" s="358" t="s">
        <v>74</v>
      </c>
      <c r="V5" s="359"/>
      <c r="W5" s="358" t="s">
        <v>176</v>
      </c>
      <c r="X5" s="359"/>
      <c r="Y5" s="358" t="s">
        <v>75</v>
      </c>
      <c r="Z5" s="359"/>
      <c r="AA5" s="358" t="s">
        <v>264</v>
      </c>
      <c r="AB5" s="359"/>
      <c r="AC5" s="358" t="s">
        <v>278</v>
      </c>
      <c r="AD5" s="359"/>
      <c r="AE5" s="358" t="s">
        <v>333</v>
      </c>
      <c r="AF5" s="359"/>
    </row>
    <row r="6" spans="2:32" s="95" customFormat="1" ht="12.75" customHeight="1" x14ac:dyDescent="0.25">
      <c r="B6" s="3">
        <v>15</v>
      </c>
      <c r="C6" s="235"/>
      <c r="D6" s="3"/>
      <c r="E6" s="3">
        <v>1</v>
      </c>
      <c r="F6" s="1"/>
      <c r="J6" s="4"/>
      <c r="K6" s="263"/>
      <c r="L6" s="263"/>
      <c r="M6" s="263"/>
      <c r="N6" s="27"/>
      <c r="O6" s="263"/>
      <c r="P6" s="27"/>
      <c r="Q6" s="263"/>
      <c r="R6" s="27"/>
      <c r="S6" s="263"/>
      <c r="T6" s="27"/>
      <c r="U6" s="263"/>
      <c r="V6" s="27"/>
      <c r="W6" s="263"/>
      <c r="X6" s="27"/>
      <c r="Y6" s="263"/>
      <c r="Z6" s="27"/>
      <c r="AA6" s="263"/>
      <c r="AB6" s="27"/>
      <c r="AC6" s="263"/>
      <c r="AD6" s="27"/>
      <c r="AE6" s="263"/>
      <c r="AF6" s="27"/>
    </row>
    <row r="7" spans="2:32" s="95" customFormat="1" ht="12.75" customHeight="1" x14ac:dyDescent="0.3">
      <c r="B7" s="3">
        <v>19</v>
      </c>
      <c r="C7" s="235"/>
      <c r="D7" s="3"/>
      <c r="E7" s="3">
        <v>1</v>
      </c>
      <c r="F7" s="1"/>
      <c r="G7" s="7" t="s">
        <v>140</v>
      </c>
      <c r="H7" s="3"/>
      <c r="J7" s="354" t="s">
        <v>364</v>
      </c>
      <c r="K7" s="58" t="s">
        <v>372</v>
      </c>
      <c r="L7" s="55">
        <v>18.53</v>
      </c>
      <c r="M7" s="40">
        <v>17.46</v>
      </c>
      <c r="N7" s="47">
        <f>M7/L7*100</f>
        <v>94.225580140312999</v>
      </c>
      <c r="O7" s="40">
        <v>18.05</v>
      </c>
      <c r="P7" s="47">
        <f>O7/L7*100</f>
        <v>97.409606044252556</v>
      </c>
      <c r="Q7" s="40">
        <v>17.86</v>
      </c>
      <c r="R7" s="47">
        <f>Q7/L7*100</f>
        <v>96.384241770102534</v>
      </c>
      <c r="S7" s="40">
        <v>18.239999999999998</v>
      </c>
      <c r="T7" s="47">
        <f>S7/L7*100</f>
        <v>98.434970318402577</v>
      </c>
      <c r="U7" s="40">
        <v>18.329999999999998</v>
      </c>
      <c r="V7" s="47">
        <f>U7/L7*100</f>
        <v>98.920669185105211</v>
      </c>
      <c r="W7" s="40">
        <v>18.36</v>
      </c>
      <c r="X7" s="47">
        <f>W7/L7*100</f>
        <v>99.082568807339442</v>
      </c>
      <c r="Y7" s="40">
        <v>18.75</v>
      </c>
      <c r="Z7" s="47">
        <f>Y7/L7*100</f>
        <v>101.18726389638424</v>
      </c>
      <c r="AA7" s="40">
        <v>19.010000000000002</v>
      </c>
      <c r="AB7" s="47">
        <f>AA7/L7*100</f>
        <v>102.59039395574744</v>
      </c>
      <c r="AC7" s="40">
        <v>18.54</v>
      </c>
      <c r="AD7" s="47">
        <f>AC7/L7*100</f>
        <v>100.05396654074472</v>
      </c>
      <c r="AE7" s="40">
        <v>18.600000000000001</v>
      </c>
      <c r="AF7" s="47">
        <f>AE7/L7*100</f>
        <v>100.37776578521319</v>
      </c>
    </row>
    <row r="8" spans="2:32" s="95" customFormat="1" ht="12.75" customHeight="1" x14ac:dyDescent="0.25">
      <c r="B8" s="3">
        <v>35</v>
      </c>
      <c r="C8" s="235">
        <v>0</v>
      </c>
      <c r="D8" s="3">
        <v>0</v>
      </c>
      <c r="E8" s="3">
        <v>0</v>
      </c>
      <c r="F8" s="1"/>
      <c r="G8" s="2"/>
      <c r="H8" s="3"/>
      <c r="J8" s="354"/>
      <c r="K8" s="58" t="s">
        <v>373</v>
      </c>
      <c r="L8" s="55">
        <v>17.809999999999999</v>
      </c>
      <c r="M8" s="40">
        <v>17.66</v>
      </c>
      <c r="N8" s="47">
        <f t="shared" ref="N8:N21" si="0">M8/L8*100</f>
        <v>99.157776530039314</v>
      </c>
      <c r="O8" s="40">
        <v>18.100000000000001</v>
      </c>
      <c r="P8" s="47">
        <f t="shared" ref="P8:P21" si="1">O8/L8*100</f>
        <v>101.62829870859069</v>
      </c>
      <c r="Q8" s="40">
        <v>18.46</v>
      </c>
      <c r="R8" s="47">
        <f t="shared" ref="R8:R21" si="2">Q8/L8*100</f>
        <v>103.64963503649636</v>
      </c>
      <c r="S8" s="40">
        <v>19.079999999999998</v>
      </c>
      <c r="T8" s="47">
        <f t="shared" ref="T8:T21" si="3">S8/L8*100</f>
        <v>107.13082537900056</v>
      </c>
      <c r="U8" s="40">
        <v>19.02</v>
      </c>
      <c r="V8" s="47">
        <f t="shared" ref="V8:V21" si="4">U8/L8*100</f>
        <v>106.7939359910163</v>
      </c>
      <c r="W8" s="40">
        <v>18.309999999999999</v>
      </c>
      <c r="X8" s="47">
        <f t="shared" ref="X8:X21" si="5">W8/L8*100</f>
        <v>102.80741156653565</v>
      </c>
      <c r="Y8" s="40">
        <v>18.41</v>
      </c>
      <c r="Z8" s="47">
        <f t="shared" ref="Z8:Z21" si="6">Y8/L8*100</f>
        <v>103.36889387984279</v>
      </c>
      <c r="AA8" s="40">
        <v>18.55</v>
      </c>
      <c r="AB8" s="47">
        <f t="shared" ref="AB8:AB21" si="7">AA8/L8*100</f>
        <v>104.15496911847278</v>
      </c>
      <c r="AC8" s="40">
        <v>18.32</v>
      </c>
      <c r="AD8" s="47">
        <f t="shared" ref="AD8:AD17" si="8">AC8/L8*100</f>
        <v>102.86355979786637</v>
      </c>
      <c r="AE8" s="40">
        <v>18.440000000000001</v>
      </c>
      <c r="AF8" s="47">
        <f t="shared" ref="AF8:AF17" si="9">AE8/L8*100</f>
        <v>103.53733857383493</v>
      </c>
    </row>
    <row r="9" spans="2:32" s="95" customFormat="1" ht="12.75" customHeight="1" x14ac:dyDescent="0.25">
      <c r="B9" s="3">
        <v>35</v>
      </c>
      <c r="C9" s="235">
        <v>0</v>
      </c>
      <c r="D9" s="3">
        <v>0</v>
      </c>
      <c r="E9" s="3">
        <v>0</v>
      </c>
      <c r="F9" s="1"/>
      <c r="G9" s="2" t="s">
        <v>141</v>
      </c>
      <c r="H9" s="3"/>
      <c r="J9" s="354"/>
      <c r="K9" s="58" t="s">
        <v>374</v>
      </c>
      <c r="L9" s="55">
        <v>17.95</v>
      </c>
      <c r="M9" s="40">
        <v>17.34</v>
      </c>
      <c r="N9" s="47">
        <f t="shared" si="0"/>
        <v>96.601671309192199</v>
      </c>
      <c r="O9" s="40">
        <v>17.510000000000002</v>
      </c>
      <c r="P9" s="47">
        <f t="shared" si="1"/>
        <v>97.548746518105872</v>
      </c>
      <c r="Q9" s="40">
        <v>17.32</v>
      </c>
      <c r="R9" s="47">
        <f t="shared" si="2"/>
        <v>96.490250696378837</v>
      </c>
      <c r="S9" s="40">
        <v>18.010000000000002</v>
      </c>
      <c r="T9" s="47">
        <f t="shared" si="3"/>
        <v>100.33426183844011</v>
      </c>
      <c r="U9" s="40">
        <v>17.899999999999999</v>
      </c>
      <c r="V9" s="47">
        <f t="shared" si="4"/>
        <v>99.721448467966567</v>
      </c>
      <c r="W9" s="40">
        <v>18.07</v>
      </c>
      <c r="X9" s="47">
        <f t="shared" si="5"/>
        <v>100.66852367688024</v>
      </c>
      <c r="Y9" s="40">
        <v>18.75</v>
      </c>
      <c r="Z9" s="47">
        <f t="shared" si="6"/>
        <v>104.45682451253482</v>
      </c>
      <c r="AA9" s="40">
        <v>18.64</v>
      </c>
      <c r="AB9" s="47">
        <f t="shared" si="7"/>
        <v>103.84401114206131</v>
      </c>
      <c r="AC9" s="40">
        <v>18.420000000000002</v>
      </c>
      <c r="AD9" s="47">
        <f t="shared" si="8"/>
        <v>102.61838440111421</v>
      </c>
      <c r="AE9" s="40">
        <v>18.5</v>
      </c>
      <c r="AF9" s="47">
        <f t="shared" si="9"/>
        <v>103.06406685236769</v>
      </c>
    </row>
    <row r="10" spans="2:32" s="95" customFormat="1" ht="12.75" customHeight="1" x14ac:dyDescent="0.25">
      <c r="B10" s="3">
        <v>35</v>
      </c>
      <c r="C10" s="235">
        <v>0</v>
      </c>
      <c r="D10" s="3">
        <v>0</v>
      </c>
      <c r="E10" s="3">
        <v>0</v>
      </c>
      <c r="F10" s="1"/>
      <c r="G10" s="2" t="s">
        <v>142</v>
      </c>
      <c r="H10" s="3">
        <v>2.11</v>
      </c>
      <c r="J10" s="354"/>
      <c r="K10" s="58" t="s">
        <v>375</v>
      </c>
      <c r="L10" s="55">
        <v>17.63</v>
      </c>
      <c r="M10" s="40">
        <v>17.45</v>
      </c>
      <c r="N10" s="47">
        <f t="shared" si="0"/>
        <v>98.979013045944413</v>
      </c>
      <c r="O10" s="40">
        <v>17.13</v>
      </c>
      <c r="P10" s="47">
        <f t="shared" si="1"/>
        <v>97.163925127623372</v>
      </c>
      <c r="Q10" s="40">
        <v>17.28</v>
      </c>
      <c r="R10" s="47">
        <f t="shared" si="2"/>
        <v>98.014747589336366</v>
      </c>
      <c r="S10" s="40">
        <v>18.329999999999998</v>
      </c>
      <c r="T10" s="47">
        <f t="shared" si="3"/>
        <v>103.97050482132728</v>
      </c>
      <c r="U10" s="40">
        <v>18.16</v>
      </c>
      <c r="V10" s="47">
        <f t="shared" si="4"/>
        <v>103.00623936471925</v>
      </c>
      <c r="W10" s="40">
        <v>18.16</v>
      </c>
      <c r="X10" s="47">
        <f t="shared" si="5"/>
        <v>103.00623936471925</v>
      </c>
      <c r="Y10" s="40">
        <v>18.079999999999998</v>
      </c>
      <c r="Z10" s="47">
        <f t="shared" si="6"/>
        <v>102.55246738513897</v>
      </c>
      <c r="AA10" s="40">
        <v>17.940000000000001</v>
      </c>
      <c r="AB10" s="47">
        <f t="shared" si="7"/>
        <v>101.75836642087353</v>
      </c>
      <c r="AC10" s="40">
        <v>18.02</v>
      </c>
      <c r="AD10" s="47">
        <f t="shared" si="8"/>
        <v>102.21213840045378</v>
      </c>
      <c r="AE10" s="40">
        <v>18.170000000000002</v>
      </c>
      <c r="AF10" s="47">
        <f t="shared" si="9"/>
        <v>103.06296086216678</v>
      </c>
    </row>
    <row r="11" spans="2:32" s="95" customFormat="1" ht="12.75" customHeight="1" x14ac:dyDescent="0.25">
      <c r="B11" s="3">
        <v>35</v>
      </c>
      <c r="C11" s="235">
        <v>0</v>
      </c>
      <c r="D11" s="3">
        <v>0</v>
      </c>
      <c r="E11" s="3">
        <v>0</v>
      </c>
      <c r="F11" s="1"/>
      <c r="G11" s="2" t="s">
        <v>143</v>
      </c>
      <c r="H11" s="3">
        <v>1</v>
      </c>
      <c r="J11" s="354"/>
      <c r="K11" s="58" t="s">
        <v>376</v>
      </c>
      <c r="L11" s="55">
        <v>17.54</v>
      </c>
      <c r="M11" s="40">
        <v>17.260000000000002</v>
      </c>
      <c r="N11" s="47">
        <f t="shared" si="0"/>
        <v>98.403648802736626</v>
      </c>
      <c r="O11" s="40">
        <v>17.21</v>
      </c>
      <c r="P11" s="47">
        <f t="shared" si="1"/>
        <v>98.11858608893958</v>
      </c>
      <c r="Q11" s="40">
        <v>17.18</v>
      </c>
      <c r="R11" s="47">
        <f t="shared" si="2"/>
        <v>97.947548460661352</v>
      </c>
      <c r="S11" s="40">
        <v>17.88</v>
      </c>
      <c r="T11" s="47">
        <f t="shared" si="3"/>
        <v>101.93842645381983</v>
      </c>
      <c r="U11" s="40">
        <v>17.88</v>
      </c>
      <c r="V11" s="47">
        <f t="shared" si="4"/>
        <v>101.93842645381983</v>
      </c>
      <c r="W11" s="40">
        <v>17.940000000000001</v>
      </c>
      <c r="X11" s="47">
        <f t="shared" si="5"/>
        <v>102.2805017103763</v>
      </c>
      <c r="Y11" s="40">
        <v>18.21</v>
      </c>
      <c r="Z11" s="47">
        <f t="shared" si="6"/>
        <v>103.81984036488028</v>
      </c>
      <c r="AA11" s="40">
        <v>18.23</v>
      </c>
      <c r="AB11" s="47">
        <f t="shared" si="7"/>
        <v>103.93386545039908</v>
      </c>
      <c r="AC11" s="40">
        <v>18.66</v>
      </c>
      <c r="AD11" s="47">
        <f t="shared" si="8"/>
        <v>106.38540478905361</v>
      </c>
      <c r="AE11" s="40">
        <v>18.45</v>
      </c>
      <c r="AF11" s="47">
        <f t="shared" si="9"/>
        <v>105.18814139110604</v>
      </c>
    </row>
    <row r="12" spans="2:32" s="95" customFormat="1" ht="12.75" customHeight="1" x14ac:dyDescent="0.3">
      <c r="B12" s="3">
        <v>35</v>
      </c>
      <c r="C12" s="235">
        <v>0</v>
      </c>
      <c r="D12" s="3">
        <v>0</v>
      </c>
      <c r="E12" s="3">
        <v>0</v>
      </c>
      <c r="F12" s="1"/>
      <c r="G12" s="7" t="s">
        <v>47</v>
      </c>
      <c r="H12" s="8">
        <v>0.1464</v>
      </c>
      <c r="J12" s="366" t="s">
        <v>365</v>
      </c>
      <c r="K12" s="58" t="s">
        <v>377</v>
      </c>
      <c r="L12" s="55">
        <v>17.36</v>
      </c>
      <c r="M12" s="48">
        <v>16.28</v>
      </c>
      <c r="N12" s="47">
        <f t="shared" si="0"/>
        <v>93.778801843317979</v>
      </c>
      <c r="O12" s="48">
        <v>15.83</v>
      </c>
      <c r="P12" s="47">
        <f t="shared" si="1"/>
        <v>91.18663594470047</v>
      </c>
      <c r="Q12" s="48">
        <v>15.83</v>
      </c>
      <c r="R12" s="47">
        <f t="shared" si="2"/>
        <v>91.18663594470047</v>
      </c>
      <c r="S12" s="48">
        <v>16.579999999999998</v>
      </c>
      <c r="T12" s="47">
        <f t="shared" si="3"/>
        <v>95.506912442396313</v>
      </c>
      <c r="U12" s="40">
        <v>17.66</v>
      </c>
      <c r="V12" s="47">
        <f t="shared" si="4"/>
        <v>101.72811059907833</v>
      </c>
      <c r="W12" s="40">
        <v>18.559999999999999</v>
      </c>
      <c r="X12" s="47">
        <f t="shared" si="5"/>
        <v>106.91244239631337</v>
      </c>
      <c r="Y12" s="40">
        <v>18.21</v>
      </c>
      <c r="Z12" s="47">
        <f t="shared" si="6"/>
        <v>104.89631336405532</v>
      </c>
      <c r="AA12" s="40">
        <v>19.47</v>
      </c>
      <c r="AB12" s="47">
        <f t="shared" si="7"/>
        <v>112.15437788018431</v>
      </c>
      <c r="AC12" s="40">
        <v>18.920000000000002</v>
      </c>
      <c r="AD12" s="47">
        <f t="shared" si="8"/>
        <v>108.98617511520739</v>
      </c>
      <c r="AE12" s="40">
        <v>18.86</v>
      </c>
      <c r="AF12" s="47">
        <f t="shared" si="9"/>
        <v>108.6405529953917</v>
      </c>
    </row>
    <row r="13" spans="2:32" s="95" customFormat="1" ht="12.75" customHeight="1" x14ac:dyDescent="0.3">
      <c r="B13" s="3">
        <v>35</v>
      </c>
      <c r="C13" s="235">
        <v>0</v>
      </c>
      <c r="D13" s="3">
        <v>0</v>
      </c>
      <c r="E13" s="3">
        <v>0</v>
      </c>
      <c r="F13" s="1"/>
      <c r="G13" s="7" t="s">
        <v>49</v>
      </c>
      <c r="H13" s="8" t="s">
        <v>203</v>
      </c>
      <c r="J13" s="366"/>
      <c r="K13" s="58" t="s">
        <v>378</v>
      </c>
      <c r="L13" s="55">
        <v>16.54</v>
      </c>
      <c r="M13" s="48">
        <v>15.66</v>
      </c>
      <c r="N13" s="47">
        <f t="shared" si="0"/>
        <v>94.679564691656594</v>
      </c>
      <c r="O13" s="48">
        <v>14.25</v>
      </c>
      <c r="P13" s="47">
        <f t="shared" si="1"/>
        <v>86.154776299879089</v>
      </c>
      <c r="Q13" s="48">
        <v>14.37</v>
      </c>
      <c r="R13" s="47">
        <f t="shared" si="2"/>
        <v>86.880290205562275</v>
      </c>
      <c r="S13" s="48">
        <v>15.24</v>
      </c>
      <c r="T13" s="47">
        <f t="shared" si="3"/>
        <v>92.140266021765427</v>
      </c>
      <c r="U13" s="48">
        <v>15.65</v>
      </c>
      <c r="V13" s="47">
        <f t="shared" si="4"/>
        <v>94.619105199516326</v>
      </c>
      <c r="W13" s="48">
        <v>15.8</v>
      </c>
      <c r="X13" s="47">
        <f t="shared" si="5"/>
        <v>95.525997581620331</v>
      </c>
      <c r="Y13" s="48">
        <v>16.34</v>
      </c>
      <c r="Z13" s="47">
        <f t="shared" si="6"/>
        <v>98.790810157194684</v>
      </c>
      <c r="AA13" s="40">
        <v>17.64</v>
      </c>
      <c r="AB13" s="47">
        <f t="shared" si="7"/>
        <v>106.65054413542927</v>
      </c>
      <c r="AC13" s="40">
        <v>17.850000000000001</v>
      </c>
      <c r="AD13" s="47">
        <f t="shared" si="8"/>
        <v>107.92019347037487</v>
      </c>
      <c r="AE13" s="40">
        <v>18.66</v>
      </c>
      <c r="AF13" s="47">
        <f t="shared" si="9"/>
        <v>112.81741233373641</v>
      </c>
    </row>
    <row r="14" spans="2:32" s="95" customFormat="1" ht="12.75" customHeight="1" x14ac:dyDescent="0.25">
      <c r="B14" s="3">
        <v>35</v>
      </c>
      <c r="C14" s="235">
        <v>0</v>
      </c>
      <c r="D14" s="3">
        <v>0</v>
      </c>
      <c r="E14" s="3">
        <v>0</v>
      </c>
      <c r="F14" s="1"/>
      <c r="G14" s="2" t="s">
        <v>144</v>
      </c>
      <c r="H14" s="3" t="s">
        <v>204</v>
      </c>
      <c r="J14" s="366"/>
      <c r="K14" s="58" t="s">
        <v>379</v>
      </c>
      <c r="L14" s="55">
        <v>16.87</v>
      </c>
      <c r="M14" s="48">
        <v>16.489999999999998</v>
      </c>
      <c r="N14" s="47">
        <f t="shared" si="0"/>
        <v>97.747480735032582</v>
      </c>
      <c r="O14" s="48">
        <v>15.15</v>
      </c>
      <c r="P14" s="47">
        <f t="shared" si="1"/>
        <v>89.804386484884404</v>
      </c>
      <c r="Q14" s="48">
        <v>15.28</v>
      </c>
      <c r="R14" s="47">
        <f t="shared" si="2"/>
        <v>90.5749851807943</v>
      </c>
      <c r="S14" s="48">
        <v>15.91</v>
      </c>
      <c r="T14" s="47">
        <f t="shared" si="3"/>
        <v>94.309425014819197</v>
      </c>
      <c r="U14" s="48">
        <v>16.84</v>
      </c>
      <c r="V14" s="47">
        <f t="shared" si="4"/>
        <v>99.822169531713087</v>
      </c>
      <c r="W14" s="40">
        <v>17.38</v>
      </c>
      <c r="X14" s="47">
        <f t="shared" si="5"/>
        <v>103.02311796087729</v>
      </c>
      <c r="Y14" s="40">
        <v>17.27</v>
      </c>
      <c r="Z14" s="47">
        <f t="shared" si="6"/>
        <v>102.37107291049199</v>
      </c>
      <c r="AA14" s="40">
        <v>18.149999999999999</v>
      </c>
      <c r="AB14" s="47">
        <f t="shared" si="7"/>
        <v>107.58743331357439</v>
      </c>
      <c r="AC14" s="40">
        <v>17.8</v>
      </c>
      <c r="AD14" s="47">
        <f t="shared" si="8"/>
        <v>105.5127445168939</v>
      </c>
      <c r="AE14" s="40">
        <v>18.16</v>
      </c>
      <c r="AF14" s="47">
        <f t="shared" si="9"/>
        <v>107.64671013633669</v>
      </c>
    </row>
    <row r="15" spans="2:32" s="95" customFormat="1" ht="12.75" customHeight="1" x14ac:dyDescent="0.25">
      <c r="B15" s="3">
        <v>35</v>
      </c>
      <c r="C15" s="235">
        <v>0</v>
      </c>
      <c r="D15" s="3">
        <v>0</v>
      </c>
      <c r="E15" s="3">
        <v>0</v>
      </c>
      <c r="F15" s="1"/>
      <c r="G15" s="1"/>
      <c r="H15" s="1"/>
      <c r="J15" s="366"/>
      <c r="K15" s="58" t="s">
        <v>380</v>
      </c>
      <c r="L15" s="55">
        <v>17.36</v>
      </c>
      <c r="M15" s="48">
        <v>15.55</v>
      </c>
      <c r="N15" s="47">
        <f t="shared" si="0"/>
        <v>89.573732718894021</v>
      </c>
      <c r="O15" s="48">
        <v>14.58</v>
      </c>
      <c r="P15" s="47">
        <f t="shared" si="1"/>
        <v>83.986175115207374</v>
      </c>
      <c r="Q15" s="48">
        <v>14.25</v>
      </c>
      <c r="R15" s="47">
        <f t="shared" si="2"/>
        <v>82.085253456221196</v>
      </c>
      <c r="S15" s="48">
        <v>14.45</v>
      </c>
      <c r="T15" s="47">
        <f t="shared" si="3"/>
        <v>83.237327188940085</v>
      </c>
      <c r="U15" s="48">
        <v>15.08</v>
      </c>
      <c r="V15" s="47">
        <f t="shared" si="4"/>
        <v>86.866359447004612</v>
      </c>
      <c r="W15" s="48">
        <v>15.69</v>
      </c>
      <c r="X15" s="47">
        <f t="shared" si="5"/>
        <v>90.380184331797224</v>
      </c>
      <c r="Y15" s="40">
        <v>17.02</v>
      </c>
      <c r="Z15" s="47">
        <f t="shared" si="6"/>
        <v>98.041474654377879</v>
      </c>
      <c r="AA15" s="40">
        <v>17.77</v>
      </c>
      <c r="AB15" s="47">
        <f t="shared" si="7"/>
        <v>102.36175115207374</v>
      </c>
      <c r="AC15" s="40">
        <v>18.07</v>
      </c>
      <c r="AD15" s="47">
        <f t="shared" si="8"/>
        <v>104.08986175115207</v>
      </c>
      <c r="AE15" s="40">
        <v>18.47</v>
      </c>
      <c r="AF15" s="47">
        <f t="shared" si="9"/>
        <v>106.39400921658986</v>
      </c>
    </row>
    <row r="16" spans="2:32" s="95" customFormat="1" ht="12.75" customHeight="1" x14ac:dyDescent="0.25">
      <c r="B16" s="3">
        <v>35</v>
      </c>
      <c r="C16" s="235">
        <v>0</v>
      </c>
      <c r="D16" s="3">
        <v>0</v>
      </c>
      <c r="E16" s="3"/>
      <c r="F16" s="1"/>
      <c r="G16" s="1"/>
      <c r="H16" s="1"/>
      <c r="J16" s="366"/>
      <c r="K16" s="58" t="s">
        <v>381</v>
      </c>
      <c r="L16" s="55">
        <v>17.100000000000001</v>
      </c>
      <c r="M16" s="48">
        <v>16.22</v>
      </c>
      <c r="N16" s="47">
        <f t="shared" si="0"/>
        <v>94.853801169590625</v>
      </c>
      <c r="O16" s="48">
        <v>14.72</v>
      </c>
      <c r="P16" s="47">
        <f t="shared" si="1"/>
        <v>86.081871345029242</v>
      </c>
      <c r="Q16" s="48">
        <v>15.2</v>
      </c>
      <c r="R16" s="47">
        <f t="shared" si="2"/>
        <v>88.888888888888872</v>
      </c>
      <c r="S16" s="48">
        <v>15.29</v>
      </c>
      <c r="T16" s="47">
        <f t="shared" si="3"/>
        <v>89.415204678362556</v>
      </c>
      <c r="U16" s="48">
        <v>15.42</v>
      </c>
      <c r="V16" s="47">
        <f t="shared" si="4"/>
        <v>90.175438596491219</v>
      </c>
      <c r="W16" s="48">
        <v>15.09</v>
      </c>
      <c r="X16" s="47">
        <f t="shared" si="5"/>
        <v>88.245614035087712</v>
      </c>
      <c r="Y16" s="48">
        <v>14.89</v>
      </c>
      <c r="Z16" s="47">
        <f t="shared" si="6"/>
        <v>87.076023391812868</v>
      </c>
      <c r="AA16" s="48">
        <v>13.91</v>
      </c>
      <c r="AB16" s="47">
        <f t="shared" si="7"/>
        <v>81.345029239766077</v>
      </c>
      <c r="AC16" s="48">
        <v>13.16</v>
      </c>
      <c r="AD16" s="50">
        <f t="shared" si="8"/>
        <v>76.959064327485365</v>
      </c>
      <c r="AE16" s="48">
        <v>12.89</v>
      </c>
      <c r="AF16" s="50">
        <f t="shared" si="9"/>
        <v>75.380116959064324</v>
      </c>
    </row>
    <row r="17" spans="2:32" s="95" customFormat="1" ht="12.75" customHeight="1" x14ac:dyDescent="0.25">
      <c r="B17" s="3">
        <v>35</v>
      </c>
      <c r="C17" s="235">
        <v>0</v>
      </c>
      <c r="D17" s="3">
        <v>0</v>
      </c>
      <c r="E17" s="3"/>
      <c r="F17" s="1"/>
      <c r="J17" s="354" t="s">
        <v>865</v>
      </c>
      <c r="K17" s="58" t="s">
        <v>397</v>
      </c>
      <c r="L17" s="55">
        <v>16.02</v>
      </c>
      <c r="M17" s="48">
        <v>15.65</v>
      </c>
      <c r="N17" s="47">
        <f t="shared" si="0"/>
        <v>97.690387016229721</v>
      </c>
      <c r="O17" s="48">
        <v>14.56</v>
      </c>
      <c r="P17" s="47">
        <f t="shared" si="1"/>
        <v>90.886392009987532</v>
      </c>
      <c r="Q17" s="48">
        <v>15.08</v>
      </c>
      <c r="R17" s="47">
        <f t="shared" si="2"/>
        <v>94.132334581772795</v>
      </c>
      <c r="S17" s="48">
        <v>15.49</v>
      </c>
      <c r="T17" s="47">
        <f t="shared" si="3"/>
        <v>96.691635455680398</v>
      </c>
      <c r="U17" s="48">
        <v>16.07</v>
      </c>
      <c r="V17" s="47">
        <f t="shared" si="4"/>
        <v>100.31210986267168</v>
      </c>
      <c r="W17" s="48">
        <v>16.88</v>
      </c>
      <c r="X17" s="47">
        <f t="shared" si="5"/>
        <v>105.36828963795256</v>
      </c>
      <c r="Y17" s="48">
        <v>16.920000000000002</v>
      </c>
      <c r="Z17" s="47">
        <f t="shared" si="6"/>
        <v>105.6179775280899</v>
      </c>
      <c r="AA17" s="40">
        <v>17.68</v>
      </c>
      <c r="AB17" s="47">
        <f t="shared" si="7"/>
        <v>110.36204744069913</v>
      </c>
      <c r="AC17" s="40">
        <v>17.8</v>
      </c>
      <c r="AD17" s="47">
        <f t="shared" si="8"/>
        <v>111.11111111111111</v>
      </c>
      <c r="AE17" s="40">
        <v>17.73</v>
      </c>
      <c r="AF17" s="47">
        <f t="shared" si="9"/>
        <v>110.67415730337081</v>
      </c>
    </row>
    <row r="18" spans="2:32" s="95" customFormat="1" ht="12.75" customHeight="1" x14ac:dyDescent="0.3">
      <c r="B18" s="95" t="s">
        <v>170</v>
      </c>
      <c r="F18" s="1"/>
      <c r="J18" s="354"/>
      <c r="K18" s="58" t="s">
        <v>398</v>
      </c>
      <c r="L18" s="55">
        <v>16.66</v>
      </c>
      <c r="M18" s="48">
        <v>15.91</v>
      </c>
      <c r="N18" s="47">
        <f t="shared" si="0"/>
        <v>95.498199279711883</v>
      </c>
      <c r="O18" s="48">
        <v>15.89</v>
      </c>
      <c r="P18" s="47">
        <f t="shared" si="1"/>
        <v>95.378151260504211</v>
      </c>
      <c r="Q18" s="48">
        <v>16.34</v>
      </c>
      <c r="R18" s="47">
        <f t="shared" si="2"/>
        <v>98.07923169267707</v>
      </c>
      <c r="S18" s="40">
        <v>17.079999999999998</v>
      </c>
      <c r="T18" s="47">
        <f t="shared" si="3"/>
        <v>102.52100840336134</v>
      </c>
      <c r="U18" s="40">
        <v>17.68</v>
      </c>
      <c r="V18" s="47">
        <f t="shared" si="4"/>
        <v>106.12244897959184</v>
      </c>
      <c r="W18" s="40">
        <v>17.64</v>
      </c>
      <c r="X18" s="47">
        <f t="shared" si="5"/>
        <v>105.88235294117648</v>
      </c>
      <c r="Y18" s="49" t="s">
        <v>91</v>
      </c>
      <c r="Z18" s="54"/>
      <c r="AA18" s="48"/>
      <c r="AB18" s="50"/>
      <c r="AC18" s="48"/>
      <c r="AD18" s="50"/>
      <c r="AE18" s="48"/>
      <c r="AF18" s="50"/>
    </row>
    <row r="19" spans="2:32" s="95" customFormat="1" ht="12.75" customHeight="1" x14ac:dyDescent="0.25">
      <c r="F19" s="1"/>
      <c r="J19" s="354"/>
      <c r="K19" s="58" t="s">
        <v>279</v>
      </c>
      <c r="L19" s="55">
        <v>17.3</v>
      </c>
      <c r="M19" s="48">
        <v>16.18</v>
      </c>
      <c r="N19" s="47">
        <f t="shared" si="0"/>
        <v>93.526011560693632</v>
      </c>
      <c r="O19" s="48">
        <v>14.79</v>
      </c>
      <c r="P19" s="47">
        <f t="shared" si="1"/>
        <v>85.49132947976878</v>
      </c>
      <c r="Q19" s="48">
        <v>15.28</v>
      </c>
      <c r="R19" s="47">
        <f t="shared" si="2"/>
        <v>88.323699421965301</v>
      </c>
      <c r="S19" s="48">
        <v>16.32</v>
      </c>
      <c r="T19" s="47">
        <f t="shared" si="3"/>
        <v>94.335260115606928</v>
      </c>
      <c r="U19" s="48">
        <v>16.88</v>
      </c>
      <c r="V19" s="47">
        <f t="shared" si="4"/>
        <v>97.572254335260112</v>
      </c>
      <c r="W19" s="40">
        <v>17.63</v>
      </c>
      <c r="X19" s="47">
        <f t="shared" si="5"/>
        <v>101.90751445086703</v>
      </c>
      <c r="Y19" s="40">
        <v>17.73</v>
      </c>
      <c r="Z19" s="47">
        <f t="shared" si="6"/>
        <v>102.48554913294798</v>
      </c>
      <c r="AA19" s="40">
        <v>17.920000000000002</v>
      </c>
      <c r="AB19" s="47">
        <f t="shared" si="7"/>
        <v>103.58381502890175</v>
      </c>
      <c r="AC19" s="40">
        <v>18.02</v>
      </c>
      <c r="AD19" s="47">
        <f t="shared" ref="AD19:AD21" si="10">AC19/L19*100</f>
        <v>104.16184971098265</v>
      </c>
      <c r="AE19" s="40">
        <v>18.21</v>
      </c>
      <c r="AF19" s="47">
        <f t="shared" ref="AF19:AF21" si="11">AE19/L19*100</f>
        <v>105.26011560693642</v>
      </c>
    </row>
    <row r="20" spans="2:32" s="95" customFormat="1" ht="12.75" customHeight="1" x14ac:dyDescent="0.25">
      <c r="F20" s="1"/>
      <c r="J20" s="354"/>
      <c r="K20" s="58" t="s">
        <v>399</v>
      </c>
      <c r="L20" s="55">
        <v>17.010000000000002</v>
      </c>
      <c r="M20" s="48">
        <v>16.2</v>
      </c>
      <c r="N20" s="47">
        <f t="shared" si="0"/>
        <v>95.238095238095227</v>
      </c>
      <c r="O20" s="48">
        <v>15.18</v>
      </c>
      <c r="P20" s="47">
        <f t="shared" si="1"/>
        <v>89.241622574955898</v>
      </c>
      <c r="Q20" s="48">
        <v>16.07</v>
      </c>
      <c r="R20" s="47">
        <f t="shared" si="2"/>
        <v>94.473838918283363</v>
      </c>
      <c r="S20" s="48">
        <v>16.61</v>
      </c>
      <c r="T20" s="47">
        <f t="shared" si="3"/>
        <v>97.648442092886526</v>
      </c>
      <c r="U20" s="48">
        <v>16.87</v>
      </c>
      <c r="V20" s="47">
        <f t="shared" si="4"/>
        <v>99.176954732510282</v>
      </c>
      <c r="W20" s="40">
        <v>17.84</v>
      </c>
      <c r="X20" s="47">
        <f t="shared" si="5"/>
        <v>104.87948265726041</v>
      </c>
      <c r="Y20" s="40">
        <v>17.41</v>
      </c>
      <c r="Z20" s="47">
        <f t="shared" si="6"/>
        <v>102.35155790711346</v>
      </c>
      <c r="AA20" s="40">
        <v>18.57</v>
      </c>
      <c r="AB20" s="47">
        <f t="shared" si="7"/>
        <v>109.17107583774251</v>
      </c>
      <c r="AC20" s="40">
        <v>18.260000000000002</v>
      </c>
      <c r="AD20" s="47">
        <f t="shared" si="10"/>
        <v>107.34861845972956</v>
      </c>
      <c r="AE20" s="40">
        <v>18.47</v>
      </c>
      <c r="AF20" s="47">
        <f t="shared" si="11"/>
        <v>108.58318636096411</v>
      </c>
    </row>
    <row r="21" spans="2:32" s="95" customFormat="1" ht="12.75" customHeight="1" x14ac:dyDescent="0.25">
      <c r="F21" s="1"/>
      <c r="J21" s="354"/>
      <c r="K21" s="58" t="s">
        <v>400</v>
      </c>
      <c r="L21" s="55">
        <v>16.55</v>
      </c>
      <c r="M21" s="48">
        <v>15.86</v>
      </c>
      <c r="N21" s="47">
        <f t="shared" si="0"/>
        <v>95.830815709969784</v>
      </c>
      <c r="O21" s="48">
        <v>14.37</v>
      </c>
      <c r="P21" s="47">
        <f t="shared" si="1"/>
        <v>86.82779456193353</v>
      </c>
      <c r="Q21" s="48">
        <v>15.07</v>
      </c>
      <c r="R21" s="47">
        <f t="shared" si="2"/>
        <v>91.057401812688823</v>
      </c>
      <c r="S21" s="48">
        <v>15.75</v>
      </c>
      <c r="T21" s="47">
        <f t="shared" si="3"/>
        <v>95.166163141993948</v>
      </c>
      <c r="U21" s="48">
        <v>15.9</v>
      </c>
      <c r="V21" s="47">
        <f t="shared" si="4"/>
        <v>96.072507552870093</v>
      </c>
      <c r="W21" s="48">
        <v>16.440000000000001</v>
      </c>
      <c r="X21" s="47">
        <f t="shared" si="5"/>
        <v>99.335347432024165</v>
      </c>
      <c r="Y21" s="48">
        <v>16.25</v>
      </c>
      <c r="Z21" s="47">
        <f t="shared" si="6"/>
        <v>98.187311178247725</v>
      </c>
      <c r="AA21" s="48">
        <v>16.57</v>
      </c>
      <c r="AB21" s="47">
        <f t="shared" si="7"/>
        <v>100.12084592145014</v>
      </c>
      <c r="AC21" s="48">
        <v>16.600000000000001</v>
      </c>
      <c r="AD21" s="47">
        <f t="shared" si="10"/>
        <v>100.30211480362539</v>
      </c>
      <c r="AE21" s="48">
        <v>16.739999999999998</v>
      </c>
      <c r="AF21" s="47">
        <f t="shared" si="11"/>
        <v>101.14803625377643</v>
      </c>
    </row>
    <row r="22" spans="2:32" s="95" customFormat="1" ht="12.75" customHeight="1" x14ac:dyDescent="0.3">
      <c r="F22" s="1"/>
      <c r="J22" s="5"/>
      <c r="K22" s="264"/>
      <c r="L22" s="265" t="s">
        <v>13</v>
      </c>
      <c r="M22" s="264"/>
      <c r="N22" s="264"/>
    </row>
    <row r="23" spans="2:32" s="95" customFormat="1" ht="12.75" customHeight="1" x14ac:dyDescent="0.3">
      <c r="F23" s="1"/>
      <c r="J23" s="5"/>
      <c r="K23" s="264"/>
      <c r="L23" s="266" t="s">
        <v>107</v>
      </c>
      <c r="M23" s="264"/>
      <c r="N23" s="264"/>
    </row>
    <row r="24" spans="2:32" s="95" customFormat="1" ht="12.75" customHeight="1" x14ac:dyDescent="0.25">
      <c r="F24" s="1"/>
      <c r="J24" s="5"/>
      <c r="K24" s="96"/>
      <c r="L24" s="98"/>
      <c r="M24" s="98"/>
      <c r="N24" s="98"/>
    </row>
    <row r="25" spans="2:32" s="95" customFormat="1" ht="12.75" customHeight="1" x14ac:dyDescent="0.3">
      <c r="F25" s="1"/>
      <c r="J25" s="99" t="s">
        <v>1093</v>
      </c>
      <c r="K25" s="96"/>
      <c r="L25" s="98"/>
      <c r="M25" s="98"/>
      <c r="N25" s="98"/>
    </row>
    <row r="26" spans="2:32" s="95" customFormat="1" ht="12.75" customHeight="1" x14ac:dyDescent="0.25">
      <c r="F26" s="1"/>
      <c r="J26" s="4"/>
      <c r="K26" s="263" t="s">
        <v>72</v>
      </c>
      <c r="L26" s="263" t="s">
        <v>172</v>
      </c>
      <c r="M26" s="358" t="s">
        <v>173</v>
      </c>
      <c r="N26" s="359"/>
      <c r="O26" s="358" t="s">
        <v>102</v>
      </c>
      <c r="P26" s="359"/>
      <c r="Q26" s="358" t="s">
        <v>174</v>
      </c>
      <c r="R26" s="359"/>
      <c r="S26" s="358" t="s">
        <v>103</v>
      </c>
      <c r="T26" s="359"/>
      <c r="U26" s="358" t="s">
        <v>175</v>
      </c>
      <c r="V26" s="359"/>
      <c r="W26" s="358" t="s">
        <v>74</v>
      </c>
      <c r="X26" s="359"/>
      <c r="Y26" s="358" t="s">
        <v>176</v>
      </c>
      <c r="Z26" s="359"/>
      <c r="AA26" s="358" t="s">
        <v>75</v>
      </c>
      <c r="AB26" s="359"/>
      <c r="AC26" s="358" t="s">
        <v>264</v>
      </c>
      <c r="AD26" s="359"/>
    </row>
    <row r="27" spans="2:32" s="95" customFormat="1" ht="12.75" customHeight="1" x14ac:dyDescent="0.25">
      <c r="F27" s="1"/>
      <c r="J27" s="4"/>
      <c r="K27" s="263"/>
      <c r="L27" s="263"/>
      <c r="M27" s="263"/>
      <c r="N27" s="27"/>
      <c r="O27" s="263"/>
      <c r="P27" s="27"/>
      <c r="Q27" s="263"/>
      <c r="R27" s="27"/>
      <c r="S27" s="263"/>
      <c r="T27" s="27"/>
      <c r="U27" s="263"/>
      <c r="V27" s="27"/>
      <c r="W27" s="263"/>
      <c r="X27" s="27"/>
      <c r="Y27" s="263"/>
      <c r="Z27" s="27"/>
      <c r="AA27" s="263"/>
      <c r="AB27" s="27"/>
      <c r="AC27" s="263"/>
      <c r="AD27" s="27"/>
    </row>
    <row r="28" spans="2:32" s="95" customFormat="1" ht="12.75" customHeight="1" x14ac:dyDescent="0.25">
      <c r="F28" s="1"/>
      <c r="J28" s="354" t="s">
        <v>364</v>
      </c>
      <c r="K28" s="58" t="s">
        <v>463</v>
      </c>
      <c r="L28" s="55">
        <v>18.059999999999999</v>
      </c>
      <c r="M28" s="40">
        <v>18.05</v>
      </c>
      <c r="N28" s="47">
        <f>M28/L28*100</f>
        <v>99.944629014396469</v>
      </c>
      <c r="O28" s="40">
        <v>17.600000000000001</v>
      </c>
      <c r="P28" s="47">
        <f>O28/L28*100</f>
        <v>97.452934662236999</v>
      </c>
      <c r="Q28" s="40">
        <v>17.600000000000001</v>
      </c>
      <c r="R28" s="47">
        <f>Q28/L28*100</f>
        <v>97.452934662236999</v>
      </c>
      <c r="S28" s="40">
        <v>18.28</v>
      </c>
      <c r="T28" s="47">
        <f>S28/L28*100</f>
        <v>101.21816168327797</v>
      </c>
      <c r="U28" s="40">
        <v>18.600000000000001</v>
      </c>
      <c r="V28" s="47">
        <f>U28/L28*100</f>
        <v>102.99003322259136</v>
      </c>
      <c r="W28" s="40">
        <v>18.43</v>
      </c>
      <c r="X28" s="47">
        <f>W28/L28*100</f>
        <v>102.04872646733112</v>
      </c>
      <c r="Y28" s="40">
        <v>18.2</v>
      </c>
      <c r="Z28" s="47">
        <f>Y28/L28*100</f>
        <v>100.77519379844961</v>
      </c>
      <c r="AA28" s="40">
        <v>18.309999999999999</v>
      </c>
      <c r="AB28" s="47">
        <f>AA28/L28*100</f>
        <v>101.38427464008859</v>
      </c>
      <c r="AC28" s="40">
        <v>18.510000000000002</v>
      </c>
      <c r="AD28" s="47">
        <f>AC28/L28*100</f>
        <v>102.49169435215948</v>
      </c>
    </row>
    <row r="29" spans="2:32" s="95" customFormat="1" ht="12.75" customHeight="1" x14ac:dyDescent="0.25">
      <c r="F29" s="1"/>
      <c r="J29" s="354"/>
      <c r="K29" s="58" t="s">
        <v>464</v>
      </c>
      <c r="L29" s="55">
        <v>18.350000000000001</v>
      </c>
      <c r="M29" s="40">
        <v>17.510000000000002</v>
      </c>
      <c r="N29" s="47">
        <f t="shared" ref="N29:N42" si="12">M29/L29*100</f>
        <v>95.422343324250676</v>
      </c>
      <c r="O29" s="40">
        <v>17.5</v>
      </c>
      <c r="P29" s="47">
        <f t="shared" ref="P29:P42" si="13">O29/L29*100</f>
        <v>95.367847411444131</v>
      </c>
      <c r="Q29" s="40">
        <v>17.5</v>
      </c>
      <c r="R29" s="47">
        <f t="shared" ref="R29:R42" si="14">Q29/L29*100</f>
        <v>95.367847411444131</v>
      </c>
      <c r="S29" s="40">
        <v>18.27</v>
      </c>
      <c r="T29" s="47">
        <f t="shared" ref="T29:T42" si="15">S29/L29*100</f>
        <v>99.564032697547674</v>
      </c>
      <c r="U29" s="40">
        <v>18.91</v>
      </c>
      <c r="V29" s="47">
        <f t="shared" ref="V29:V42" si="16">U29/L29*100</f>
        <v>103.05177111716621</v>
      </c>
      <c r="W29" s="40">
        <v>18.739999999999998</v>
      </c>
      <c r="X29" s="47">
        <f t="shared" ref="X29:X42" si="17">W29/L29*100</f>
        <v>102.12534059945501</v>
      </c>
      <c r="Y29" s="40">
        <v>18.82</v>
      </c>
      <c r="Z29" s="47">
        <f t="shared" ref="Z29:Z38" si="18">Y29/L29*100</f>
        <v>102.56130790190736</v>
      </c>
      <c r="AA29" s="40">
        <v>19.079999999999998</v>
      </c>
      <c r="AB29" s="47">
        <f t="shared" ref="AB29:AB38" si="19">AA29/L29*100</f>
        <v>103.97820163487737</v>
      </c>
      <c r="AC29" s="40">
        <v>18.88</v>
      </c>
      <c r="AD29" s="47">
        <f t="shared" ref="AD29:AD38" si="20">AC29/L29*100</f>
        <v>102.88828337874658</v>
      </c>
    </row>
    <row r="30" spans="2:32" s="95" customFormat="1" ht="12.75" customHeight="1" x14ac:dyDescent="0.25">
      <c r="F30" s="1"/>
      <c r="J30" s="354"/>
      <c r="K30" s="58" t="s">
        <v>465</v>
      </c>
      <c r="L30" s="55">
        <v>18.02</v>
      </c>
      <c r="M30" s="40">
        <v>17.82</v>
      </c>
      <c r="N30" s="47">
        <f t="shared" si="12"/>
        <v>98.890122086570486</v>
      </c>
      <c r="O30" s="40">
        <v>17.55</v>
      </c>
      <c r="P30" s="47">
        <f t="shared" si="13"/>
        <v>97.391786903440618</v>
      </c>
      <c r="Q30" s="40">
        <v>17.55</v>
      </c>
      <c r="R30" s="47">
        <f t="shared" si="14"/>
        <v>97.391786903440618</v>
      </c>
      <c r="S30" s="40">
        <v>17.899999999999999</v>
      </c>
      <c r="T30" s="47">
        <f t="shared" si="15"/>
        <v>99.334073251942272</v>
      </c>
      <c r="U30" s="40">
        <v>17.86</v>
      </c>
      <c r="V30" s="47">
        <f t="shared" si="16"/>
        <v>99.112097669256386</v>
      </c>
      <c r="W30" s="40">
        <v>18.36</v>
      </c>
      <c r="X30" s="47">
        <f t="shared" si="17"/>
        <v>101.88679245283019</v>
      </c>
      <c r="Y30" s="40">
        <v>18.09</v>
      </c>
      <c r="Z30" s="47">
        <f t="shared" si="18"/>
        <v>100.38845726970034</v>
      </c>
      <c r="AA30" s="40">
        <v>18.559999999999999</v>
      </c>
      <c r="AB30" s="47">
        <f t="shared" si="19"/>
        <v>102.99667036625971</v>
      </c>
      <c r="AC30" s="40">
        <v>18.760000000000002</v>
      </c>
      <c r="AD30" s="47">
        <f t="shared" si="20"/>
        <v>104.10654827968924</v>
      </c>
    </row>
    <row r="31" spans="2:32" s="95" customFormat="1" ht="12.75" customHeight="1" x14ac:dyDescent="0.25">
      <c r="J31" s="354"/>
      <c r="K31" s="58" t="s">
        <v>466</v>
      </c>
      <c r="L31" s="55">
        <v>17.45</v>
      </c>
      <c r="M31" s="40">
        <v>17.03</v>
      </c>
      <c r="N31" s="47">
        <f t="shared" si="12"/>
        <v>97.593123209169065</v>
      </c>
      <c r="O31" s="48">
        <v>16.75</v>
      </c>
      <c r="P31" s="47">
        <f t="shared" si="13"/>
        <v>95.988538681948427</v>
      </c>
      <c r="Q31" s="48">
        <v>16.75</v>
      </c>
      <c r="R31" s="47">
        <f t="shared" si="14"/>
        <v>95.988538681948427</v>
      </c>
      <c r="S31" s="40">
        <v>17.559999999999999</v>
      </c>
      <c r="T31" s="47">
        <f t="shared" si="15"/>
        <v>100.63037249283668</v>
      </c>
      <c r="U31" s="40">
        <v>18.27</v>
      </c>
      <c r="V31" s="47">
        <f t="shared" si="16"/>
        <v>104.69914040114614</v>
      </c>
      <c r="W31" s="40">
        <v>17.510000000000002</v>
      </c>
      <c r="X31" s="47">
        <f t="shared" si="17"/>
        <v>100.34383954154728</v>
      </c>
      <c r="Y31" s="40">
        <v>17.559999999999999</v>
      </c>
      <c r="Z31" s="47">
        <f t="shared" si="18"/>
        <v>100.63037249283668</v>
      </c>
      <c r="AA31" s="40">
        <v>17.989999999999998</v>
      </c>
      <c r="AB31" s="47">
        <f t="shared" si="19"/>
        <v>103.09455587392549</v>
      </c>
      <c r="AC31" s="40">
        <v>17.739999999999998</v>
      </c>
      <c r="AD31" s="47">
        <f t="shared" si="20"/>
        <v>101.6618911174785</v>
      </c>
    </row>
    <row r="32" spans="2:32" s="95" customFormat="1" ht="12.75" customHeight="1" x14ac:dyDescent="0.25">
      <c r="J32" s="354"/>
      <c r="K32" s="58" t="s">
        <v>467</v>
      </c>
      <c r="L32" s="55">
        <v>17.7</v>
      </c>
      <c r="M32" s="40">
        <v>17.239999999999998</v>
      </c>
      <c r="N32" s="47">
        <f t="shared" si="12"/>
        <v>97.401129943502823</v>
      </c>
      <c r="O32" s="48">
        <v>16.95</v>
      </c>
      <c r="P32" s="47">
        <f t="shared" si="13"/>
        <v>95.762711864406782</v>
      </c>
      <c r="Q32" s="48">
        <v>16.95</v>
      </c>
      <c r="R32" s="47">
        <f t="shared" si="14"/>
        <v>95.762711864406782</v>
      </c>
      <c r="S32" s="40">
        <v>17.690000000000001</v>
      </c>
      <c r="T32" s="47">
        <f t="shared" si="15"/>
        <v>99.943502824858768</v>
      </c>
      <c r="U32" s="40">
        <v>18.54</v>
      </c>
      <c r="V32" s="47">
        <f t="shared" si="16"/>
        <v>104.7457627118644</v>
      </c>
      <c r="W32" s="40">
        <v>17.88</v>
      </c>
      <c r="X32" s="47">
        <f t="shared" si="17"/>
        <v>101.01694915254238</v>
      </c>
      <c r="Y32" s="40">
        <v>17.82</v>
      </c>
      <c r="Z32" s="47">
        <f t="shared" si="18"/>
        <v>100.67796610169492</v>
      </c>
      <c r="AA32" s="40">
        <v>17.75</v>
      </c>
      <c r="AB32" s="47">
        <f t="shared" si="19"/>
        <v>100.28248587570623</v>
      </c>
      <c r="AC32" s="40">
        <v>17.920000000000002</v>
      </c>
      <c r="AD32" s="47">
        <f t="shared" si="20"/>
        <v>101.24293785310736</v>
      </c>
    </row>
    <row r="33" spans="10:30" s="95" customFormat="1" ht="12.75" customHeight="1" x14ac:dyDescent="0.25">
      <c r="J33" s="366" t="s">
        <v>365</v>
      </c>
      <c r="K33" s="58" t="s">
        <v>468</v>
      </c>
      <c r="L33" s="55">
        <v>17.59</v>
      </c>
      <c r="M33" s="48">
        <v>16.61</v>
      </c>
      <c r="N33" s="47">
        <f t="shared" si="12"/>
        <v>94.42865264354748</v>
      </c>
      <c r="O33" s="48">
        <v>15.19</v>
      </c>
      <c r="P33" s="47">
        <f t="shared" si="13"/>
        <v>86.355884025014205</v>
      </c>
      <c r="Q33" s="48">
        <v>15.19</v>
      </c>
      <c r="R33" s="47">
        <f t="shared" si="14"/>
        <v>86.355884025014205</v>
      </c>
      <c r="S33" s="48">
        <v>15.5</v>
      </c>
      <c r="T33" s="47">
        <f t="shared" si="15"/>
        <v>88.118249005116539</v>
      </c>
      <c r="U33" s="48">
        <v>15.28</v>
      </c>
      <c r="V33" s="47">
        <f t="shared" si="16"/>
        <v>86.867538374076176</v>
      </c>
      <c r="W33" s="48">
        <v>16.440000000000001</v>
      </c>
      <c r="X33" s="47">
        <f t="shared" si="17"/>
        <v>93.462194428652651</v>
      </c>
      <c r="Y33" s="48">
        <v>16.04</v>
      </c>
      <c r="Z33" s="47">
        <f t="shared" si="18"/>
        <v>91.188175099488348</v>
      </c>
      <c r="AA33" s="48">
        <v>16.28</v>
      </c>
      <c r="AB33" s="47">
        <f t="shared" si="19"/>
        <v>92.552586696986921</v>
      </c>
      <c r="AC33" s="48">
        <v>15.91</v>
      </c>
      <c r="AD33" s="47">
        <f t="shared" si="20"/>
        <v>90.449118817509955</v>
      </c>
    </row>
    <row r="34" spans="10:30" s="95" customFormat="1" ht="12.75" customHeight="1" x14ac:dyDescent="0.25">
      <c r="J34" s="366"/>
      <c r="K34" s="58" t="s">
        <v>469</v>
      </c>
      <c r="L34" s="55">
        <v>17.600000000000001</v>
      </c>
      <c r="M34" s="48">
        <v>16.73</v>
      </c>
      <c r="N34" s="47">
        <f t="shared" si="12"/>
        <v>95.056818181818187</v>
      </c>
      <c r="O34" s="48">
        <v>15.31</v>
      </c>
      <c r="P34" s="47">
        <f t="shared" si="13"/>
        <v>86.98863636363636</v>
      </c>
      <c r="Q34" s="48">
        <v>15.31</v>
      </c>
      <c r="R34" s="47">
        <f t="shared" si="14"/>
        <v>86.98863636363636</v>
      </c>
      <c r="S34" s="48">
        <v>16.52</v>
      </c>
      <c r="T34" s="47">
        <f t="shared" si="15"/>
        <v>93.863636363636346</v>
      </c>
      <c r="U34" s="48">
        <v>16.79</v>
      </c>
      <c r="V34" s="47">
        <f t="shared" si="16"/>
        <v>95.397727272727266</v>
      </c>
      <c r="W34" s="40">
        <v>18.07</v>
      </c>
      <c r="X34" s="47">
        <f t="shared" si="17"/>
        <v>102.67045454545453</v>
      </c>
      <c r="Y34" s="40">
        <v>17.86</v>
      </c>
      <c r="Z34" s="47">
        <f t="shared" si="18"/>
        <v>101.47727272727272</v>
      </c>
      <c r="AA34" s="40">
        <v>18.36</v>
      </c>
      <c r="AB34" s="47">
        <f t="shared" si="19"/>
        <v>104.3181818181818</v>
      </c>
      <c r="AC34" s="40">
        <v>18.579999999999998</v>
      </c>
      <c r="AD34" s="47">
        <f t="shared" si="20"/>
        <v>105.5681818181818</v>
      </c>
    </row>
    <row r="35" spans="10:30" s="95" customFormat="1" ht="12.75" customHeight="1" x14ac:dyDescent="0.25">
      <c r="J35" s="366"/>
      <c r="K35" s="58" t="s">
        <v>470</v>
      </c>
      <c r="L35" s="55">
        <v>17.495000000000001</v>
      </c>
      <c r="M35" s="48">
        <v>16.5975</v>
      </c>
      <c r="N35" s="47">
        <f t="shared" si="12"/>
        <v>94.869962846527585</v>
      </c>
      <c r="O35" s="48">
        <v>15.077500000000001</v>
      </c>
      <c r="P35" s="47">
        <f t="shared" si="13"/>
        <v>86.181766218919691</v>
      </c>
      <c r="Q35" s="48">
        <v>15.077500000000001</v>
      </c>
      <c r="R35" s="47">
        <f t="shared" si="14"/>
        <v>86.181766218919691</v>
      </c>
      <c r="S35" s="48">
        <v>15.83</v>
      </c>
      <c r="T35" s="47">
        <f t="shared" si="15"/>
        <v>90.48299514146899</v>
      </c>
      <c r="U35" s="48">
        <v>16.23</v>
      </c>
      <c r="V35" s="47">
        <f t="shared" si="16"/>
        <v>92.769362675050019</v>
      </c>
      <c r="W35" s="40">
        <v>18.66</v>
      </c>
      <c r="X35" s="47">
        <f t="shared" si="17"/>
        <v>106.65904544155474</v>
      </c>
      <c r="Y35" s="40">
        <v>18.78</v>
      </c>
      <c r="Z35" s="47">
        <f t="shared" si="18"/>
        <v>107.34495570162903</v>
      </c>
      <c r="AA35" s="40">
        <v>18.940000000000001</v>
      </c>
      <c r="AB35" s="47">
        <f t="shared" si="19"/>
        <v>108.25950271506144</v>
      </c>
      <c r="AC35" s="40">
        <v>19.39</v>
      </c>
      <c r="AD35" s="47">
        <f t="shared" si="20"/>
        <v>110.83166619034009</v>
      </c>
    </row>
    <row r="36" spans="10:30" s="95" customFormat="1" ht="12.75" customHeight="1" x14ac:dyDescent="0.25">
      <c r="J36" s="366"/>
      <c r="K36" s="58" t="s">
        <v>471</v>
      </c>
      <c r="L36" s="55">
        <v>17.57</v>
      </c>
      <c r="M36" s="48">
        <v>16.7</v>
      </c>
      <c r="N36" s="47">
        <f t="shared" si="12"/>
        <v>95.048377916903803</v>
      </c>
      <c r="O36" s="48">
        <v>15.03</v>
      </c>
      <c r="P36" s="47">
        <f t="shared" si="13"/>
        <v>85.543540125213426</v>
      </c>
      <c r="Q36" s="48">
        <v>15.03</v>
      </c>
      <c r="R36" s="47">
        <f t="shared" si="14"/>
        <v>85.543540125213426</v>
      </c>
      <c r="S36" s="48">
        <v>16.12</v>
      </c>
      <c r="T36" s="47">
        <f t="shared" si="15"/>
        <v>91.747296528173024</v>
      </c>
      <c r="U36" s="48">
        <v>16.93</v>
      </c>
      <c r="V36" s="47">
        <f t="shared" si="16"/>
        <v>96.357427433124641</v>
      </c>
      <c r="W36" s="40">
        <v>17.399999999999999</v>
      </c>
      <c r="X36" s="47">
        <f t="shared" si="17"/>
        <v>99.032441661923727</v>
      </c>
      <c r="Y36" s="40">
        <v>17.22</v>
      </c>
      <c r="Z36" s="47">
        <f t="shared" si="18"/>
        <v>98.007968127490031</v>
      </c>
      <c r="AA36" s="48">
        <v>16.649999999999999</v>
      </c>
      <c r="AB36" s="47">
        <f t="shared" si="19"/>
        <v>94.763801935116661</v>
      </c>
      <c r="AC36" s="48">
        <v>15.8</v>
      </c>
      <c r="AD36" s="47">
        <f t="shared" si="20"/>
        <v>89.926010244735338</v>
      </c>
    </row>
    <row r="37" spans="10:30" s="95" customFormat="1" ht="12.75" customHeight="1" x14ac:dyDescent="0.25">
      <c r="J37" s="366"/>
      <c r="K37" s="58" t="s">
        <v>472</v>
      </c>
      <c r="L37" s="55">
        <v>17.22</v>
      </c>
      <c r="M37" s="48">
        <v>16.350000000000001</v>
      </c>
      <c r="N37" s="47">
        <f t="shared" si="12"/>
        <v>94.947735191637648</v>
      </c>
      <c r="O37" s="48">
        <v>14.78</v>
      </c>
      <c r="P37" s="47">
        <f t="shared" si="13"/>
        <v>85.830429732868765</v>
      </c>
      <c r="Q37" s="48">
        <v>14.78</v>
      </c>
      <c r="R37" s="47">
        <f t="shared" si="14"/>
        <v>85.830429732868765</v>
      </c>
      <c r="S37" s="48">
        <v>15.2</v>
      </c>
      <c r="T37" s="47">
        <f t="shared" si="15"/>
        <v>88.269454123112652</v>
      </c>
      <c r="U37" s="48">
        <v>15.93</v>
      </c>
      <c r="V37" s="47">
        <f t="shared" si="16"/>
        <v>92.508710801393732</v>
      </c>
      <c r="W37" s="48">
        <v>16.78</v>
      </c>
      <c r="X37" s="47">
        <f t="shared" si="17"/>
        <v>97.44483159117307</v>
      </c>
      <c r="Y37" s="40">
        <v>17.440000000000001</v>
      </c>
      <c r="Z37" s="47">
        <f t="shared" si="18"/>
        <v>101.27758420441349</v>
      </c>
      <c r="AA37" s="40">
        <v>17.649999999999999</v>
      </c>
      <c r="AB37" s="47">
        <f t="shared" si="19"/>
        <v>102.49709639953541</v>
      </c>
      <c r="AC37" s="40">
        <v>17.64</v>
      </c>
      <c r="AD37" s="47">
        <f t="shared" si="20"/>
        <v>102.4390243902439</v>
      </c>
    </row>
    <row r="38" spans="10:30" s="95" customFormat="1" ht="12.75" customHeight="1" x14ac:dyDescent="0.25">
      <c r="J38" s="354" t="s">
        <v>865</v>
      </c>
      <c r="K38" s="58" t="s">
        <v>489</v>
      </c>
      <c r="L38" s="55">
        <v>16.98</v>
      </c>
      <c r="M38" s="48">
        <v>16.07</v>
      </c>
      <c r="N38" s="47">
        <f t="shared" si="12"/>
        <v>94.64075382803297</v>
      </c>
      <c r="O38" s="48">
        <v>14.42</v>
      </c>
      <c r="P38" s="47">
        <f t="shared" si="13"/>
        <v>84.923439340400463</v>
      </c>
      <c r="Q38" s="48">
        <v>14.42</v>
      </c>
      <c r="R38" s="47">
        <f t="shared" si="14"/>
        <v>84.923439340400463</v>
      </c>
      <c r="S38" s="48">
        <v>15.76</v>
      </c>
      <c r="T38" s="47">
        <f t="shared" si="15"/>
        <v>92.815076560659591</v>
      </c>
      <c r="U38" s="48">
        <v>16.2</v>
      </c>
      <c r="V38" s="47">
        <f t="shared" si="16"/>
        <v>95.406360424028264</v>
      </c>
      <c r="W38" s="48">
        <v>16.93</v>
      </c>
      <c r="X38" s="47">
        <f t="shared" si="17"/>
        <v>99.705535924617195</v>
      </c>
      <c r="Y38" s="48">
        <v>16.940000000000001</v>
      </c>
      <c r="Z38" s="47">
        <f t="shared" si="18"/>
        <v>99.76442873969377</v>
      </c>
      <c r="AA38" s="48">
        <v>16.899999999999999</v>
      </c>
      <c r="AB38" s="47">
        <f t="shared" si="19"/>
        <v>99.528857479387497</v>
      </c>
      <c r="AC38" s="40">
        <v>17.12</v>
      </c>
      <c r="AD38" s="47">
        <f t="shared" si="20"/>
        <v>100.82449941107186</v>
      </c>
    </row>
    <row r="39" spans="10:30" s="95" customFormat="1" ht="12.75" customHeight="1" x14ac:dyDescent="0.3">
      <c r="J39" s="354"/>
      <c r="K39" s="58" t="s">
        <v>490</v>
      </c>
      <c r="L39" s="55">
        <v>17.11</v>
      </c>
      <c r="M39" s="48">
        <v>16.37</v>
      </c>
      <c r="N39" s="47">
        <f t="shared" si="12"/>
        <v>95.675043834015199</v>
      </c>
      <c r="O39" s="48">
        <v>15.58</v>
      </c>
      <c r="P39" s="47">
        <f t="shared" si="13"/>
        <v>91.057860900058458</v>
      </c>
      <c r="Q39" s="48">
        <v>15.58</v>
      </c>
      <c r="R39" s="47">
        <f t="shared" si="14"/>
        <v>91.057860900058458</v>
      </c>
      <c r="S39" s="40">
        <v>17.010000000000002</v>
      </c>
      <c r="T39" s="47">
        <f t="shared" si="15"/>
        <v>99.415546464056121</v>
      </c>
      <c r="U39" s="40">
        <v>17.100000000000001</v>
      </c>
      <c r="V39" s="47">
        <f t="shared" si="16"/>
        <v>99.941554646405621</v>
      </c>
      <c r="W39" s="48">
        <v>16.86</v>
      </c>
      <c r="X39" s="47">
        <f t="shared" si="17"/>
        <v>98.538866160140273</v>
      </c>
      <c r="Y39" s="49" t="s">
        <v>291</v>
      </c>
      <c r="Z39" s="54"/>
      <c r="AA39" s="48"/>
      <c r="AB39" s="54"/>
      <c r="AC39" s="48"/>
      <c r="AD39" s="54"/>
    </row>
    <row r="40" spans="10:30" s="95" customFormat="1" ht="12.75" customHeight="1" x14ac:dyDescent="0.25">
      <c r="J40" s="354"/>
      <c r="K40" s="58" t="s">
        <v>491</v>
      </c>
      <c r="L40" s="55">
        <v>17.07</v>
      </c>
      <c r="M40" s="48">
        <v>16.02</v>
      </c>
      <c r="N40" s="47">
        <f t="shared" si="12"/>
        <v>93.848857644991213</v>
      </c>
      <c r="O40" s="48">
        <v>14.83</v>
      </c>
      <c r="P40" s="47">
        <f t="shared" si="13"/>
        <v>86.877562975981249</v>
      </c>
      <c r="Q40" s="48">
        <v>14.83</v>
      </c>
      <c r="R40" s="47">
        <f t="shared" si="14"/>
        <v>86.877562975981249</v>
      </c>
      <c r="S40" s="48">
        <v>16.21</v>
      </c>
      <c r="T40" s="47">
        <f t="shared" si="15"/>
        <v>94.961921499707088</v>
      </c>
      <c r="U40" s="40">
        <v>17.25</v>
      </c>
      <c r="V40" s="47">
        <f t="shared" si="16"/>
        <v>101.05448154657293</v>
      </c>
      <c r="W40" s="48">
        <v>15.72</v>
      </c>
      <c r="X40" s="47">
        <f t="shared" si="17"/>
        <v>92.091388400702982</v>
      </c>
      <c r="Y40" s="48">
        <v>16.649999999999999</v>
      </c>
      <c r="Z40" s="47">
        <f t="shared" ref="Z40:Z42" si="21">Y40/L40*100</f>
        <v>97.539543057996482</v>
      </c>
      <c r="AA40" s="48">
        <v>16.25</v>
      </c>
      <c r="AB40" s="47">
        <f t="shared" ref="AB40:AB42" si="22">AA40/L40*100</f>
        <v>95.196250732278855</v>
      </c>
      <c r="AC40" s="48">
        <v>15.16</v>
      </c>
      <c r="AD40" s="47">
        <f t="shared" ref="AD40:AD42" si="23">AC40/L40*100</f>
        <v>88.810779144698301</v>
      </c>
    </row>
    <row r="41" spans="10:30" s="95" customFormat="1" ht="12.75" customHeight="1" x14ac:dyDescent="0.25">
      <c r="J41" s="354"/>
      <c r="K41" s="58" t="s">
        <v>492</v>
      </c>
      <c r="L41" s="55">
        <v>16.79</v>
      </c>
      <c r="M41" s="48">
        <v>14.69</v>
      </c>
      <c r="N41" s="47">
        <f t="shared" si="12"/>
        <v>87.492555092316863</v>
      </c>
      <c r="O41" s="48">
        <v>13.87</v>
      </c>
      <c r="P41" s="47">
        <f t="shared" si="13"/>
        <v>82.608695652173907</v>
      </c>
      <c r="Q41" s="48">
        <v>13.87</v>
      </c>
      <c r="R41" s="47">
        <f t="shared" si="14"/>
        <v>82.608695652173907</v>
      </c>
      <c r="S41" s="48">
        <v>15.26</v>
      </c>
      <c r="T41" s="47">
        <f t="shared" si="15"/>
        <v>90.887432995830849</v>
      </c>
      <c r="U41" s="48">
        <v>14.26</v>
      </c>
      <c r="V41" s="47">
        <f t="shared" si="16"/>
        <v>84.93150684931507</v>
      </c>
      <c r="W41" s="48">
        <v>14.2</v>
      </c>
      <c r="X41" s="47">
        <f t="shared" si="17"/>
        <v>84.57415128052412</v>
      </c>
      <c r="Y41" s="48">
        <v>14.7</v>
      </c>
      <c r="Z41" s="47">
        <f t="shared" si="21"/>
        <v>87.552114353782017</v>
      </c>
      <c r="AA41" s="48">
        <v>15.08</v>
      </c>
      <c r="AB41" s="47">
        <f t="shared" si="22"/>
        <v>89.815366289458026</v>
      </c>
      <c r="AC41" s="48">
        <v>15.96</v>
      </c>
      <c r="AD41" s="47">
        <f t="shared" si="23"/>
        <v>95.056581298391905</v>
      </c>
    </row>
    <row r="42" spans="10:30" s="95" customFormat="1" ht="12.75" customHeight="1" x14ac:dyDescent="0.25">
      <c r="J42" s="354"/>
      <c r="K42" s="58" t="s">
        <v>493</v>
      </c>
      <c r="L42" s="55">
        <v>17.5</v>
      </c>
      <c r="M42" s="48">
        <v>16.329999999999998</v>
      </c>
      <c r="N42" s="47">
        <f t="shared" si="12"/>
        <v>93.314285714285703</v>
      </c>
      <c r="O42" s="48">
        <v>15.26</v>
      </c>
      <c r="P42" s="47">
        <f t="shared" si="13"/>
        <v>87.2</v>
      </c>
      <c r="Q42" s="48">
        <v>15.26</v>
      </c>
      <c r="R42" s="47">
        <f t="shared" si="14"/>
        <v>87.2</v>
      </c>
      <c r="S42" s="48">
        <v>16.46</v>
      </c>
      <c r="T42" s="47">
        <f t="shared" si="15"/>
        <v>94.057142857142864</v>
      </c>
      <c r="U42" s="48">
        <v>16.41</v>
      </c>
      <c r="V42" s="47">
        <f t="shared" si="16"/>
        <v>93.771428571428572</v>
      </c>
      <c r="W42" s="48">
        <v>16.600000000000001</v>
      </c>
      <c r="X42" s="47">
        <f t="shared" si="17"/>
        <v>94.857142857142861</v>
      </c>
      <c r="Y42" s="40">
        <v>17.22</v>
      </c>
      <c r="Z42" s="47">
        <f t="shared" si="21"/>
        <v>98.4</v>
      </c>
      <c r="AA42" s="40">
        <v>17.920000000000002</v>
      </c>
      <c r="AB42" s="47">
        <f t="shared" si="22"/>
        <v>102.4</v>
      </c>
      <c r="AC42" s="40">
        <v>17.98</v>
      </c>
      <c r="AD42" s="47">
        <f t="shared" si="23"/>
        <v>102.74285714285713</v>
      </c>
    </row>
    <row r="43" spans="10:30" s="95" customFormat="1" ht="12.75" customHeight="1" x14ac:dyDescent="0.25">
      <c r="J43" s="5"/>
      <c r="K43" s="96"/>
      <c r="L43" s="98"/>
      <c r="M43" s="98"/>
      <c r="N43" s="98"/>
    </row>
    <row r="44" spans="10:30" s="95" customFormat="1" ht="12.75" customHeight="1" x14ac:dyDescent="0.25">
      <c r="J44" s="5"/>
      <c r="K44" s="96"/>
      <c r="L44" s="98"/>
      <c r="M44" s="98"/>
      <c r="N44" s="98"/>
    </row>
    <row r="45" spans="10:30" s="95" customFormat="1" ht="12.5" x14ac:dyDescent="0.25">
      <c r="J45" s="5"/>
      <c r="K45" s="96"/>
      <c r="L45" s="98"/>
      <c r="M45" s="98"/>
      <c r="N45" s="98"/>
    </row>
  </sheetData>
  <mergeCells count="25">
    <mergeCell ref="J33:J37"/>
    <mergeCell ref="J38:J42"/>
    <mergeCell ref="U26:V26"/>
    <mergeCell ref="W26:X26"/>
    <mergeCell ref="Y26:Z26"/>
    <mergeCell ref="AA26:AB26"/>
    <mergeCell ref="AC26:AD26"/>
    <mergeCell ref="J28:J32"/>
    <mergeCell ref="J12:J16"/>
    <mergeCell ref="J17:J21"/>
    <mergeCell ref="M26:N26"/>
    <mergeCell ref="O26:P26"/>
    <mergeCell ref="Q26:R26"/>
    <mergeCell ref="S26:T26"/>
    <mergeCell ref="Y5:Z5"/>
    <mergeCell ref="AA5:AB5"/>
    <mergeCell ref="AC5:AD5"/>
    <mergeCell ref="AE5:AF5"/>
    <mergeCell ref="J7:J11"/>
    <mergeCell ref="M5:N5"/>
    <mergeCell ref="O5:P5"/>
    <mergeCell ref="Q5:R5"/>
    <mergeCell ref="S5:T5"/>
    <mergeCell ref="U5:V5"/>
    <mergeCell ref="W5:X5"/>
  </mergeCells>
  <phoneticPr fontId="3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71EA-947C-4102-AE08-106934027D42}">
  <dimension ref="B2:R35"/>
  <sheetViews>
    <sheetView zoomScale="90" zoomScaleNormal="90" workbookViewId="0">
      <selection activeCell="I40" sqref="I40"/>
    </sheetView>
  </sheetViews>
  <sheetFormatPr defaultColWidth="9" defaultRowHeight="14" x14ac:dyDescent="0.3"/>
  <cols>
    <col min="1" max="1" width="9" style="25"/>
    <col min="2" max="2" width="17.83203125" style="37" customWidth="1"/>
    <col min="3" max="3" width="6.33203125" style="35" customWidth="1"/>
    <col min="4" max="5" width="6.5" style="36" customWidth="1"/>
    <col min="6" max="6" width="6.75" style="36" bestFit="1" customWidth="1"/>
    <col min="7" max="7" width="6.08203125" style="25" bestFit="1" customWidth="1"/>
    <col min="8" max="8" width="6.75" style="25" customWidth="1"/>
    <col min="9" max="9" width="6.08203125" style="25" bestFit="1" customWidth="1"/>
    <col min="10" max="10" width="6.75" style="25" customWidth="1"/>
    <col min="11" max="11" width="6.08203125" style="25" bestFit="1" customWidth="1"/>
    <col min="12" max="12" width="6.75" style="25" customWidth="1"/>
    <col min="13" max="13" width="6.08203125" style="25" bestFit="1" customWidth="1"/>
    <col min="14" max="14" width="6.75" style="25" customWidth="1"/>
    <col min="15" max="15" width="6.08203125" style="25" bestFit="1" customWidth="1"/>
    <col min="16" max="16" width="6.75" style="25" customWidth="1"/>
    <col min="17" max="17" width="6.08203125" style="25" bestFit="1" customWidth="1"/>
    <col min="18" max="18" width="6.75" style="25" customWidth="1"/>
    <col min="19" max="16384" width="9" style="25"/>
  </cols>
  <sheetData>
    <row r="2" spans="2:18" s="95" customFormat="1" ht="13" x14ac:dyDescent="0.25">
      <c r="C2" s="100" t="s">
        <v>1304</v>
      </c>
      <c r="D2" s="101"/>
      <c r="E2" s="101"/>
    </row>
    <row r="3" spans="2:18" s="95" customFormat="1" ht="13" x14ac:dyDescent="0.25">
      <c r="C3" s="100"/>
      <c r="D3" s="101"/>
      <c r="E3" s="101"/>
    </row>
    <row r="4" spans="2:18" s="95" customFormat="1" ht="12.5" x14ac:dyDescent="0.25">
      <c r="B4" s="4"/>
      <c r="C4" s="263" t="s">
        <v>72</v>
      </c>
      <c r="D4" s="263" t="s">
        <v>172</v>
      </c>
      <c r="E4" s="358" t="s">
        <v>1321</v>
      </c>
      <c r="F4" s="359"/>
      <c r="G4" s="358" t="s">
        <v>1322</v>
      </c>
      <c r="H4" s="359"/>
      <c r="I4" s="358" t="s">
        <v>1323</v>
      </c>
      <c r="J4" s="359"/>
      <c r="K4" s="358" t="s">
        <v>1324</v>
      </c>
      <c r="L4" s="359"/>
      <c r="M4" s="358" t="s">
        <v>1325</v>
      </c>
      <c r="N4" s="359"/>
      <c r="O4" s="358" t="s">
        <v>1326</v>
      </c>
      <c r="P4" s="359"/>
      <c r="Q4" s="358" t="s">
        <v>1327</v>
      </c>
      <c r="R4" s="359"/>
    </row>
    <row r="5" spans="2:18" s="95" customFormat="1" ht="12.5" x14ac:dyDescent="0.25">
      <c r="B5" s="4"/>
      <c r="C5" s="263"/>
      <c r="D5" s="263"/>
      <c r="E5" s="263"/>
      <c r="F5" s="27"/>
      <c r="G5" s="263"/>
      <c r="H5" s="27"/>
      <c r="I5" s="263"/>
      <c r="J5" s="27"/>
      <c r="K5" s="263"/>
      <c r="L5" s="27"/>
      <c r="M5" s="263"/>
      <c r="N5" s="27"/>
      <c r="O5" s="263"/>
      <c r="P5" s="27"/>
      <c r="Q5" s="263"/>
      <c r="R5" s="27"/>
    </row>
    <row r="6" spans="2:18" s="95" customFormat="1" ht="16.5" customHeight="1" x14ac:dyDescent="0.25">
      <c r="B6" s="354" t="s">
        <v>1349</v>
      </c>
      <c r="C6" s="58" t="s">
        <v>1330</v>
      </c>
      <c r="D6" s="91">
        <v>18.97</v>
      </c>
      <c r="E6" s="40">
        <v>18.93</v>
      </c>
      <c r="F6" s="47">
        <f>E6/D6*100</f>
        <v>99.789140748550338</v>
      </c>
      <c r="G6" s="40">
        <v>19.21</v>
      </c>
      <c r="H6" s="47">
        <f>G6/D6*100</f>
        <v>101.26515550869794</v>
      </c>
      <c r="I6" s="40">
        <v>18.7</v>
      </c>
      <c r="J6" s="47">
        <f>I6/D6*100</f>
        <v>98.576700052714813</v>
      </c>
      <c r="K6" s="40">
        <v>18.989999999999998</v>
      </c>
      <c r="L6" s="47">
        <f>K6/D6*100</f>
        <v>100.10542962572482</v>
      </c>
      <c r="M6" s="40">
        <v>19.329999999999998</v>
      </c>
      <c r="N6" s="47">
        <f>M6/D6*100</f>
        <v>101.89773326304692</v>
      </c>
      <c r="O6" s="40">
        <v>18.88</v>
      </c>
      <c r="P6" s="47">
        <f>O6/D6*100</f>
        <v>99.525566684238271</v>
      </c>
      <c r="Q6" s="40">
        <v>19.11</v>
      </c>
      <c r="R6" s="47">
        <f>Q6/D6*100</f>
        <v>100.73800738007381</v>
      </c>
    </row>
    <row r="7" spans="2:18" s="95" customFormat="1" ht="12.5" x14ac:dyDescent="0.25">
      <c r="B7" s="354"/>
      <c r="C7" s="58" t="s">
        <v>484</v>
      </c>
      <c r="D7" s="91">
        <v>20.14</v>
      </c>
      <c r="E7" s="40">
        <v>20.02</v>
      </c>
      <c r="F7" s="47">
        <f t="shared" ref="F7:F30" si="0">E7/D7*100</f>
        <v>99.404170804369414</v>
      </c>
      <c r="G7" s="40">
        <v>19.72</v>
      </c>
      <c r="H7" s="47">
        <f t="shared" ref="H7:H30" si="1">G7/D7*100</f>
        <v>97.914597815292936</v>
      </c>
      <c r="I7" s="40">
        <v>19.829999999999998</v>
      </c>
      <c r="J7" s="47">
        <f t="shared" ref="J7:J30" si="2">I7/D7*100</f>
        <v>98.460774577954311</v>
      </c>
      <c r="K7" s="40">
        <v>19.64</v>
      </c>
      <c r="L7" s="47">
        <f t="shared" ref="L7:L30" si="3">K7/D7*100</f>
        <v>97.517378351539236</v>
      </c>
      <c r="M7" s="40">
        <v>20.6</v>
      </c>
      <c r="N7" s="47">
        <f t="shared" ref="N7:N29" si="4">M7/D7*100</f>
        <v>102.28401191658392</v>
      </c>
      <c r="O7" s="40">
        <v>21.03</v>
      </c>
      <c r="P7" s="47">
        <f t="shared" ref="P7:P25" si="5">O7/D7*100</f>
        <v>104.41906653426018</v>
      </c>
      <c r="Q7" s="40">
        <v>21.06</v>
      </c>
      <c r="R7" s="47">
        <f t="shared" ref="R7:R25" si="6">Q7/D7*100</f>
        <v>104.56802383316781</v>
      </c>
    </row>
    <row r="8" spans="2:18" s="95" customFormat="1" ht="12.5" x14ac:dyDescent="0.25">
      <c r="B8" s="354"/>
      <c r="C8" s="58" t="s">
        <v>485</v>
      </c>
      <c r="D8" s="91">
        <v>19.79</v>
      </c>
      <c r="E8" s="40">
        <v>19.07</v>
      </c>
      <c r="F8" s="47">
        <f t="shared" si="0"/>
        <v>96.361798888327442</v>
      </c>
      <c r="G8" s="40">
        <v>18.940000000000001</v>
      </c>
      <c r="H8" s="47">
        <f t="shared" si="1"/>
        <v>95.70490146538657</v>
      </c>
      <c r="I8" s="40">
        <v>19.02</v>
      </c>
      <c r="J8" s="47">
        <f t="shared" si="2"/>
        <v>96.109146033350186</v>
      </c>
      <c r="K8" s="40">
        <v>19.41</v>
      </c>
      <c r="L8" s="47">
        <f t="shared" si="3"/>
        <v>98.079838302172817</v>
      </c>
      <c r="M8" s="40">
        <v>19.3</v>
      </c>
      <c r="N8" s="47">
        <f t="shared" si="4"/>
        <v>97.524002021222842</v>
      </c>
      <c r="O8" s="40">
        <v>19.2</v>
      </c>
      <c r="P8" s="47">
        <f t="shared" si="5"/>
        <v>97.018696311268315</v>
      </c>
      <c r="Q8" s="40">
        <v>19.88</v>
      </c>
      <c r="R8" s="47">
        <f t="shared" si="6"/>
        <v>100.45477513895906</v>
      </c>
    </row>
    <row r="9" spans="2:18" s="95" customFormat="1" ht="12.5" x14ac:dyDescent="0.25">
      <c r="B9" s="354"/>
      <c r="C9" s="58" t="s">
        <v>486</v>
      </c>
      <c r="D9" s="91">
        <v>18.28</v>
      </c>
      <c r="E9" s="40">
        <v>17.670000000000002</v>
      </c>
      <c r="F9" s="47">
        <f t="shared" si="0"/>
        <v>96.663019693654277</v>
      </c>
      <c r="G9" s="40">
        <v>17.04</v>
      </c>
      <c r="H9" s="47">
        <f t="shared" si="1"/>
        <v>93.216630196936535</v>
      </c>
      <c r="I9" s="40">
        <v>17.18</v>
      </c>
      <c r="J9" s="47">
        <f t="shared" si="2"/>
        <v>93.982494529540475</v>
      </c>
      <c r="K9" s="40">
        <v>17.350000000000001</v>
      </c>
      <c r="L9" s="47">
        <f t="shared" si="3"/>
        <v>94.912472647702401</v>
      </c>
      <c r="M9" s="40">
        <v>17.600000000000001</v>
      </c>
      <c r="N9" s="47">
        <f t="shared" si="4"/>
        <v>96.280087527352293</v>
      </c>
      <c r="O9" s="40">
        <v>17.66</v>
      </c>
      <c r="P9" s="47">
        <f t="shared" si="5"/>
        <v>96.608315098468267</v>
      </c>
      <c r="Q9" s="40">
        <v>17.87</v>
      </c>
      <c r="R9" s="47">
        <f t="shared" si="6"/>
        <v>97.757111597374177</v>
      </c>
    </row>
    <row r="10" spans="2:18" s="95" customFormat="1" ht="12.5" x14ac:dyDescent="0.25">
      <c r="B10" s="354"/>
      <c r="C10" s="58" t="s">
        <v>488</v>
      </c>
      <c r="D10" s="91">
        <v>17.29</v>
      </c>
      <c r="E10" s="40">
        <v>17.38</v>
      </c>
      <c r="F10" s="47">
        <f t="shared" si="0"/>
        <v>100.52053209947947</v>
      </c>
      <c r="G10" s="40">
        <v>17.04</v>
      </c>
      <c r="H10" s="47">
        <f t="shared" si="1"/>
        <v>98.554077501445931</v>
      </c>
      <c r="I10" s="40">
        <v>17.2</v>
      </c>
      <c r="J10" s="47">
        <f t="shared" si="2"/>
        <v>99.479467900520532</v>
      </c>
      <c r="K10" s="40">
        <v>17.059999999999999</v>
      </c>
      <c r="L10" s="47">
        <f t="shared" si="3"/>
        <v>98.669751301330251</v>
      </c>
      <c r="M10" s="40">
        <v>17.37</v>
      </c>
      <c r="N10" s="47">
        <f t="shared" si="4"/>
        <v>100.46269519953732</v>
      </c>
      <c r="O10" s="40">
        <v>17.16</v>
      </c>
      <c r="P10" s="47">
        <f t="shared" si="5"/>
        <v>99.248120300751879</v>
      </c>
      <c r="Q10" s="40">
        <v>17.7</v>
      </c>
      <c r="R10" s="47">
        <f t="shared" si="6"/>
        <v>102.37131289762868</v>
      </c>
    </row>
    <row r="11" spans="2:18" s="95" customFormat="1" ht="12" customHeight="1" x14ac:dyDescent="0.25">
      <c r="B11" s="354" t="s">
        <v>1350</v>
      </c>
      <c r="C11" s="58" t="s">
        <v>489</v>
      </c>
      <c r="D11" s="91">
        <v>18.64</v>
      </c>
      <c r="E11" s="40">
        <v>18.34</v>
      </c>
      <c r="F11" s="47">
        <f t="shared" si="0"/>
        <v>98.39055793991416</v>
      </c>
      <c r="G11" s="40">
        <v>17.21</v>
      </c>
      <c r="H11" s="47">
        <f t="shared" si="1"/>
        <v>92.32832618025752</v>
      </c>
      <c r="I11" s="40">
        <v>16.29</v>
      </c>
      <c r="J11" s="47">
        <f t="shared" si="2"/>
        <v>87.392703862660937</v>
      </c>
      <c r="K11" s="40">
        <v>15.84</v>
      </c>
      <c r="L11" s="47">
        <f t="shared" si="3"/>
        <v>84.978540772532185</v>
      </c>
      <c r="M11" s="43" t="s">
        <v>363</v>
      </c>
      <c r="N11" s="47"/>
      <c r="O11" s="40"/>
      <c r="P11" s="47"/>
      <c r="Q11" s="40"/>
      <c r="R11" s="47"/>
    </row>
    <row r="12" spans="2:18" s="95" customFormat="1" ht="12.5" x14ac:dyDescent="0.25">
      <c r="B12" s="354"/>
      <c r="C12" s="58" t="s">
        <v>490</v>
      </c>
      <c r="D12" s="91">
        <v>18.399999999999999</v>
      </c>
      <c r="E12" s="40">
        <v>17.75</v>
      </c>
      <c r="F12" s="47">
        <f t="shared" si="0"/>
        <v>96.467391304347842</v>
      </c>
      <c r="G12" s="40">
        <v>16.5</v>
      </c>
      <c r="H12" s="47">
        <f t="shared" si="1"/>
        <v>89.673913043478265</v>
      </c>
      <c r="I12" s="40">
        <v>15.52</v>
      </c>
      <c r="J12" s="47">
        <f t="shared" si="2"/>
        <v>84.34782608695653</v>
      </c>
      <c r="K12" s="40">
        <v>15.03</v>
      </c>
      <c r="L12" s="47">
        <f t="shared" si="3"/>
        <v>81.684782608695656</v>
      </c>
      <c r="M12" s="40">
        <v>14.05</v>
      </c>
      <c r="N12" s="47">
        <f t="shared" si="4"/>
        <v>76.358695652173921</v>
      </c>
      <c r="O12" s="40">
        <v>13.22</v>
      </c>
      <c r="P12" s="47">
        <f t="shared" si="5"/>
        <v>71.84782608695653</v>
      </c>
      <c r="Q12" s="40">
        <v>12.56</v>
      </c>
      <c r="R12" s="47">
        <f t="shared" si="6"/>
        <v>68.260869565217391</v>
      </c>
    </row>
    <row r="13" spans="2:18" s="95" customFormat="1" ht="12.5" x14ac:dyDescent="0.25">
      <c r="B13" s="354"/>
      <c r="C13" s="58" t="s">
        <v>491</v>
      </c>
      <c r="D13" s="91">
        <v>20.47</v>
      </c>
      <c r="E13" s="40">
        <v>19.55</v>
      </c>
      <c r="F13" s="47">
        <f t="shared" si="0"/>
        <v>95.505617977528104</v>
      </c>
      <c r="G13" s="40">
        <v>17.57</v>
      </c>
      <c r="H13" s="47">
        <f t="shared" si="1"/>
        <v>85.832926233512467</v>
      </c>
      <c r="I13" s="40">
        <v>16.62</v>
      </c>
      <c r="J13" s="47">
        <f t="shared" si="2"/>
        <v>81.191988275525176</v>
      </c>
      <c r="K13" s="40">
        <v>15.93</v>
      </c>
      <c r="L13" s="47">
        <f t="shared" si="3"/>
        <v>77.821201758671236</v>
      </c>
      <c r="M13" s="40">
        <v>14.8</v>
      </c>
      <c r="N13" s="47">
        <f t="shared" si="4"/>
        <v>72.300928187591609</v>
      </c>
      <c r="O13" s="40">
        <v>14.47</v>
      </c>
      <c r="P13" s="47">
        <f t="shared" si="5"/>
        <v>70.688812896922343</v>
      </c>
      <c r="Q13" s="40">
        <v>13.46</v>
      </c>
      <c r="R13" s="47">
        <f t="shared" si="6"/>
        <v>65.75476306790425</v>
      </c>
    </row>
    <row r="14" spans="2:18" s="95" customFormat="1" ht="12.5" x14ac:dyDescent="0.25">
      <c r="B14" s="354"/>
      <c r="C14" s="58" t="s">
        <v>492</v>
      </c>
      <c r="D14" s="91">
        <v>19.34</v>
      </c>
      <c r="E14" s="40">
        <v>18.489999999999998</v>
      </c>
      <c r="F14" s="47">
        <f t="shared" si="0"/>
        <v>95.604963805584276</v>
      </c>
      <c r="G14" s="40">
        <v>16.850000000000001</v>
      </c>
      <c r="H14" s="47">
        <f t="shared" si="1"/>
        <v>87.125129265770425</v>
      </c>
      <c r="I14" s="40">
        <v>15.82</v>
      </c>
      <c r="J14" s="47">
        <f t="shared" si="2"/>
        <v>81.799379524301969</v>
      </c>
      <c r="K14" s="40">
        <v>14.98</v>
      </c>
      <c r="L14" s="47">
        <f t="shared" si="3"/>
        <v>77.456049638055845</v>
      </c>
      <c r="M14" s="40">
        <v>14.13</v>
      </c>
      <c r="N14" s="47">
        <f t="shared" si="4"/>
        <v>73.061013443640135</v>
      </c>
      <c r="O14" s="40">
        <v>13.86</v>
      </c>
      <c r="P14" s="47">
        <f t="shared" si="5"/>
        <v>71.664943123061008</v>
      </c>
      <c r="Q14" s="40">
        <v>13.26</v>
      </c>
      <c r="R14" s="47">
        <f t="shared" si="6"/>
        <v>68.562564632885213</v>
      </c>
    </row>
    <row r="15" spans="2:18" s="95" customFormat="1" ht="12.5" x14ac:dyDescent="0.25">
      <c r="B15" s="354"/>
      <c r="C15" s="58" t="s">
        <v>1331</v>
      </c>
      <c r="D15" s="91">
        <v>17.850000000000001</v>
      </c>
      <c r="E15" s="40">
        <v>17.38</v>
      </c>
      <c r="F15" s="47">
        <f t="shared" si="0"/>
        <v>97.366946778711466</v>
      </c>
      <c r="G15" s="40">
        <v>16</v>
      </c>
      <c r="H15" s="47">
        <f t="shared" si="1"/>
        <v>89.635854341736689</v>
      </c>
      <c r="I15" s="40">
        <v>15.03</v>
      </c>
      <c r="J15" s="47">
        <f t="shared" si="2"/>
        <v>84.201680672268893</v>
      </c>
      <c r="K15" s="40">
        <v>14.24</v>
      </c>
      <c r="L15" s="47">
        <f t="shared" si="3"/>
        <v>79.775910364145659</v>
      </c>
      <c r="M15" s="40">
        <v>13.5</v>
      </c>
      <c r="N15" s="47">
        <f t="shared" si="4"/>
        <v>75.630252100840337</v>
      </c>
      <c r="O15" s="40">
        <v>13.34</v>
      </c>
      <c r="P15" s="47">
        <f t="shared" si="5"/>
        <v>74.733893557422959</v>
      </c>
      <c r="Q15" s="40">
        <v>12.66</v>
      </c>
      <c r="R15" s="47">
        <f t="shared" si="6"/>
        <v>70.924369747899149</v>
      </c>
    </row>
    <row r="16" spans="2:18" s="95" customFormat="1" ht="15" customHeight="1" x14ac:dyDescent="0.25">
      <c r="B16" s="354" t="s">
        <v>1351</v>
      </c>
      <c r="C16" s="58" t="s">
        <v>1332</v>
      </c>
      <c r="D16" s="91">
        <v>18.27</v>
      </c>
      <c r="E16" s="40">
        <v>17.649999999999999</v>
      </c>
      <c r="F16" s="47">
        <f t="shared" si="0"/>
        <v>96.606458675424193</v>
      </c>
      <c r="G16" s="40">
        <v>16.8</v>
      </c>
      <c r="H16" s="47">
        <f t="shared" si="1"/>
        <v>91.954022988505756</v>
      </c>
      <c r="I16" s="40">
        <v>15.65</v>
      </c>
      <c r="J16" s="47">
        <f t="shared" si="2"/>
        <v>85.659551176792561</v>
      </c>
      <c r="K16" s="40">
        <v>14.8</v>
      </c>
      <c r="L16" s="47">
        <f t="shared" si="3"/>
        <v>81.00711548987411</v>
      </c>
      <c r="M16" s="40">
        <v>14.3</v>
      </c>
      <c r="N16" s="47">
        <f t="shared" si="4"/>
        <v>78.270388615216206</v>
      </c>
      <c r="O16" s="40">
        <v>13.97</v>
      </c>
      <c r="P16" s="47">
        <f t="shared" si="5"/>
        <v>76.46414887794198</v>
      </c>
      <c r="Q16" s="40">
        <v>13.41</v>
      </c>
      <c r="R16" s="47">
        <f t="shared" si="6"/>
        <v>73.399014778325125</v>
      </c>
    </row>
    <row r="17" spans="2:18" s="95" customFormat="1" ht="12.5" x14ac:dyDescent="0.25">
      <c r="B17" s="354"/>
      <c r="C17" s="58" t="s">
        <v>1333</v>
      </c>
      <c r="D17" s="91">
        <v>18.850000000000001</v>
      </c>
      <c r="E17" s="40">
        <v>18.21</v>
      </c>
      <c r="F17" s="47">
        <f t="shared" si="0"/>
        <v>96.604774535809014</v>
      </c>
      <c r="G17" s="40">
        <v>16.86</v>
      </c>
      <c r="H17" s="47">
        <f t="shared" si="1"/>
        <v>89.442970822281154</v>
      </c>
      <c r="I17" s="40">
        <v>15.9</v>
      </c>
      <c r="J17" s="47">
        <f t="shared" si="2"/>
        <v>84.350132625994689</v>
      </c>
      <c r="K17" s="40">
        <v>15.32</v>
      </c>
      <c r="L17" s="47">
        <f t="shared" si="3"/>
        <v>81.273209549071609</v>
      </c>
      <c r="M17" s="40">
        <v>14.28</v>
      </c>
      <c r="N17" s="47">
        <f t="shared" si="4"/>
        <v>75.755968169761275</v>
      </c>
      <c r="O17" s="40">
        <v>14.24</v>
      </c>
      <c r="P17" s="47">
        <f t="shared" si="5"/>
        <v>75.543766578249333</v>
      </c>
      <c r="Q17" s="40">
        <v>13.67</v>
      </c>
      <c r="R17" s="47">
        <f t="shared" si="6"/>
        <v>72.519893899204234</v>
      </c>
    </row>
    <row r="18" spans="2:18" s="95" customFormat="1" ht="14.25" customHeight="1" x14ac:dyDescent="0.25">
      <c r="B18" s="354"/>
      <c r="C18" s="58" t="s">
        <v>1334</v>
      </c>
      <c r="D18" s="91">
        <v>17.8</v>
      </c>
      <c r="E18" s="40">
        <v>16.760000000000002</v>
      </c>
      <c r="F18" s="47">
        <f t="shared" si="0"/>
        <v>94.157303370786522</v>
      </c>
      <c r="G18" s="40">
        <v>16.05</v>
      </c>
      <c r="H18" s="47">
        <f t="shared" si="1"/>
        <v>90.168539325842701</v>
      </c>
      <c r="I18" s="40">
        <v>14.92</v>
      </c>
      <c r="J18" s="47">
        <f t="shared" si="2"/>
        <v>83.82022471910112</v>
      </c>
      <c r="K18" s="40">
        <v>13.9</v>
      </c>
      <c r="L18" s="47">
        <f t="shared" si="3"/>
        <v>78.089887640449433</v>
      </c>
      <c r="M18" s="40">
        <v>13.27</v>
      </c>
      <c r="N18" s="47">
        <f t="shared" si="4"/>
        <v>74.550561797752806</v>
      </c>
      <c r="O18" s="40">
        <v>13.02</v>
      </c>
      <c r="P18" s="47">
        <f t="shared" si="5"/>
        <v>73.146067415730329</v>
      </c>
      <c r="Q18" s="40">
        <v>12.65</v>
      </c>
      <c r="R18" s="47">
        <f t="shared" si="6"/>
        <v>71.067415730337075</v>
      </c>
    </row>
    <row r="19" spans="2:18" s="95" customFormat="1" ht="14.25" customHeight="1" x14ac:dyDescent="0.25">
      <c r="B19" s="354"/>
      <c r="C19" s="58" t="s">
        <v>1335</v>
      </c>
      <c r="D19" s="91">
        <v>18.850000000000001</v>
      </c>
      <c r="E19" s="40">
        <v>17.670000000000002</v>
      </c>
      <c r="F19" s="47">
        <f t="shared" si="0"/>
        <v>93.740053050397876</v>
      </c>
      <c r="G19" s="40">
        <v>16.55</v>
      </c>
      <c r="H19" s="47">
        <f t="shared" si="1"/>
        <v>87.798408488063657</v>
      </c>
      <c r="I19" s="40">
        <v>15.72</v>
      </c>
      <c r="J19" s="47">
        <f t="shared" si="2"/>
        <v>83.395225464190986</v>
      </c>
      <c r="K19" s="40">
        <v>15.03</v>
      </c>
      <c r="L19" s="47">
        <f t="shared" si="3"/>
        <v>79.734748010610062</v>
      </c>
      <c r="M19" s="40">
        <v>14.16</v>
      </c>
      <c r="N19" s="47">
        <f t="shared" si="4"/>
        <v>75.119363395225463</v>
      </c>
      <c r="O19" s="40">
        <v>13.61</v>
      </c>
      <c r="P19" s="47">
        <f t="shared" si="5"/>
        <v>72.201591511936343</v>
      </c>
      <c r="Q19" s="40">
        <v>12.75</v>
      </c>
      <c r="R19" s="47">
        <f t="shared" si="6"/>
        <v>67.639257294429697</v>
      </c>
    </row>
    <row r="20" spans="2:18" s="95" customFormat="1" ht="14.25" customHeight="1" x14ac:dyDescent="0.25">
      <c r="B20" s="354"/>
      <c r="C20" s="58" t="s">
        <v>1336</v>
      </c>
      <c r="D20" s="91">
        <v>19.12</v>
      </c>
      <c r="E20" s="40">
        <v>18.5</v>
      </c>
      <c r="F20" s="47">
        <f t="shared" si="0"/>
        <v>96.757322175732213</v>
      </c>
      <c r="G20" s="40">
        <v>17.37</v>
      </c>
      <c r="H20" s="47">
        <f t="shared" si="1"/>
        <v>90.847280334728026</v>
      </c>
      <c r="I20" s="40">
        <v>16.46</v>
      </c>
      <c r="J20" s="47">
        <f t="shared" si="2"/>
        <v>86.087866108786613</v>
      </c>
      <c r="K20" s="40">
        <v>15.55</v>
      </c>
      <c r="L20" s="47">
        <f t="shared" si="3"/>
        <v>81.328451882845187</v>
      </c>
      <c r="M20" s="40">
        <v>14.86</v>
      </c>
      <c r="N20" s="47">
        <f t="shared" si="4"/>
        <v>77.71966527196652</v>
      </c>
      <c r="O20" s="40">
        <v>14.42</v>
      </c>
      <c r="P20" s="47">
        <f t="shared" si="5"/>
        <v>75.418410041841</v>
      </c>
      <c r="Q20" s="40">
        <v>13.72</v>
      </c>
      <c r="R20" s="47">
        <f t="shared" si="6"/>
        <v>71.757322175732213</v>
      </c>
    </row>
    <row r="21" spans="2:18" s="95" customFormat="1" ht="14.25" customHeight="1" x14ac:dyDescent="0.25">
      <c r="B21" s="354" t="s">
        <v>1348</v>
      </c>
      <c r="C21" s="58" t="s">
        <v>1337</v>
      </c>
      <c r="D21" s="91">
        <v>19.12</v>
      </c>
      <c r="E21" s="40">
        <v>18.3</v>
      </c>
      <c r="F21" s="47">
        <f t="shared" si="0"/>
        <v>95.711297071129707</v>
      </c>
      <c r="G21" s="40">
        <v>17.25</v>
      </c>
      <c r="H21" s="47">
        <f t="shared" si="1"/>
        <v>90.21966527196652</v>
      </c>
      <c r="I21" s="40">
        <v>16.09</v>
      </c>
      <c r="J21" s="47">
        <f t="shared" si="2"/>
        <v>84.15271966527196</v>
      </c>
      <c r="K21" s="40">
        <v>15.25</v>
      </c>
      <c r="L21" s="47">
        <f t="shared" si="3"/>
        <v>79.759414225941413</v>
      </c>
      <c r="M21" s="40">
        <v>14.46</v>
      </c>
      <c r="N21" s="47">
        <f t="shared" si="4"/>
        <v>75.627615062761507</v>
      </c>
      <c r="O21" s="40">
        <v>13.81</v>
      </c>
      <c r="P21" s="47">
        <f t="shared" si="5"/>
        <v>72.228033472803347</v>
      </c>
      <c r="Q21" s="40">
        <v>12.83</v>
      </c>
      <c r="R21" s="47">
        <f t="shared" si="6"/>
        <v>67.10251046025104</v>
      </c>
    </row>
    <row r="22" spans="2:18" s="95" customFormat="1" ht="14.25" customHeight="1" x14ac:dyDescent="0.25">
      <c r="B22" s="354"/>
      <c r="C22" s="58" t="s">
        <v>1338</v>
      </c>
      <c r="D22" s="91">
        <v>19.02</v>
      </c>
      <c r="E22" s="40">
        <v>18.53</v>
      </c>
      <c r="F22" s="47">
        <f t="shared" si="0"/>
        <v>97.423764458464774</v>
      </c>
      <c r="G22" s="40">
        <v>16.41</v>
      </c>
      <c r="H22" s="47">
        <f t="shared" si="1"/>
        <v>86.277602523659311</v>
      </c>
      <c r="I22" s="40">
        <v>15.55</v>
      </c>
      <c r="J22" s="47">
        <f t="shared" si="2"/>
        <v>81.756046267087285</v>
      </c>
      <c r="K22" s="40">
        <v>14.47</v>
      </c>
      <c r="L22" s="47">
        <f t="shared" si="3"/>
        <v>76.077812828601481</v>
      </c>
      <c r="M22" s="40">
        <v>14.22</v>
      </c>
      <c r="N22" s="47">
        <f t="shared" si="4"/>
        <v>74.763406940063092</v>
      </c>
      <c r="O22" s="40">
        <v>14.14</v>
      </c>
      <c r="P22" s="47">
        <f t="shared" si="5"/>
        <v>74.342797055730813</v>
      </c>
      <c r="Q22" s="40">
        <v>13.53</v>
      </c>
      <c r="R22" s="47">
        <f t="shared" si="6"/>
        <v>71.135646687697161</v>
      </c>
    </row>
    <row r="23" spans="2:18" s="95" customFormat="1" ht="14.25" customHeight="1" x14ac:dyDescent="0.25">
      <c r="B23" s="354"/>
      <c r="C23" s="58" t="s">
        <v>1339</v>
      </c>
      <c r="D23" s="91">
        <v>19.28</v>
      </c>
      <c r="E23" s="40">
        <v>18.11</v>
      </c>
      <c r="F23" s="47">
        <f t="shared" si="0"/>
        <v>93.931535269709528</v>
      </c>
      <c r="G23" s="40">
        <v>16.52</v>
      </c>
      <c r="H23" s="47">
        <f t="shared" si="1"/>
        <v>85.684647302904565</v>
      </c>
      <c r="I23" s="40">
        <v>15.48</v>
      </c>
      <c r="J23" s="47">
        <f t="shared" si="2"/>
        <v>80.290456431535262</v>
      </c>
      <c r="K23" s="40">
        <v>14.64</v>
      </c>
      <c r="L23" s="47">
        <f t="shared" si="3"/>
        <v>75.933609958506224</v>
      </c>
      <c r="M23" s="40">
        <v>13.69</v>
      </c>
      <c r="N23" s="47">
        <f t="shared" si="4"/>
        <v>71.006224066390033</v>
      </c>
      <c r="O23" s="40">
        <v>13.77</v>
      </c>
      <c r="P23" s="47">
        <f t="shared" si="5"/>
        <v>71.421161825726131</v>
      </c>
      <c r="Q23" s="40">
        <v>12.97</v>
      </c>
      <c r="R23" s="47">
        <f t="shared" si="6"/>
        <v>67.271784232365135</v>
      </c>
    </row>
    <row r="24" spans="2:18" s="95" customFormat="1" ht="12.5" x14ac:dyDescent="0.25">
      <c r="B24" s="354"/>
      <c r="C24" s="58" t="s">
        <v>1340</v>
      </c>
      <c r="D24" s="91">
        <v>18.739999999999998</v>
      </c>
      <c r="E24" s="40">
        <v>17.93</v>
      </c>
      <c r="F24" s="47">
        <f t="shared" si="0"/>
        <v>95.677694770544292</v>
      </c>
      <c r="G24" s="40">
        <v>16.399999999999999</v>
      </c>
      <c r="H24" s="47">
        <f t="shared" si="1"/>
        <v>87.513340448239063</v>
      </c>
      <c r="I24" s="40">
        <v>15.61</v>
      </c>
      <c r="J24" s="47">
        <f t="shared" si="2"/>
        <v>83.297758804695846</v>
      </c>
      <c r="K24" s="40">
        <v>14.81</v>
      </c>
      <c r="L24" s="47">
        <f t="shared" si="3"/>
        <v>79.028815368196376</v>
      </c>
      <c r="M24" s="40">
        <v>13.98</v>
      </c>
      <c r="N24" s="47">
        <f t="shared" si="4"/>
        <v>74.599786552828178</v>
      </c>
      <c r="O24" s="40">
        <v>13.16</v>
      </c>
      <c r="P24" s="47">
        <f t="shared" si="5"/>
        <v>70.224119530416232</v>
      </c>
      <c r="Q24" s="40">
        <v>12.29</v>
      </c>
      <c r="R24" s="47">
        <f t="shared" si="6"/>
        <v>65.581643543223052</v>
      </c>
    </row>
    <row r="25" spans="2:18" s="95" customFormat="1" ht="12.5" x14ac:dyDescent="0.25">
      <c r="B25" s="354"/>
      <c r="C25" s="58" t="s">
        <v>1341</v>
      </c>
      <c r="D25" s="91">
        <v>19.2</v>
      </c>
      <c r="E25" s="40">
        <v>18.03</v>
      </c>
      <c r="F25" s="47">
        <f t="shared" si="0"/>
        <v>93.906250000000014</v>
      </c>
      <c r="G25" s="40">
        <v>16.52</v>
      </c>
      <c r="H25" s="47">
        <f t="shared" si="1"/>
        <v>86.041666666666671</v>
      </c>
      <c r="I25" s="40">
        <v>15.12</v>
      </c>
      <c r="J25" s="47">
        <f t="shared" si="2"/>
        <v>78.75</v>
      </c>
      <c r="K25" s="40">
        <v>14.57</v>
      </c>
      <c r="L25" s="47">
        <f t="shared" si="3"/>
        <v>75.885416666666671</v>
      </c>
      <c r="M25" s="40">
        <v>14.89</v>
      </c>
      <c r="N25" s="47">
        <f t="shared" si="4"/>
        <v>77.552083333333343</v>
      </c>
      <c r="O25" s="40">
        <v>14.61</v>
      </c>
      <c r="P25" s="47">
        <f t="shared" si="5"/>
        <v>76.09375</v>
      </c>
      <c r="Q25" s="40">
        <v>14.78</v>
      </c>
      <c r="R25" s="47">
        <f t="shared" si="6"/>
        <v>76.979166666666671</v>
      </c>
    </row>
    <row r="26" spans="2:18" s="95" customFormat="1" ht="13" x14ac:dyDescent="0.25">
      <c r="B26" s="354" t="s">
        <v>1352</v>
      </c>
      <c r="C26" s="58" t="s">
        <v>1342</v>
      </c>
      <c r="D26" s="91">
        <v>19</v>
      </c>
      <c r="E26" s="71">
        <v>18.45</v>
      </c>
      <c r="F26" s="47">
        <f t="shared" si="0"/>
        <v>97.105263157894726</v>
      </c>
      <c r="G26" s="71">
        <v>16.59</v>
      </c>
      <c r="H26" s="47">
        <f t="shared" si="1"/>
        <v>87.31578947368422</v>
      </c>
      <c r="I26" s="71">
        <v>15.84</v>
      </c>
      <c r="J26" s="47">
        <f t="shared" si="2"/>
        <v>83.368421052631575</v>
      </c>
      <c r="K26" s="71">
        <v>15.3</v>
      </c>
      <c r="L26" s="47">
        <f t="shared" si="3"/>
        <v>80.526315789473685</v>
      </c>
      <c r="M26" s="71">
        <v>14.65</v>
      </c>
      <c r="N26" s="47">
        <f t="shared" si="4"/>
        <v>77.10526315789474</v>
      </c>
      <c r="O26" s="43" t="s">
        <v>1343</v>
      </c>
      <c r="P26" s="47"/>
      <c r="Q26" s="71"/>
      <c r="R26" s="47"/>
    </row>
    <row r="27" spans="2:18" s="95" customFormat="1" ht="13" x14ac:dyDescent="0.25">
      <c r="B27" s="354"/>
      <c r="C27" s="58" t="s">
        <v>1344</v>
      </c>
      <c r="D27" s="91">
        <v>18.649999999999999</v>
      </c>
      <c r="E27" s="40">
        <v>18.239999999999998</v>
      </c>
      <c r="F27" s="47">
        <f t="shared" si="0"/>
        <v>97.801608579088466</v>
      </c>
      <c r="G27" s="40">
        <v>16.600000000000001</v>
      </c>
      <c r="H27" s="47">
        <f t="shared" si="1"/>
        <v>89.008042895442372</v>
      </c>
      <c r="I27" s="40">
        <v>15.77</v>
      </c>
      <c r="J27" s="47">
        <f t="shared" si="2"/>
        <v>84.557640750670245</v>
      </c>
      <c r="K27" s="40">
        <v>15.47</v>
      </c>
      <c r="L27" s="47">
        <f t="shared" si="3"/>
        <v>82.949061662198403</v>
      </c>
      <c r="M27" s="43" t="s">
        <v>363</v>
      </c>
      <c r="N27" s="47"/>
      <c r="O27" s="40"/>
      <c r="P27" s="47"/>
      <c r="Q27" s="40"/>
      <c r="R27" s="47"/>
    </row>
    <row r="28" spans="2:18" s="95" customFormat="1" ht="13" x14ac:dyDescent="0.25">
      <c r="B28" s="354"/>
      <c r="C28" s="58" t="s">
        <v>1345</v>
      </c>
      <c r="D28" s="91">
        <v>19.96</v>
      </c>
      <c r="E28" s="40">
        <v>19.329999999999998</v>
      </c>
      <c r="F28" s="47">
        <f t="shared" si="0"/>
        <v>96.843687374749493</v>
      </c>
      <c r="G28" s="40">
        <v>18.07</v>
      </c>
      <c r="H28" s="47">
        <f t="shared" si="1"/>
        <v>90.531062124248493</v>
      </c>
      <c r="I28" s="40">
        <v>17.329999999999998</v>
      </c>
      <c r="J28" s="47">
        <f t="shared" si="2"/>
        <v>86.823647294589165</v>
      </c>
      <c r="K28" s="40">
        <v>16.88</v>
      </c>
      <c r="L28" s="47">
        <f t="shared" si="3"/>
        <v>84.569138276553105</v>
      </c>
      <c r="M28" s="40">
        <v>16.059999999999999</v>
      </c>
      <c r="N28" s="47">
        <f t="shared" si="4"/>
        <v>80.460921843687359</v>
      </c>
      <c r="O28" s="43" t="s">
        <v>188</v>
      </c>
      <c r="P28" s="47"/>
      <c r="Q28" s="40"/>
      <c r="R28" s="47"/>
    </row>
    <row r="29" spans="2:18" s="95" customFormat="1" ht="13" x14ac:dyDescent="0.25">
      <c r="B29" s="354"/>
      <c r="C29" s="58" t="s">
        <v>1346</v>
      </c>
      <c r="D29" s="91">
        <v>17.920000000000002</v>
      </c>
      <c r="E29" s="40">
        <v>17.29</v>
      </c>
      <c r="F29" s="47">
        <f t="shared" si="0"/>
        <v>96.484374999999986</v>
      </c>
      <c r="G29" s="40">
        <v>15.81</v>
      </c>
      <c r="H29" s="47">
        <f t="shared" si="1"/>
        <v>88.225446428571416</v>
      </c>
      <c r="I29" s="40">
        <v>15.19</v>
      </c>
      <c r="J29" s="47">
        <f t="shared" si="2"/>
        <v>84.765624999999986</v>
      </c>
      <c r="K29" s="40">
        <v>14.74</v>
      </c>
      <c r="L29" s="47">
        <f t="shared" si="3"/>
        <v>82.254464285714278</v>
      </c>
      <c r="M29" s="40">
        <v>14.13</v>
      </c>
      <c r="N29" s="47">
        <f t="shared" si="4"/>
        <v>78.850446428571431</v>
      </c>
      <c r="O29" s="43" t="s">
        <v>188</v>
      </c>
      <c r="P29" s="47"/>
      <c r="Q29" s="40"/>
      <c r="R29" s="47"/>
    </row>
    <row r="30" spans="2:18" s="95" customFormat="1" ht="13" x14ac:dyDescent="0.25">
      <c r="B30" s="354"/>
      <c r="C30" s="58" t="s">
        <v>1347</v>
      </c>
      <c r="D30" s="91">
        <v>17.13</v>
      </c>
      <c r="E30" s="40">
        <v>16.73</v>
      </c>
      <c r="F30" s="47">
        <f t="shared" si="0"/>
        <v>97.664915353181556</v>
      </c>
      <c r="G30" s="40">
        <v>15.46</v>
      </c>
      <c r="H30" s="47">
        <f t="shared" si="1"/>
        <v>90.25102159953299</v>
      </c>
      <c r="I30" s="40">
        <v>14.88</v>
      </c>
      <c r="J30" s="47">
        <f t="shared" si="2"/>
        <v>86.865148861646247</v>
      </c>
      <c r="K30" s="40">
        <v>14.7</v>
      </c>
      <c r="L30" s="47">
        <f t="shared" si="3"/>
        <v>85.814360770577935</v>
      </c>
      <c r="M30" s="43" t="s">
        <v>363</v>
      </c>
      <c r="N30" s="47"/>
      <c r="O30" s="40"/>
      <c r="P30" s="47"/>
      <c r="Q30" s="40"/>
      <c r="R30" s="47"/>
    </row>
    <row r="31" spans="2:18" s="95" customFormat="1" ht="13" x14ac:dyDescent="0.3">
      <c r="B31" s="5"/>
      <c r="C31" s="264"/>
      <c r="D31" s="265" t="s">
        <v>13</v>
      </c>
      <c r="E31" s="264"/>
      <c r="F31" s="264"/>
    </row>
    <row r="32" spans="2:18" s="95" customFormat="1" ht="13" x14ac:dyDescent="0.3">
      <c r="B32" s="5"/>
      <c r="C32" s="264"/>
      <c r="D32" s="266" t="s">
        <v>107</v>
      </c>
      <c r="E32" s="264"/>
      <c r="F32" s="264"/>
    </row>
    <row r="33" spans="2:6" s="95" customFormat="1" ht="12.5" x14ac:dyDescent="0.25">
      <c r="B33" s="5"/>
      <c r="C33" s="96"/>
      <c r="D33" s="98"/>
      <c r="E33" s="98"/>
      <c r="F33" s="98"/>
    </row>
    <row r="34" spans="2:6" s="95" customFormat="1" ht="12.5" x14ac:dyDescent="0.25">
      <c r="B34" s="5"/>
      <c r="C34" s="96"/>
      <c r="D34" s="98"/>
      <c r="E34" s="98"/>
      <c r="F34" s="98"/>
    </row>
    <row r="35" spans="2:6" s="95" customFormat="1" ht="12.5" x14ac:dyDescent="0.25">
      <c r="B35" s="5"/>
      <c r="C35" s="96"/>
      <c r="D35" s="98"/>
      <c r="E35" s="98"/>
      <c r="F35" s="98"/>
    </row>
  </sheetData>
  <mergeCells count="12">
    <mergeCell ref="B11:B15"/>
    <mergeCell ref="B16:B20"/>
    <mergeCell ref="B21:B25"/>
    <mergeCell ref="B26:B30"/>
    <mergeCell ref="Q4:R4"/>
    <mergeCell ref="B6:B10"/>
    <mergeCell ref="E4:F4"/>
    <mergeCell ref="G4:H4"/>
    <mergeCell ref="I4:J4"/>
    <mergeCell ref="K4:L4"/>
    <mergeCell ref="M4:N4"/>
    <mergeCell ref="O4:P4"/>
  </mergeCells>
  <phoneticPr fontId="3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4EF65-A8E3-4A2E-8872-01CA11DF2374}">
  <dimension ref="B2:AC71"/>
  <sheetViews>
    <sheetView zoomScale="90" zoomScaleNormal="90" workbookViewId="0">
      <selection activeCell="L40" sqref="L40"/>
    </sheetView>
  </sheetViews>
  <sheetFormatPr defaultColWidth="9" defaultRowHeight="14" x14ac:dyDescent="0.3"/>
  <cols>
    <col min="1" max="1" width="8.08203125" style="25" customWidth="1"/>
    <col min="2" max="2" width="17.83203125" style="37" customWidth="1"/>
    <col min="3" max="3" width="6.33203125" style="35" customWidth="1"/>
    <col min="4" max="5" width="6.5" style="36" customWidth="1"/>
    <col min="6" max="6" width="7.58203125" style="36" bestFit="1" customWidth="1"/>
    <col min="7" max="7" width="6.58203125" style="25" bestFit="1" customWidth="1"/>
    <col min="8" max="8" width="6.75" style="25" customWidth="1"/>
    <col min="9" max="9" width="6.58203125" style="25" bestFit="1" customWidth="1"/>
    <col min="10" max="10" width="6.75" style="25" customWidth="1"/>
    <col min="11" max="11" width="6.58203125" style="25" bestFit="1" customWidth="1"/>
    <col min="12" max="12" width="6.75" style="25" customWidth="1"/>
    <col min="13" max="13" width="6.58203125" style="25" bestFit="1" customWidth="1"/>
    <col min="14" max="14" width="6.75" style="25" customWidth="1"/>
    <col min="15" max="15" width="6.58203125" style="25" bestFit="1" customWidth="1"/>
    <col min="16" max="16" width="6.75" style="25" customWidth="1"/>
    <col min="17" max="17" width="6.58203125" style="25" bestFit="1" customWidth="1"/>
    <col min="18" max="18" width="6.75" style="25" customWidth="1"/>
    <col min="19" max="19" width="6.58203125" style="25" bestFit="1" customWidth="1"/>
    <col min="20" max="20" width="7.58203125" style="25" bestFit="1" customWidth="1"/>
    <col min="21" max="21" width="6.58203125" style="25" bestFit="1" customWidth="1"/>
    <col min="22" max="22" width="7.58203125" style="25" bestFit="1" customWidth="1"/>
    <col min="23" max="23" width="5.08203125" style="25" customWidth="1"/>
    <col min="24" max="24" width="38.75" style="25" bestFit="1" customWidth="1"/>
    <col min="25" max="27" width="9.08203125" style="25" bestFit="1" customWidth="1"/>
    <col min="28" max="28" width="9" style="25"/>
    <col min="29" max="29" width="14.08203125" style="25" bestFit="1" customWidth="1"/>
    <col min="30" max="16384" width="9" style="25"/>
  </cols>
  <sheetData>
    <row r="2" spans="2:29" s="95" customFormat="1" ht="13" x14ac:dyDescent="0.25">
      <c r="C2" s="100" t="s">
        <v>1304</v>
      </c>
      <c r="D2" s="101"/>
      <c r="E2" s="101"/>
    </row>
    <row r="3" spans="2:29" s="95" customFormat="1" ht="12.75" customHeight="1" x14ac:dyDescent="0.3">
      <c r="C3" s="100"/>
      <c r="D3" s="101"/>
      <c r="E3" s="101"/>
      <c r="X3" s="103" t="s">
        <v>71</v>
      </c>
    </row>
    <row r="4" spans="2:29" s="95" customFormat="1" ht="12.75" customHeight="1" x14ac:dyDescent="0.25">
      <c r="B4" s="4"/>
      <c r="C4" s="263" t="s">
        <v>72</v>
      </c>
      <c r="D4" s="263" t="s">
        <v>172</v>
      </c>
      <c r="E4" s="358" t="s">
        <v>1321</v>
      </c>
      <c r="F4" s="359"/>
      <c r="G4" s="358" t="s">
        <v>1322</v>
      </c>
      <c r="H4" s="359"/>
      <c r="I4" s="358" t="s">
        <v>1323</v>
      </c>
      <c r="J4" s="359"/>
      <c r="K4" s="358" t="s">
        <v>1324</v>
      </c>
      <c r="L4" s="359"/>
      <c r="M4" s="358" t="s">
        <v>1325</v>
      </c>
      <c r="N4" s="359"/>
      <c r="O4" s="358" t="s">
        <v>1326</v>
      </c>
      <c r="P4" s="359"/>
      <c r="Q4" s="358" t="s">
        <v>1327</v>
      </c>
      <c r="R4" s="359"/>
      <c r="S4" s="358" t="s">
        <v>1328</v>
      </c>
      <c r="T4" s="359"/>
      <c r="U4" s="358" t="s">
        <v>1329</v>
      </c>
      <c r="V4" s="359"/>
    </row>
    <row r="5" spans="2:29" s="95" customFormat="1" ht="12.75" customHeight="1" x14ac:dyDescent="0.3">
      <c r="B5" s="4"/>
      <c r="C5" s="263"/>
      <c r="D5" s="263"/>
      <c r="E5" s="263"/>
      <c r="F5" s="27"/>
      <c r="G5" s="263"/>
      <c r="H5" s="27"/>
      <c r="I5" s="263"/>
      <c r="J5" s="27"/>
      <c r="K5" s="263"/>
      <c r="L5" s="27"/>
      <c r="M5" s="263"/>
      <c r="N5" s="27"/>
      <c r="O5" s="263"/>
      <c r="P5" s="27"/>
      <c r="Q5" s="263"/>
      <c r="R5" s="27"/>
      <c r="S5" s="263"/>
      <c r="T5" s="27"/>
      <c r="U5" s="263"/>
      <c r="V5" s="27"/>
      <c r="X5" s="2" t="s">
        <v>41</v>
      </c>
      <c r="Y5" s="8" t="s">
        <v>1361</v>
      </c>
      <c r="Z5" s="3"/>
      <c r="AA5" s="3"/>
      <c r="AB5" s="3"/>
      <c r="AC5" s="3"/>
    </row>
    <row r="6" spans="2:29" s="95" customFormat="1" ht="12.75" customHeight="1" x14ac:dyDescent="0.25">
      <c r="B6" s="354" t="s">
        <v>1349</v>
      </c>
      <c r="C6" s="58" t="s">
        <v>1353</v>
      </c>
      <c r="D6" s="91">
        <v>20</v>
      </c>
      <c r="E6" s="40">
        <v>19.95</v>
      </c>
      <c r="F6" s="47">
        <f>E6/D6*100</f>
        <v>99.75</v>
      </c>
      <c r="G6" s="40">
        <v>19.63</v>
      </c>
      <c r="H6" s="47">
        <f>G6/D6*100</f>
        <v>98.149999999999991</v>
      </c>
      <c r="I6" s="40">
        <v>19.399999999999999</v>
      </c>
      <c r="J6" s="47">
        <f>I6/D6*100</f>
        <v>97</v>
      </c>
      <c r="K6" s="40">
        <v>19.77</v>
      </c>
      <c r="L6" s="47">
        <f>K6/D6*100</f>
        <v>98.85</v>
      </c>
      <c r="M6" s="40">
        <v>20.22</v>
      </c>
      <c r="N6" s="47">
        <f>M6/D6*100</f>
        <v>101.1</v>
      </c>
      <c r="O6" s="40">
        <v>19.989999999999998</v>
      </c>
      <c r="P6" s="47">
        <f>O6/D6*100</f>
        <v>99.949999999999989</v>
      </c>
      <c r="Q6" s="40">
        <v>20.059999999999999</v>
      </c>
      <c r="R6" s="47">
        <f>Q6/D6*100</f>
        <v>100.29999999999998</v>
      </c>
      <c r="S6" s="40">
        <v>20.41</v>
      </c>
      <c r="T6" s="47">
        <f>S6/D6*100</f>
        <v>102.05</v>
      </c>
      <c r="U6" s="40">
        <v>20.53</v>
      </c>
      <c r="V6" s="47">
        <f>U6/D6*100</f>
        <v>102.64999999999999</v>
      </c>
      <c r="X6" s="2"/>
      <c r="Y6" s="3"/>
      <c r="Z6" s="3"/>
      <c r="AA6" s="3"/>
      <c r="AB6" s="3"/>
      <c r="AC6" s="3"/>
    </row>
    <row r="7" spans="2:29" s="95" customFormat="1" ht="12.75" customHeight="1" x14ac:dyDescent="0.25">
      <c r="B7" s="354"/>
      <c r="C7" s="58" t="s">
        <v>1360</v>
      </c>
      <c r="D7" s="91">
        <v>20.28</v>
      </c>
      <c r="E7" s="40">
        <v>20</v>
      </c>
      <c r="F7" s="47">
        <f t="shared" ref="F7:F30" si="0">E7/D7*100</f>
        <v>98.619329388560146</v>
      </c>
      <c r="G7" s="40">
        <v>19.63</v>
      </c>
      <c r="H7" s="47">
        <f t="shared" ref="H7:H30" si="1">G7/D7*100</f>
        <v>96.794871794871781</v>
      </c>
      <c r="I7" s="40">
        <v>19.97</v>
      </c>
      <c r="J7" s="47">
        <f t="shared" ref="J7:J30" si="2">I7/D7*100</f>
        <v>98.4714003944773</v>
      </c>
      <c r="K7" s="40">
        <v>20.48</v>
      </c>
      <c r="L7" s="47">
        <f t="shared" ref="L7:L30" si="3">K7/D7*100</f>
        <v>100.98619329388561</v>
      </c>
      <c r="M7" s="40">
        <v>20.399999999999999</v>
      </c>
      <c r="N7" s="47">
        <f t="shared" ref="N7:N30" si="4">M7/D7*100</f>
        <v>100.59171597633134</v>
      </c>
      <c r="O7" s="40">
        <v>20.04</v>
      </c>
      <c r="P7" s="47">
        <f t="shared" ref="P7:P30" si="5">O7/D7*100</f>
        <v>98.81656804733727</v>
      </c>
      <c r="Q7" s="40">
        <v>20.79</v>
      </c>
      <c r="R7" s="47">
        <f t="shared" ref="R7:R30" si="6">Q7/D7*100</f>
        <v>102.51479289940828</v>
      </c>
      <c r="S7" s="40">
        <v>20.41</v>
      </c>
      <c r="T7" s="47">
        <f t="shared" ref="T7:T30" si="7">S7/D7*100</f>
        <v>100.64102564102564</v>
      </c>
      <c r="U7" s="40">
        <v>21.21</v>
      </c>
      <c r="V7" s="47">
        <f t="shared" ref="V7:V30" si="8">U7/D7*100</f>
        <v>104.58579881656804</v>
      </c>
      <c r="X7" s="2" t="s">
        <v>402</v>
      </c>
      <c r="Y7" s="3"/>
      <c r="Z7" s="3"/>
      <c r="AA7" s="3"/>
      <c r="AB7" s="3"/>
      <c r="AC7" s="3"/>
    </row>
    <row r="8" spans="2:29" s="95" customFormat="1" ht="12.75" customHeight="1" x14ac:dyDescent="0.3">
      <c r="B8" s="354"/>
      <c r="C8" s="58" t="s">
        <v>1354</v>
      </c>
      <c r="D8" s="91">
        <v>19.7</v>
      </c>
      <c r="E8" s="40">
        <v>19.95</v>
      </c>
      <c r="F8" s="47">
        <f t="shared" si="0"/>
        <v>101.26903553299493</v>
      </c>
      <c r="G8" s="40">
        <v>19.64</v>
      </c>
      <c r="H8" s="47">
        <f t="shared" si="1"/>
        <v>99.695431472081225</v>
      </c>
      <c r="I8" s="40">
        <v>19.43</v>
      </c>
      <c r="J8" s="47">
        <f t="shared" si="2"/>
        <v>98.629441624365484</v>
      </c>
      <c r="K8" s="40">
        <v>19.88</v>
      </c>
      <c r="L8" s="47">
        <f t="shared" si="3"/>
        <v>100.91370558375634</v>
      </c>
      <c r="M8" s="40">
        <v>20.71</v>
      </c>
      <c r="N8" s="47">
        <f t="shared" si="4"/>
        <v>105.1269035532995</v>
      </c>
      <c r="O8" s="40">
        <v>20.100000000000001</v>
      </c>
      <c r="P8" s="47">
        <f t="shared" si="5"/>
        <v>102.03045685279189</v>
      </c>
      <c r="Q8" s="40">
        <v>20.86</v>
      </c>
      <c r="R8" s="47">
        <f t="shared" si="6"/>
        <v>105.88832487309645</v>
      </c>
      <c r="S8" s="40">
        <v>20.41</v>
      </c>
      <c r="T8" s="47">
        <f t="shared" si="7"/>
        <v>103.6040609137056</v>
      </c>
      <c r="U8" s="40">
        <v>20.49</v>
      </c>
      <c r="V8" s="47">
        <f t="shared" si="8"/>
        <v>104.01015228426395</v>
      </c>
      <c r="X8" s="7" t="s">
        <v>47</v>
      </c>
      <c r="Y8" s="8">
        <v>2.0000000000000001E-4</v>
      </c>
      <c r="Z8" s="3"/>
      <c r="AA8" s="3"/>
      <c r="AB8" s="3"/>
      <c r="AC8" s="3"/>
    </row>
    <row r="9" spans="2:29" s="95" customFormat="1" ht="12.75" customHeight="1" x14ac:dyDescent="0.3">
      <c r="B9" s="354"/>
      <c r="C9" s="58" t="s">
        <v>1355</v>
      </c>
      <c r="D9" s="91">
        <v>21.22</v>
      </c>
      <c r="E9" s="40">
        <v>21.64</v>
      </c>
      <c r="F9" s="47">
        <f t="shared" si="0"/>
        <v>101.97926484448634</v>
      </c>
      <c r="G9" s="40">
        <v>21.17</v>
      </c>
      <c r="H9" s="47">
        <f t="shared" si="1"/>
        <v>99.764373232799258</v>
      </c>
      <c r="I9" s="40">
        <v>20.95</v>
      </c>
      <c r="J9" s="47">
        <f t="shared" si="2"/>
        <v>98.727615457115931</v>
      </c>
      <c r="K9" s="40">
        <v>21.58</v>
      </c>
      <c r="L9" s="47">
        <f t="shared" si="3"/>
        <v>101.69651272384543</v>
      </c>
      <c r="M9" s="40">
        <v>21.97</v>
      </c>
      <c r="N9" s="47">
        <f t="shared" si="4"/>
        <v>103.53440150801131</v>
      </c>
      <c r="O9" s="40">
        <v>21.24</v>
      </c>
      <c r="P9" s="47">
        <f t="shared" si="5"/>
        <v>100.09425070688029</v>
      </c>
      <c r="Q9" s="40">
        <v>21.99</v>
      </c>
      <c r="R9" s="47">
        <f t="shared" si="6"/>
        <v>103.62865221489162</v>
      </c>
      <c r="S9" s="40">
        <v>22.69</v>
      </c>
      <c r="T9" s="47">
        <f t="shared" si="7"/>
        <v>106.92742695570219</v>
      </c>
      <c r="U9" s="40">
        <v>22.9</v>
      </c>
      <c r="V9" s="47">
        <f t="shared" si="8"/>
        <v>107.91705937794534</v>
      </c>
      <c r="X9" s="7" t="s">
        <v>49</v>
      </c>
      <c r="Y9" s="8" t="s">
        <v>50</v>
      </c>
      <c r="Z9" s="3"/>
      <c r="AA9" s="3"/>
      <c r="AB9" s="3"/>
      <c r="AC9" s="3"/>
    </row>
    <row r="10" spans="2:29" s="95" customFormat="1" ht="12.75" customHeight="1" x14ac:dyDescent="0.25">
      <c r="B10" s="354"/>
      <c r="C10" s="58" t="s">
        <v>1356</v>
      </c>
      <c r="D10" s="91">
        <v>20.07</v>
      </c>
      <c r="E10" s="40">
        <v>19.45</v>
      </c>
      <c r="F10" s="47">
        <f t="shared" si="0"/>
        <v>96.910812157448916</v>
      </c>
      <c r="G10" s="40">
        <v>19.079999999999998</v>
      </c>
      <c r="H10" s="47">
        <f t="shared" si="1"/>
        <v>95.067264573991011</v>
      </c>
      <c r="I10" s="40">
        <v>18.96</v>
      </c>
      <c r="J10" s="47">
        <f t="shared" si="2"/>
        <v>94.469357249626313</v>
      </c>
      <c r="K10" s="40">
        <v>18.86</v>
      </c>
      <c r="L10" s="47">
        <f t="shared" si="3"/>
        <v>93.971101145989039</v>
      </c>
      <c r="M10" s="40">
        <v>18.91</v>
      </c>
      <c r="N10" s="47">
        <f t="shared" si="4"/>
        <v>94.220229197807669</v>
      </c>
      <c r="O10" s="40">
        <v>18.649999999999999</v>
      </c>
      <c r="P10" s="47">
        <f t="shared" si="5"/>
        <v>92.924763328350764</v>
      </c>
      <c r="Q10" s="40">
        <v>19.3</v>
      </c>
      <c r="R10" s="47">
        <f t="shared" si="6"/>
        <v>96.163428001993026</v>
      </c>
      <c r="S10" s="40">
        <v>19.64</v>
      </c>
      <c r="T10" s="47">
        <f t="shared" si="7"/>
        <v>97.857498754359739</v>
      </c>
      <c r="U10" s="40">
        <v>19.739999999999998</v>
      </c>
      <c r="V10" s="47">
        <f t="shared" si="8"/>
        <v>98.355754857996999</v>
      </c>
      <c r="X10" s="2" t="s">
        <v>51</v>
      </c>
      <c r="Y10" s="3" t="s">
        <v>52</v>
      </c>
      <c r="Z10" s="3"/>
      <c r="AA10" s="3"/>
      <c r="AB10" s="3"/>
      <c r="AC10" s="3"/>
    </row>
    <row r="11" spans="2:29" s="95" customFormat="1" ht="12.75" customHeight="1" x14ac:dyDescent="0.25">
      <c r="B11" s="354" t="s">
        <v>1350</v>
      </c>
      <c r="C11" s="58" t="s">
        <v>1357</v>
      </c>
      <c r="D11" s="91">
        <v>22.11</v>
      </c>
      <c r="E11" s="40">
        <v>21.52</v>
      </c>
      <c r="F11" s="47">
        <f t="shared" si="0"/>
        <v>97.331524197195847</v>
      </c>
      <c r="G11" s="40">
        <v>19.7</v>
      </c>
      <c r="H11" s="47">
        <f t="shared" si="1"/>
        <v>89.099954771596558</v>
      </c>
      <c r="I11" s="40">
        <v>20.29</v>
      </c>
      <c r="J11" s="47">
        <f t="shared" si="2"/>
        <v>91.76843057440071</v>
      </c>
      <c r="K11" s="40">
        <v>21.4</v>
      </c>
      <c r="L11" s="47">
        <f t="shared" si="3"/>
        <v>96.78878335594753</v>
      </c>
      <c r="M11" s="40">
        <v>21.14</v>
      </c>
      <c r="N11" s="47">
        <f t="shared" si="4"/>
        <v>95.612844866576225</v>
      </c>
      <c r="O11" s="40">
        <v>21.52</v>
      </c>
      <c r="P11" s="47">
        <f t="shared" si="5"/>
        <v>97.331524197195847</v>
      </c>
      <c r="Q11" s="40">
        <v>21.93</v>
      </c>
      <c r="R11" s="47">
        <f t="shared" si="6"/>
        <v>99.185888738127545</v>
      </c>
      <c r="S11" s="40">
        <v>22.69</v>
      </c>
      <c r="T11" s="47">
        <f t="shared" si="7"/>
        <v>102.62324739936682</v>
      </c>
      <c r="U11" s="40">
        <v>22.56</v>
      </c>
      <c r="V11" s="47">
        <f t="shared" si="8"/>
        <v>102.03527815468114</v>
      </c>
      <c r="X11" s="2" t="s">
        <v>403</v>
      </c>
      <c r="Y11" s="3">
        <v>5</v>
      </c>
      <c r="Z11" s="3"/>
      <c r="AA11" s="3"/>
      <c r="AB11" s="3"/>
      <c r="AC11" s="3"/>
    </row>
    <row r="12" spans="2:29" s="95" customFormat="1" ht="12.75" customHeight="1" x14ac:dyDescent="0.25">
      <c r="B12" s="354"/>
      <c r="C12" s="58" t="s">
        <v>1358</v>
      </c>
      <c r="D12" s="91">
        <v>19.82</v>
      </c>
      <c r="E12" s="40">
        <v>17.89</v>
      </c>
      <c r="F12" s="47">
        <f t="shared" si="0"/>
        <v>90.262361251261353</v>
      </c>
      <c r="G12" s="40">
        <v>16.350000000000001</v>
      </c>
      <c r="H12" s="47">
        <f t="shared" si="1"/>
        <v>82.492431886982857</v>
      </c>
      <c r="I12" s="40">
        <v>17.18</v>
      </c>
      <c r="J12" s="47">
        <f t="shared" si="2"/>
        <v>86.680121089808267</v>
      </c>
      <c r="K12" s="40">
        <v>17.59</v>
      </c>
      <c r="L12" s="47">
        <f t="shared" si="3"/>
        <v>88.748738647830478</v>
      </c>
      <c r="M12" s="40">
        <v>18.05</v>
      </c>
      <c r="N12" s="47">
        <f t="shared" si="4"/>
        <v>91.069626639757828</v>
      </c>
      <c r="O12" s="40">
        <v>18.22</v>
      </c>
      <c r="P12" s="47">
        <f t="shared" si="5"/>
        <v>91.92734611503532</v>
      </c>
      <c r="Q12" s="40">
        <v>19.010000000000002</v>
      </c>
      <c r="R12" s="47">
        <f t="shared" si="6"/>
        <v>95.913218970736636</v>
      </c>
      <c r="S12" s="40">
        <v>19.28</v>
      </c>
      <c r="T12" s="47">
        <f t="shared" si="7"/>
        <v>97.27547931382442</v>
      </c>
      <c r="U12" s="40">
        <v>19.71</v>
      </c>
      <c r="V12" s="47">
        <f t="shared" si="8"/>
        <v>99.445005045408692</v>
      </c>
      <c r="X12" s="2" t="s">
        <v>404</v>
      </c>
      <c r="Y12" s="3">
        <v>9.1110000000000007</v>
      </c>
      <c r="Z12" s="3"/>
      <c r="AA12" s="3"/>
      <c r="AB12" s="3"/>
      <c r="AC12" s="3"/>
    </row>
    <row r="13" spans="2:29" s="95" customFormat="1" ht="12.75" customHeight="1" x14ac:dyDescent="0.25">
      <c r="B13" s="354"/>
      <c r="C13" s="58" t="s">
        <v>465</v>
      </c>
      <c r="D13" s="91">
        <v>21.35</v>
      </c>
      <c r="E13" s="40">
        <v>20.98</v>
      </c>
      <c r="F13" s="47">
        <f t="shared" si="0"/>
        <v>98.266978922716618</v>
      </c>
      <c r="G13" s="40">
        <v>19.18</v>
      </c>
      <c r="H13" s="47">
        <f t="shared" si="1"/>
        <v>89.836065573770483</v>
      </c>
      <c r="I13" s="40">
        <v>19.64</v>
      </c>
      <c r="J13" s="47">
        <f t="shared" si="2"/>
        <v>91.99063231850117</v>
      </c>
      <c r="K13" s="40">
        <v>19.82</v>
      </c>
      <c r="L13" s="47">
        <f t="shared" si="3"/>
        <v>92.833723653395779</v>
      </c>
      <c r="M13" s="40">
        <v>19.84</v>
      </c>
      <c r="N13" s="47">
        <f t="shared" si="4"/>
        <v>92.927400468384064</v>
      </c>
      <c r="O13" s="40">
        <v>20.62</v>
      </c>
      <c r="P13" s="47">
        <f t="shared" si="5"/>
        <v>96.580796252927399</v>
      </c>
      <c r="Q13" s="40">
        <v>21.12</v>
      </c>
      <c r="R13" s="47">
        <f t="shared" si="6"/>
        <v>98.922716627634657</v>
      </c>
      <c r="S13" s="40">
        <v>20.95</v>
      </c>
      <c r="T13" s="47">
        <f t="shared" si="7"/>
        <v>98.126463700234183</v>
      </c>
      <c r="U13" s="40">
        <v>21.8</v>
      </c>
      <c r="V13" s="47">
        <f t="shared" si="8"/>
        <v>102.10772833723654</v>
      </c>
      <c r="X13" s="2" t="s">
        <v>66</v>
      </c>
      <c r="Y13" s="3">
        <v>0.64570000000000005</v>
      </c>
      <c r="Z13" s="3"/>
      <c r="AA13" s="3"/>
      <c r="AB13" s="3"/>
      <c r="AC13" s="3"/>
    </row>
    <row r="14" spans="2:29" s="95" customFormat="1" ht="12.75" customHeight="1" x14ac:dyDescent="0.25">
      <c r="B14" s="354"/>
      <c r="C14" s="58" t="s">
        <v>466</v>
      </c>
      <c r="D14" s="91">
        <v>20.07</v>
      </c>
      <c r="E14" s="40">
        <v>19.2</v>
      </c>
      <c r="F14" s="47">
        <f t="shared" si="0"/>
        <v>95.665171898355752</v>
      </c>
      <c r="G14" s="40">
        <v>18.09</v>
      </c>
      <c r="H14" s="47">
        <f t="shared" si="1"/>
        <v>90.13452914798205</v>
      </c>
      <c r="I14" s="40">
        <v>18.2</v>
      </c>
      <c r="J14" s="47">
        <f t="shared" si="2"/>
        <v>90.682610861983065</v>
      </c>
      <c r="K14" s="40">
        <v>19.059999999999999</v>
      </c>
      <c r="L14" s="47">
        <f t="shared" si="3"/>
        <v>94.967613353263573</v>
      </c>
      <c r="M14" s="40">
        <v>18.89</v>
      </c>
      <c r="N14" s="47">
        <f t="shared" si="4"/>
        <v>94.120577977080217</v>
      </c>
      <c r="O14" s="40">
        <v>19.190000000000001</v>
      </c>
      <c r="P14" s="47">
        <f t="shared" si="5"/>
        <v>95.615346287992026</v>
      </c>
      <c r="Q14" s="40">
        <v>19.760000000000002</v>
      </c>
      <c r="R14" s="47">
        <f t="shared" si="6"/>
        <v>98.455406078724479</v>
      </c>
      <c r="S14" s="40">
        <v>20.05</v>
      </c>
      <c r="T14" s="47">
        <f t="shared" si="7"/>
        <v>99.900348779272548</v>
      </c>
      <c r="U14" s="40">
        <v>20.72</v>
      </c>
      <c r="V14" s="47">
        <f t="shared" si="8"/>
        <v>103.23866467364225</v>
      </c>
      <c r="X14" s="2"/>
      <c r="Y14" s="3"/>
      <c r="Z14" s="3"/>
      <c r="AA14" s="3"/>
      <c r="AB14" s="3"/>
      <c r="AC14" s="3"/>
    </row>
    <row r="15" spans="2:29" s="95" customFormat="1" ht="12.75" customHeight="1" x14ac:dyDescent="0.25">
      <c r="B15" s="354"/>
      <c r="C15" s="58" t="s">
        <v>467</v>
      </c>
      <c r="D15" s="91">
        <v>19.649999999999999</v>
      </c>
      <c r="E15" s="40">
        <v>19.489999999999998</v>
      </c>
      <c r="F15" s="47">
        <f t="shared" si="0"/>
        <v>99.185750636132326</v>
      </c>
      <c r="G15" s="40">
        <v>17.760000000000002</v>
      </c>
      <c r="H15" s="47">
        <f t="shared" si="1"/>
        <v>90.381679389312993</v>
      </c>
      <c r="I15" s="40">
        <v>17.899999999999999</v>
      </c>
      <c r="J15" s="47">
        <f t="shared" si="2"/>
        <v>91.094147582697204</v>
      </c>
      <c r="K15" s="40">
        <v>18.48</v>
      </c>
      <c r="L15" s="47">
        <f t="shared" si="3"/>
        <v>94.045801526717568</v>
      </c>
      <c r="M15" s="40">
        <v>18.47</v>
      </c>
      <c r="N15" s="47">
        <f t="shared" si="4"/>
        <v>93.994910941475823</v>
      </c>
      <c r="O15" s="40">
        <v>19.420000000000002</v>
      </c>
      <c r="P15" s="47">
        <f t="shared" si="5"/>
        <v>98.82951653944022</v>
      </c>
      <c r="Q15" s="40">
        <v>20.07</v>
      </c>
      <c r="R15" s="47">
        <f t="shared" si="6"/>
        <v>102.13740458015268</v>
      </c>
      <c r="S15" s="40">
        <v>20.309999999999999</v>
      </c>
      <c r="T15" s="47">
        <f t="shared" si="7"/>
        <v>103.3587786259542</v>
      </c>
      <c r="U15" s="40">
        <v>20.81</v>
      </c>
      <c r="V15" s="47">
        <f t="shared" si="8"/>
        <v>105.90330788804071</v>
      </c>
      <c r="X15" s="2" t="s">
        <v>405</v>
      </c>
      <c r="Y15" s="3"/>
      <c r="Z15" s="3"/>
      <c r="AA15" s="3"/>
      <c r="AB15" s="3"/>
      <c r="AC15" s="3"/>
    </row>
    <row r="16" spans="2:29" s="95" customFormat="1" ht="12.75" customHeight="1" x14ac:dyDescent="0.25">
      <c r="B16" s="354" t="s">
        <v>1351</v>
      </c>
      <c r="C16" s="58" t="s">
        <v>468</v>
      </c>
      <c r="D16" s="91">
        <v>20.83</v>
      </c>
      <c r="E16" s="40">
        <v>20.69</v>
      </c>
      <c r="F16" s="47">
        <f t="shared" si="0"/>
        <v>99.327892462794068</v>
      </c>
      <c r="G16" s="40">
        <v>19.54</v>
      </c>
      <c r="H16" s="47">
        <f t="shared" si="1"/>
        <v>93.807009121459444</v>
      </c>
      <c r="I16" s="40">
        <v>19.760000000000002</v>
      </c>
      <c r="J16" s="47">
        <f t="shared" si="2"/>
        <v>94.863178108497365</v>
      </c>
      <c r="K16" s="40">
        <v>20.399999999999999</v>
      </c>
      <c r="L16" s="47">
        <f t="shared" si="3"/>
        <v>97.935669707153153</v>
      </c>
      <c r="M16" s="40">
        <v>20.100000000000001</v>
      </c>
      <c r="N16" s="47">
        <f t="shared" si="4"/>
        <v>96.495439270283256</v>
      </c>
      <c r="O16" s="40">
        <v>19.97</v>
      </c>
      <c r="P16" s="47">
        <f t="shared" si="5"/>
        <v>95.871339414306291</v>
      </c>
      <c r="Q16" s="40">
        <v>20.59</v>
      </c>
      <c r="R16" s="47">
        <f t="shared" si="6"/>
        <v>98.847815650504089</v>
      </c>
      <c r="S16" s="40">
        <v>21.33</v>
      </c>
      <c r="T16" s="47">
        <f t="shared" si="7"/>
        <v>102.40038406144983</v>
      </c>
      <c r="U16" s="40">
        <v>22.15</v>
      </c>
      <c r="V16" s="47">
        <f t="shared" si="8"/>
        <v>106.33701392222757</v>
      </c>
      <c r="X16" s="2" t="s">
        <v>406</v>
      </c>
      <c r="Y16" s="3">
        <v>1.8660000000000001</v>
      </c>
      <c r="Z16" s="3"/>
      <c r="AA16" s="3"/>
      <c r="AB16" s="3"/>
      <c r="AC16" s="3"/>
    </row>
    <row r="17" spans="2:29" s="95" customFormat="1" ht="12.75" customHeight="1" x14ac:dyDescent="0.25">
      <c r="B17" s="354"/>
      <c r="C17" s="58" t="s">
        <v>1359</v>
      </c>
      <c r="D17" s="91">
        <v>19.21</v>
      </c>
      <c r="E17" s="40">
        <v>19.2</v>
      </c>
      <c r="F17" s="47">
        <f t="shared" si="0"/>
        <v>99.947943779281616</v>
      </c>
      <c r="G17" s="40">
        <v>18.38</v>
      </c>
      <c r="H17" s="47">
        <f t="shared" si="1"/>
        <v>95.679333680374796</v>
      </c>
      <c r="I17" s="40">
        <v>18.420000000000002</v>
      </c>
      <c r="J17" s="47">
        <f t="shared" si="2"/>
        <v>95.887558563248305</v>
      </c>
      <c r="K17" s="40">
        <v>18.899999999999999</v>
      </c>
      <c r="L17" s="47">
        <f t="shared" si="3"/>
        <v>98.386257157730341</v>
      </c>
      <c r="M17" s="40">
        <v>18.73</v>
      </c>
      <c r="N17" s="47">
        <f t="shared" si="4"/>
        <v>97.501301405517964</v>
      </c>
      <c r="O17" s="40">
        <v>18.8</v>
      </c>
      <c r="P17" s="47">
        <f t="shared" si="5"/>
        <v>97.865694950546583</v>
      </c>
      <c r="Q17" s="40">
        <v>19.43</v>
      </c>
      <c r="R17" s="47">
        <f t="shared" si="6"/>
        <v>101.14523685580426</v>
      </c>
      <c r="S17" s="40">
        <v>19.850000000000001</v>
      </c>
      <c r="T17" s="47">
        <f t="shared" si="7"/>
        <v>103.33159812597606</v>
      </c>
      <c r="U17" s="40">
        <v>20.34</v>
      </c>
      <c r="V17" s="47">
        <f t="shared" si="8"/>
        <v>105.88235294117648</v>
      </c>
      <c r="X17" s="2" t="s">
        <v>47</v>
      </c>
      <c r="Y17" s="3">
        <v>0.76039999999999996</v>
      </c>
      <c r="Z17" s="3"/>
      <c r="AA17" s="3"/>
      <c r="AB17" s="3"/>
      <c r="AC17" s="3"/>
    </row>
    <row r="18" spans="2:29" s="95" customFormat="1" ht="12.75" customHeight="1" x14ac:dyDescent="0.25">
      <c r="B18" s="354"/>
      <c r="C18" s="58" t="s">
        <v>470</v>
      </c>
      <c r="D18" s="91">
        <v>20.45</v>
      </c>
      <c r="E18" s="40">
        <v>20.14</v>
      </c>
      <c r="F18" s="47">
        <f t="shared" si="0"/>
        <v>98.484107579462105</v>
      </c>
      <c r="G18" s="40">
        <v>18.87</v>
      </c>
      <c r="H18" s="47">
        <f t="shared" si="1"/>
        <v>92.273838630806864</v>
      </c>
      <c r="I18" s="40">
        <v>19.510000000000002</v>
      </c>
      <c r="J18" s="47">
        <f t="shared" si="2"/>
        <v>95.403422982885104</v>
      </c>
      <c r="K18" s="40">
        <v>20.16</v>
      </c>
      <c r="L18" s="47">
        <f t="shared" si="3"/>
        <v>98.581907090464554</v>
      </c>
      <c r="M18" s="40">
        <v>20.23</v>
      </c>
      <c r="N18" s="47">
        <f t="shared" si="4"/>
        <v>98.924205378973113</v>
      </c>
      <c r="O18" s="40">
        <v>20.45</v>
      </c>
      <c r="P18" s="47">
        <f t="shared" si="5"/>
        <v>100</v>
      </c>
      <c r="Q18" s="40">
        <v>20.7</v>
      </c>
      <c r="R18" s="47">
        <f t="shared" si="6"/>
        <v>101.22249388753055</v>
      </c>
      <c r="S18" s="40">
        <v>21.18</v>
      </c>
      <c r="T18" s="47">
        <f t="shared" si="7"/>
        <v>103.56968215158923</v>
      </c>
      <c r="U18" s="40">
        <v>21.48</v>
      </c>
      <c r="V18" s="47">
        <f t="shared" si="8"/>
        <v>105.03667481662593</v>
      </c>
      <c r="X18" s="2" t="s">
        <v>49</v>
      </c>
      <c r="Y18" s="3" t="s">
        <v>203</v>
      </c>
      <c r="Z18" s="3"/>
      <c r="AA18" s="3"/>
      <c r="AB18" s="3"/>
      <c r="AC18" s="3"/>
    </row>
    <row r="19" spans="2:29" s="95" customFormat="1" ht="12.75" customHeight="1" x14ac:dyDescent="0.25">
      <c r="B19" s="354"/>
      <c r="C19" s="58" t="s">
        <v>471</v>
      </c>
      <c r="D19" s="91">
        <v>20.11</v>
      </c>
      <c r="E19" s="40">
        <v>19.43</v>
      </c>
      <c r="F19" s="47">
        <f t="shared" si="0"/>
        <v>96.618597712580808</v>
      </c>
      <c r="G19" s="40">
        <v>18.38</v>
      </c>
      <c r="H19" s="47">
        <f t="shared" si="1"/>
        <v>91.39731476877175</v>
      </c>
      <c r="I19" s="40">
        <v>18.73</v>
      </c>
      <c r="J19" s="47">
        <f t="shared" si="2"/>
        <v>93.137742416708107</v>
      </c>
      <c r="K19" s="40">
        <v>18.920000000000002</v>
      </c>
      <c r="L19" s="47">
        <f t="shared" si="3"/>
        <v>94.082545997016425</v>
      </c>
      <c r="M19" s="40">
        <v>18.940000000000001</v>
      </c>
      <c r="N19" s="47">
        <f t="shared" si="4"/>
        <v>94.181999005469933</v>
      </c>
      <c r="O19" s="40">
        <v>19.04</v>
      </c>
      <c r="P19" s="47">
        <f t="shared" si="5"/>
        <v>94.679264047737448</v>
      </c>
      <c r="Q19" s="40">
        <v>19.829999999999998</v>
      </c>
      <c r="R19" s="47">
        <f t="shared" si="6"/>
        <v>98.607657881650908</v>
      </c>
      <c r="S19" s="40">
        <v>20.36</v>
      </c>
      <c r="T19" s="47">
        <f t="shared" si="7"/>
        <v>101.24316260566881</v>
      </c>
      <c r="U19" s="40">
        <v>21.04</v>
      </c>
      <c r="V19" s="47">
        <f t="shared" si="8"/>
        <v>104.62456489308802</v>
      </c>
      <c r="X19" s="2" t="s">
        <v>407</v>
      </c>
      <c r="Y19" s="3" t="s">
        <v>204</v>
      </c>
      <c r="Z19" s="3"/>
      <c r="AA19" s="3"/>
      <c r="AB19" s="3"/>
      <c r="AC19" s="3"/>
    </row>
    <row r="20" spans="2:29" s="95" customFormat="1" ht="12.75" customHeight="1" x14ac:dyDescent="0.25">
      <c r="B20" s="354"/>
      <c r="C20" s="58" t="s">
        <v>472</v>
      </c>
      <c r="D20" s="91">
        <v>19.5</v>
      </c>
      <c r="E20" s="40">
        <v>18.600000000000001</v>
      </c>
      <c r="F20" s="47">
        <f t="shared" si="0"/>
        <v>95.384615384615387</v>
      </c>
      <c r="G20" s="40">
        <v>17.899999999999999</v>
      </c>
      <c r="H20" s="47">
        <f t="shared" si="1"/>
        <v>91.794871794871796</v>
      </c>
      <c r="I20" s="40">
        <v>18.48</v>
      </c>
      <c r="J20" s="47">
        <f t="shared" si="2"/>
        <v>94.769230769230774</v>
      </c>
      <c r="K20" s="40">
        <v>18.899999999999999</v>
      </c>
      <c r="L20" s="47">
        <f t="shared" si="3"/>
        <v>96.923076923076906</v>
      </c>
      <c r="M20" s="40">
        <v>19.04</v>
      </c>
      <c r="N20" s="47">
        <f t="shared" si="4"/>
        <v>97.641025641025635</v>
      </c>
      <c r="O20" s="40">
        <v>18.78</v>
      </c>
      <c r="P20" s="47">
        <f t="shared" si="5"/>
        <v>96.307692307692321</v>
      </c>
      <c r="Q20" s="40">
        <v>19.62</v>
      </c>
      <c r="R20" s="47">
        <f t="shared" si="6"/>
        <v>100.61538461538461</v>
      </c>
      <c r="S20" s="40">
        <v>19.93</v>
      </c>
      <c r="T20" s="47">
        <f t="shared" si="7"/>
        <v>102.20512820512819</v>
      </c>
      <c r="U20" s="40">
        <v>20.04</v>
      </c>
      <c r="V20" s="47">
        <f t="shared" si="8"/>
        <v>102.76923076923077</v>
      </c>
      <c r="X20" s="2"/>
      <c r="Y20" s="3"/>
      <c r="Z20" s="3"/>
      <c r="AA20" s="3"/>
      <c r="AB20" s="3"/>
      <c r="AC20" s="3"/>
    </row>
    <row r="21" spans="2:29" s="95" customFormat="1" ht="12.75" customHeight="1" x14ac:dyDescent="0.25">
      <c r="B21" s="354" t="s">
        <v>1348</v>
      </c>
      <c r="C21" s="58" t="s">
        <v>473</v>
      </c>
      <c r="D21" s="91">
        <v>19.600000000000001</v>
      </c>
      <c r="E21" s="40">
        <v>19.52</v>
      </c>
      <c r="F21" s="47">
        <f t="shared" si="0"/>
        <v>99.591836734693871</v>
      </c>
      <c r="G21" s="40">
        <v>18.2</v>
      </c>
      <c r="H21" s="47">
        <f t="shared" si="1"/>
        <v>92.857142857142847</v>
      </c>
      <c r="I21" s="40">
        <v>18.48</v>
      </c>
      <c r="J21" s="47">
        <f t="shared" si="2"/>
        <v>94.285714285714278</v>
      </c>
      <c r="K21" s="40">
        <v>18.649999999999999</v>
      </c>
      <c r="L21" s="47">
        <f t="shared" si="3"/>
        <v>95.153061224489775</v>
      </c>
      <c r="M21" s="40">
        <v>18.88</v>
      </c>
      <c r="N21" s="47">
        <f t="shared" si="4"/>
        <v>96.326530612244881</v>
      </c>
      <c r="O21" s="40">
        <v>19.13</v>
      </c>
      <c r="P21" s="47">
        <f t="shared" si="5"/>
        <v>97.602040816326522</v>
      </c>
      <c r="Q21" s="40">
        <v>19.95</v>
      </c>
      <c r="R21" s="47">
        <f t="shared" si="6"/>
        <v>101.78571428571428</v>
      </c>
      <c r="S21" s="40">
        <v>20.100000000000001</v>
      </c>
      <c r="T21" s="47">
        <f t="shared" si="7"/>
        <v>102.55102040816327</v>
      </c>
      <c r="U21" s="40">
        <v>20.440000000000001</v>
      </c>
      <c r="V21" s="47">
        <f t="shared" si="8"/>
        <v>104.28571428571429</v>
      </c>
      <c r="X21" s="2" t="s">
        <v>408</v>
      </c>
      <c r="Y21" s="3" t="s">
        <v>409</v>
      </c>
      <c r="Z21" s="3" t="s">
        <v>143</v>
      </c>
      <c r="AA21" s="3" t="s">
        <v>410</v>
      </c>
      <c r="AB21" s="3"/>
      <c r="AC21" s="3"/>
    </row>
    <row r="22" spans="2:29" s="95" customFormat="1" ht="12.75" customHeight="1" x14ac:dyDescent="0.25">
      <c r="B22" s="354"/>
      <c r="C22" s="58" t="s">
        <v>474</v>
      </c>
      <c r="D22" s="91">
        <v>20.64</v>
      </c>
      <c r="E22" s="40">
        <v>20.39</v>
      </c>
      <c r="F22" s="47">
        <f t="shared" si="0"/>
        <v>98.788759689922472</v>
      </c>
      <c r="G22" s="40">
        <v>18.43</v>
      </c>
      <c r="H22" s="47">
        <f t="shared" si="1"/>
        <v>89.292635658914719</v>
      </c>
      <c r="I22" s="40">
        <v>18.62</v>
      </c>
      <c r="J22" s="47">
        <f t="shared" si="2"/>
        <v>90.213178294573652</v>
      </c>
      <c r="K22" s="40">
        <v>19.37</v>
      </c>
      <c r="L22" s="47">
        <f t="shared" si="3"/>
        <v>93.846899224806208</v>
      </c>
      <c r="M22" s="40">
        <v>19.41</v>
      </c>
      <c r="N22" s="47">
        <f t="shared" si="4"/>
        <v>94.04069767441861</v>
      </c>
      <c r="O22" s="40">
        <v>20.03</v>
      </c>
      <c r="P22" s="47">
        <f t="shared" si="5"/>
        <v>97.044573643410857</v>
      </c>
      <c r="Q22" s="40">
        <v>20.72</v>
      </c>
      <c r="R22" s="47">
        <f t="shared" si="6"/>
        <v>100.3875968992248</v>
      </c>
      <c r="S22" s="40">
        <v>21.2</v>
      </c>
      <c r="T22" s="47">
        <f t="shared" si="7"/>
        <v>102.71317829457365</v>
      </c>
      <c r="U22" s="40">
        <v>21.77</v>
      </c>
      <c r="V22" s="47">
        <f t="shared" si="8"/>
        <v>105.47480620155039</v>
      </c>
      <c r="X22" s="2" t="s">
        <v>411</v>
      </c>
      <c r="Y22" s="3">
        <v>240.6</v>
      </c>
      <c r="Z22" s="3">
        <v>4</v>
      </c>
      <c r="AA22" s="3">
        <v>60.16</v>
      </c>
      <c r="AB22" s="3"/>
      <c r="AC22" s="3"/>
    </row>
    <row r="23" spans="2:29" s="95" customFormat="1" ht="12.75" customHeight="1" x14ac:dyDescent="0.25">
      <c r="B23" s="354"/>
      <c r="C23" s="58" t="s">
        <v>475</v>
      </c>
      <c r="D23" s="91">
        <v>19.2</v>
      </c>
      <c r="E23" s="40">
        <v>18.239999999999998</v>
      </c>
      <c r="F23" s="47">
        <f t="shared" si="0"/>
        <v>95</v>
      </c>
      <c r="G23" s="40">
        <v>16.8</v>
      </c>
      <c r="H23" s="47">
        <f t="shared" si="1"/>
        <v>87.500000000000014</v>
      </c>
      <c r="I23" s="40">
        <v>16.829999999999998</v>
      </c>
      <c r="J23" s="47">
        <f t="shared" si="2"/>
        <v>87.656249999999986</v>
      </c>
      <c r="K23" s="40">
        <v>17.23</v>
      </c>
      <c r="L23" s="47">
        <f t="shared" si="3"/>
        <v>89.739583333333343</v>
      </c>
      <c r="M23" s="40">
        <v>17.3</v>
      </c>
      <c r="N23" s="47">
        <f t="shared" si="4"/>
        <v>90.104166666666671</v>
      </c>
      <c r="O23" s="40">
        <v>17.86</v>
      </c>
      <c r="P23" s="47">
        <f t="shared" si="5"/>
        <v>93.020833333333329</v>
      </c>
      <c r="Q23" s="40">
        <v>18.88</v>
      </c>
      <c r="R23" s="47">
        <f t="shared" si="6"/>
        <v>98.333333333333329</v>
      </c>
      <c r="S23" s="40">
        <v>18.86</v>
      </c>
      <c r="T23" s="47">
        <f t="shared" si="7"/>
        <v>98.229166666666671</v>
      </c>
      <c r="U23" s="40">
        <v>19.32</v>
      </c>
      <c r="V23" s="47">
        <f t="shared" si="8"/>
        <v>100.62500000000001</v>
      </c>
      <c r="X23" s="2" t="s">
        <v>412</v>
      </c>
      <c r="Y23" s="3">
        <v>132.1</v>
      </c>
      <c r="Z23" s="3">
        <v>20</v>
      </c>
      <c r="AA23" s="3">
        <v>6.6029999999999998</v>
      </c>
      <c r="AB23" s="3"/>
      <c r="AC23" s="3"/>
    </row>
    <row r="24" spans="2:29" s="95" customFormat="1" ht="12.75" customHeight="1" x14ac:dyDescent="0.25">
      <c r="B24" s="354"/>
      <c r="C24" s="58" t="s">
        <v>476</v>
      </c>
      <c r="D24" s="91">
        <v>20.420000000000002</v>
      </c>
      <c r="E24" s="40">
        <v>19.82</v>
      </c>
      <c r="F24" s="47">
        <f t="shared" si="0"/>
        <v>97.061704211557284</v>
      </c>
      <c r="G24" s="40">
        <v>18.86</v>
      </c>
      <c r="H24" s="47">
        <f t="shared" si="1"/>
        <v>92.360430950048965</v>
      </c>
      <c r="I24" s="40">
        <v>19.260000000000002</v>
      </c>
      <c r="J24" s="47">
        <f t="shared" si="2"/>
        <v>94.319294809010785</v>
      </c>
      <c r="K24" s="40">
        <v>19.43</v>
      </c>
      <c r="L24" s="47">
        <f t="shared" si="3"/>
        <v>95.151811949069526</v>
      </c>
      <c r="M24" s="40">
        <v>19.510000000000002</v>
      </c>
      <c r="N24" s="47">
        <f t="shared" si="4"/>
        <v>95.543584720861901</v>
      </c>
      <c r="O24" s="40">
        <v>19.829999999999998</v>
      </c>
      <c r="P24" s="47">
        <f t="shared" si="5"/>
        <v>97.110675808031317</v>
      </c>
      <c r="Q24" s="40">
        <v>20.190000000000001</v>
      </c>
      <c r="R24" s="47">
        <f t="shared" si="6"/>
        <v>98.873653281096963</v>
      </c>
      <c r="S24" s="40">
        <v>20.67</v>
      </c>
      <c r="T24" s="47">
        <f t="shared" si="7"/>
        <v>101.22428991185113</v>
      </c>
      <c r="U24" s="40">
        <v>20.82</v>
      </c>
      <c r="V24" s="47">
        <f t="shared" si="8"/>
        <v>101.95886385896181</v>
      </c>
      <c r="X24" s="2" t="s">
        <v>413</v>
      </c>
      <c r="Y24" s="3">
        <v>372.7</v>
      </c>
      <c r="Z24" s="3">
        <v>24</v>
      </c>
      <c r="AA24" s="3"/>
      <c r="AB24" s="3"/>
      <c r="AC24" s="3"/>
    </row>
    <row r="25" spans="2:29" s="95" customFormat="1" ht="12.75" customHeight="1" x14ac:dyDescent="0.25">
      <c r="B25" s="354"/>
      <c r="C25" s="58" t="s">
        <v>477</v>
      </c>
      <c r="D25" s="91">
        <v>18.41</v>
      </c>
      <c r="E25" s="40">
        <v>18.02</v>
      </c>
      <c r="F25" s="47">
        <f t="shared" si="0"/>
        <v>97.88158609451385</v>
      </c>
      <c r="G25" s="40">
        <v>17.38</v>
      </c>
      <c r="H25" s="47">
        <f t="shared" si="1"/>
        <v>94.405214557305811</v>
      </c>
      <c r="I25" s="40">
        <v>17.510000000000002</v>
      </c>
      <c r="J25" s="47">
        <f t="shared" si="2"/>
        <v>95.111352525801209</v>
      </c>
      <c r="K25" s="40">
        <v>17.87</v>
      </c>
      <c r="L25" s="47">
        <f t="shared" si="3"/>
        <v>97.066811515480723</v>
      </c>
      <c r="M25" s="40">
        <v>17.53</v>
      </c>
      <c r="N25" s="47">
        <f t="shared" si="4"/>
        <v>95.219989136338953</v>
      </c>
      <c r="O25" s="40">
        <v>17.86</v>
      </c>
      <c r="P25" s="47">
        <f t="shared" si="5"/>
        <v>97.012493210211829</v>
      </c>
      <c r="Q25" s="40">
        <v>18.73</v>
      </c>
      <c r="R25" s="47">
        <f t="shared" si="6"/>
        <v>101.73818576860403</v>
      </c>
      <c r="S25" s="40">
        <v>19.260000000000002</v>
      </c>
      <c r="T25" s="47">
        <f t="shared" si="7"/>
        <v>104.61705594785444</v>
      </c>
      <c r="U25" s="40">
        <v>19.86</v>
      </c>
      <c r="V25" s="47">
        <f t="shared" si="8"/>
        <v>107.87615426398696</v>
      </c>
      <c r="X25" s="2"/>
      <c r="Y25" s="3"/>
      <c r="Z25" s="3"/>
      <c r="AA25" s="3"/>
      <c r="AB25" s="3"/>
      <c r="AC25" s="3"/>
    </row>
    <row r="26" spans="2:29" s="95" customFormat="1" ht="12.75" customHeight="1" x14ac:dyDescent="0.25">
      <c r="B26" s="354" t="s">
        <v>1352</v>
      </c>
      <c r="C26" s="58" t="s">
        <v>478</v>
      </c>
      <c r="D26" s="91">
        <v>19.22</v>
      </c>
      <c r="E26" s="71">
        <v>18.579999999999998</v>
      </c>
      <c r="F26" s="47">
        <f t="shared" si="0"/>
        <v>96.670135275754419</v>
      </c>
      <c r="G26" s="71">
        <v>17.350000000000001</v>
      </c>
      <c r="H26" s="47">
        <f t="shared" si="1"/>
        <v>90.27055150884496</v>
      </c>
      <c r="I26" s="71">
        <v>18.190000000000001</v>
      </c>
      <c r="J26" s="47">
        <f t="shared" si="2"/>
        <v>94.640998959417288</v>
      </c>
      <c r="K26" s="71">
        <v>18.079999999999998</v>
      </c>
      <c r="L26" s="47">
        <f t="shared" si="3"/>
        <v>94.068678459937559</v>
      </c>
      <c r="M26" s="71">
        <v>18.47</v>
      </c>
      <c r="N26" s="47">
        <f t="shared" si="4"/>
        <v>96.097814776274717</v>
      </c>
      <c r="O26" s="71">
        <v>18.600000000000001</v>
      </c>
      <c r="P26" s="47">
        <f t="shared" si="5"/>
        <v>96.774193548387117</v>
      </c>
      <c r="Q26" s="71">
        <v>19.59</v>
      </c>
      <c r="R26" s="47">
        <f t="shared" si="6"/>
        <v>101.92507804370447</v>
      </c>
      <c r="S26" s="71">
        <v>19.940000000000001</v>
      </c>
      <c r="T26" s="47">
        <f t="shared" si="7"/>
        <v>103.74609781477628</v>
      </c>
      <c r="U26" s="71">
        <v>20.73</v>
      </c>
      <c r="V26" s="47">
        <f t="shared" si="8"/>
        <v>107.85639958376692</v>
      </c>
      <c r="X26" s="2" t="s">
        <v>414</v>
      </c>
      <c r="Y26" s="3" t="s">
        <v>415</v>
      </c>
      <c r="Z26" s="3" t="s">
        <v>416</v>
      </c>
      <c r="AA26" s="3" t="s">
        <v>417</v>
      </c>
      <c r="AB26" s="3" t="s">
        <v>418</v>
      </c>
      <c r="AC26" s="3" t="s">
        <v>419</v>
      </c>
    </row>
    <row r="27" spans="2:29" s="95" customFormat="1" ht="12.75" customHeight="1" x14ac:dyDescent="0.25">
      <c r="B27" s="354"/>
      <c r="C27" s="58" t="s">
        <v>479</v>
      </c>
      <c r="D27" s="91">
        <v>20.75</v>
      </c>
      <c r="E27" s="40">
        <v>21.02</v>
      </c>
      <c r="F27" s="47">
        <f t="shared" si="0"/>
        <v>101.30120481927712</v>
      </c>
      <c r="G27" s="40">
        <v>19.98</v>
      </c>
      <c r="H27" s="47">
        <f t="shared" si="1"/>
        <v>96.289156626506028</v>
      </c>
      <c r="I27" s="40">
        <v>19.97</v>
      </c>
      <c r="J27" s="47">
        <f t="shared" si="2"/>
        <v>96.240963855421683</v>
      </c>
      <c r="K27" s="40">
        <v>20.350000000000001</v>
      </c>
      <c r="L27" s="47">
        <f t="shared" si="3"/>
        <v>98.07228915662651</v>
      </c>
      <c r="M27" s="40">
        <v>20.38</v>
      </c>
      <c r="N27" s="47">
        <f t="shared" si="4"/>
        <v>98.216867469879503</v>
      </c>
      <c r="O27" s="40">
        <v>21.2</v>
      </c>
      <c r="P27" s="47">
        <f t="shared" si="5"/>
        <v>102.16867469879519</v>
      </c>
      <c r="Q27" s="40">
        <v>21.19</v>
      </c>
      <c r="R27" s="47">
        <f t="shared" si="6"/>
        <v>102.12048192771086</v>
      </c>
      <c r="S27" s="40">
        <v>21.67</v>
      </c>
      <c r="T27" s="47">
        <f t="shared" si="7"/>
        <v>104.43373493975905</v>
      </c>
      <c r="U27" s="40">
        <v>22.2</v>
      </c>
      <c r="V27" s="47">
        <f t="shared" si="8"/>
        <v>106.98795180722891</v>
      </c>
      <c r="X27" s="2" t="s">
        <v>430</v>
      </c>
      <c r="Y27" s="3">
        <v>-9.5060000000000002</v>
      </c>
      <c r="Z27" s="3">
        <v>5.8490000000000002</v>
      </c>
      <c r="AA27" s="3" t="s">
        <v>52</v>
      </c>
      <c r="AB27" s="3" t="s">
        <v>50</v>
      </c>
      <c r="AC27" s="3" t="s">
        <v>1362</v>
      </c>
    </row>
    <row r="28" spans="2:29" s="95" customFormat="1" ht="12.75" customHeight="1" x14ac:dyDescent="0.3">
      <c r="B28" s="354"/>
      <c r="C28" s="58" t="s">
        <v>480</v>
      </c>
      <c r="D28" s="91">
        <v>21.56</v>
      </c>
      <c r="E28" s="40">
        <v>20.88</v>
      </c>
      <c r="F28" s="47">
        <f t="shared" si="0"/>
        <v>96.846011131725419</v>
      </c>
      <c r="G28" s="40">
        <v>19.87</v>
      </c>
      <c r="H28" s="47">
        <f t="shared" si="1"/>
        <v>92.161410018552886</v>
      </c>
      <c r="I28" s="40">
        <v>20.29</v>
      </c>
      <c r="J28" s="47">
        <f t="shared" si="2"/>
        <v>94.109461966604826</v>
      </c>
      <c r="K28" s="40">
        <v>20.76</v>
      </c>
      <c r="L28" s="47">
        <f t="shared" si="3"/>
        <v>96.289424860853444</v>
      </c>
      <c r="M28" s="40">
        <v>20.72</v>
      </c>
      <c r="N28" s="47">
        <f t="shared" si="4"/>
        <v>96.103896103896105</v>
      </c>
      <c r="O28" s="40">
        <v>20.63</v>
      </c>
      <c r="P28" s="47">
        <f t="shared" si="5"/>
        <v>95.686456400742117</v>
      </c>
      <c r="Q28" s="40">
        <v>21.18</v>
      </c>
      <c r="R28" s="47">
        <f t="shared" si="6"/>
        <v>98.237476808905384</v>
      </c>
      <c r="S28" s="40">
        <v>21.04</v>
      </c>
      <c r="T28" s="47">
        <f t="shared" si="7"/>
        <v>97.588126159554733</v>
      </c>
      <c r="U28" s="40">
        <v>21.81</v>
      </c>
      <c r="V28" s="47">
        <f t="shared" si="8"/>
        <v>101.1595547309833</v>
      </c>
      <c r="X28" s="7" t="s">
        <v>422</v>
      </c>
      <c r="Y28" s="8">
        <v>-4.6020000000000003</v>
      </c>
      <c r="Z28" s="8">
        <v>2.8319999999999999</v>
      </c>
      <c r="AA28" s="8" t="s">
        <v>52</v>
      </c>
      <c r="AB28" s="8" t="s">
        <v>332</v>
      </c>
      <c r="AC28" s="8" t="s">
        <v>1363</v>
      </c>
    </row>
    <row r="29" spans="2:29" s="95" customFormat="1" ht="12.75" customHeight="1" x14ac:dyDescent="0.25">
      <c r="B29" s="354"/>
      <c r="C29" s="58" t="s">
        <v>481</v>
      </c>
      <c r="D29" s="91">
        <v>20.58</v>
      </c>
      <c r="E29" s="40">
        <v>20.04</v>
      </c>
      <c r="F29" s="47">
        <f t="shared" si="0"/>
        <v>97.376093294460645</v>
      </c>
      <c r="G29" s="40">
        <v>18.489999999999998</v>
      </c>
      <c r="H29" s="47">
        <f t="shared" si="1"/>
        <v>89.844509232264329</v>
      </c>
      <c r="I29" s="40">
        <v>19.46</v>
      </c>
      <c r="J29" s="47">
        <f t="shared" si="2"/>
        <v>94.557823129251716</v>
      </c>
      <c r="K29" s="40">
        <v>19.72</v>
      </c>
      <c r="L29" s="47">
        <f t="shared" si="3"/>
        <v>95.821185617103993</v>
      </c>
      <c r="M29" s="40">
        <v>19.829999999999998</v>
      </c>
      <c r="N29" s="47">
        <f t="shared" si="4"/>
        <v>96.35568513119533</v>
      </c>
      <c r="O29" s="40">
        <v>19.78</v>
      </c>
      <c r="P29" s="47">
        <f t="shared" si="5"/>
        <v>96.112730806608369</v>
      </c>
      <c r="Q29" s="40">
        <v>20.75</v>
      </c>
      <c r="R29" s="47">
        <f t="shared" si="6"/>
        <v>100.82604470359573</v>
      </c>
      <c r="S29" s="40">
        <v>20.9</v>
      </c>
      <c r="T29" s="47">
        <f t="shared" si="7"/>
        <v>101.55490767735667</v>
      </c>
      <c r="U29" s="40">
        <v>21.65</v>
      </c>
      <c r="V29" s="47">
        <f t="shared" si="8"/>
        <v>105.19922254616132</v>
      </c>
      <c r="X29" s="2" t="s">
        <v>1364</v>
      </c>
      <c r="Y29" s="3">
        <v>-2.8959999999999999</v>
      </c>
      <c r="Z29" s="3">
        <v>1.782</v>
      </c>
      <c r="AA29" s="3" t="s">
        <v>204</v>
      </c>
      <c r="AB29" s="3" t="s">
        <v>203</v>
      </c>
      <c r="AC29" s="3" t="s">
        <v>1365</v>
      </c>
    </row>
    <row r="30" spans="2:29" s="95" customFormat="1" ht="12.75" customHeight="1" x14ac:dyDescent="0.25">
      <c r="B30" s="354"/>
      <c r="C30" s="58" t="s">
        <v>482</v>
      </c>
      <c r="D30" s="91">
        <v>19.68</v>
      </c>
      <c r="E30" s="40">
        <v>19.09</v>
      </c>
      <c r="F30" s="47">
        <f t="shared" si="0"/>
        <v>97.002032520325201</v>
      </c>
      <c r="G30" s="40">
        <v>17.86</v>
      </c>
      <c r="H30" s="47">
        <f t="shared" si="1"/>
        <v>90.752032520325201</v>
      </c>
      <c r="I30" s="40">
        <v>18.29</v>
      </c>
      <c r="J30" s="47">
        <f t="shared" si="2"/>
        <v>92.9369918699187</v>
      </c>
      <c r="K30" s="40">
        <v>18.57</v>
      </c>
      <c r="L30" s="47">
        <f t="shared" si="3"/>
        <v>94.359756097560975</v>
      </c>
      <c r="M30" s="40">
        <v>18.3</v>
      </c>
      <c r="N30" s="47">
        <f t="shared" si="4"/>
        <v>92.987804878048792</v>
      </c>
      <c r="O30" s="40">
        <v>18.77</v>
      </c>
      <c r="P30" s="47">
        <f t="shared" si="5"/>
        <v>95.376016260162601</v>
      </c>
      <c r="Q30" s="40">
        <v>19.04</v>
      </c>
      <c r="R30" s="47">
        <f t="shared" si="6"/>
        <v>96.747967479674784</v>
      </c>
      <c r="S30" s="40">
        <v>19.899999999999999</v>
      </c>
      <c r="T30" s="47">
        <f t="shared" si="7"/>
        <v>101.1178861788618</v>
      </c>
      <c r="U30" s="40">
        <v>20.62</v>
      </c>
      <c r="V30" s="47">
        <f t="shared" si="8"/>
        <v>104.77642276422765</v>
      </c>
      <c r="X30" s="2" t="s">
        <v>1366</v>
      </c>
      <c r="Y30" s="3">
        <v>-3.4740000000000002</v>
      </c>
      <c r="Z30" s="3">
        <v>2.1379999999999999</v>
      </c>
      <c r="AA30" s="3" t="s">
        <v>204</v>
      </c>
      <c r="AB30" s="3" t="s">
        <v>203</v>
      </c>
      <c r="AC30" s="3" t="s">
        <v>1367</v>
      </c>
    </row>
    <row r="31" spans="2:29" s="95" customFormat="1" ht="12.75" customHeight="1" x14ac:dyDescent="0.3">
      <c r="B31" s="5"/>
      <c r="C31" s="264"/>
      <c r="D31" s="265" t="s">
        <v>13</v>
      </c>
      <c r="E31" s="264"/>
      <c r="F31" s="264"/>
    </row>
    <row r="32" spans="2:29" s="95" customFormat="1" ht="12.75" customHeight="1" x14ac:dyDescent="0.3">
      <c r="B32" s="5"/>
      <c r="C32" s="264"/>
      <c r="D32" s="266" t="s">
        <v>107</v>
      </c>
      <c r="E32" s="264"/>
      <c r="F32" s="264"/>
    </row>
    <row r="33" spans="2:29" s="95" customFormat="1" ht="12.75" customHeight="1" x14ac:dyDescent="0.3">
      <c r="B33" s="5"/>
      <c r="C33" s="96"/>
      <c r="D33" s="98"/>
      <c r="E33" s="98"/>
      <c r="F33" s="98"/>
      <c r="X33" s="2" t="s">
        <v>41</v>
      </c>
      <c r="Y33" s="8" t="s">
        <v>1368</v>
      </c>
      <c r="Z33" s="3"/>
      <c r="AA33" s="3"/>
      <c r="AB33" s="3"/>
      <c r="AC33" s="3"/>
    </row>
    <row r="34" spans="2:29" s="95" customFormat="1" ht="12.75" customHeight="1" x14ac:dyDescent="0.25">
      <c r="B34" s="5"/>
      <c r="C34" s="96"/>
      <c r="D34" s="98"/>
      <c r="E34" s="98"/>
      <c r="F34" s="98"/>
      <c r="X34" s="2"/>
      <c r="Y34" s="3"/>
      <c r="Z34" s="3"/>
      <c r="AA34" s="3"/>
      <c r="AB34" s="3"/>
      <c r="AC34" s="3"/>
    </row>
    <row r="35" spans="2:29" s="95" customFormat="1" ht="12.75" customHeight="1" x14ac:dyDescent="0.25">
      <c r="B35" s="5"/>
      <c r="C35" s="96"/>
      <c r="D35" s="98"/>
      <c r="E35" s="98"/>
      <c r="F35" s="98"/>
      <c r="X35" s="2" t="s">
        <v>402</v>
      </c>
      <c r="Y35" s="3"/>
      <c r="Z35" s="3"/>
      <c r="AA35" s="3"/>
      <c r="AB35" s="3"/>
      <c r="AC35" s="3"/>
    </row>
    <row r="36" spans="2:29" s="95" customFormat="1" ht="12.75" customHeight="1" x14ac:dyDescent="0.3">
      <c r="B36" s="5"/>
      <c r="C36" s="96"/>
      <c r="D36" s="98"/>
      <c r="E36" s="98"/>
      <c r="F36" s="98"/>
      <c r="X36" s="7" t="s">
        <v>47</v>
      </c>
      <c r="Y36" s="8">
        <v>4.0000000000000002E-4</v>
      </c>
      <c r="Z36" s="3"/>
      <c r="AA36" s="3"/>
      <c r="AB36" s="3"/>
      <c r="AC36" s="3"/>
    </row>
    <row r="37" spans="2:29" s="95" customFormat="1" ht="12.75" customHeight="1" x14ac:dyDescent="0.3">
      <c r="B37" s="5"/>
      <c r="C37" s="96"/>
      <c r="D37" s="98"/>
      <c r="E37" s="98"/>
      <c r="F37" s="98"/>
      <c r="X37" s="7" t="s">
        <v>49</v>
      </c>
      <c r="Y37" s="8" t="s">
        <v>50</v>
      </c>
      <c r="Z37" s="3"/>
      <c r="AA37" s="3"/>
      <c r="AB37" s="3"/>
      <c r="AC37" s="3"/>
    </row>
    <row r="38" spans="2:29" s="95" customFormat="1" ht="12.75" customHeight="1" x14ac:dyDescent="0.25">
      <c r="B38" s="5"/>
      <c r="C38" s="96"/>
      <c r="D38" s="98"/>
      <c r="E38" s="98"/>
      <c r="F38" s="98"/>
      <c r="X38" s="2" t="s">
        <v>51</v>
      </c>
      <c r="Y38" s="3" t="s">
        <v>52</v>
      </c>
      <c r="Z38" s="3"/>
      <c r="AA38" s="3"/>
      <c r="AB38" s="3"/>
      <c r="AC38" s="3"/>
    </row>
    <row r="39" spans="2:29" s="95" customFormat="1" ht="12.75" customHeight="1" x14ac:dyDescent="0.25">
      <c r="B39" s="5"/>
      <c r="C39" s="96"/>
      <c r="D39" s="98"/>
      <c r="E39" s="98"/>
      <c r="F39" s="98"/>
      <c r="X39" s="2" t="s">
        <v>403</v>
      </c>
      <c r="Y39" s="3">
        <v>5</v>
      </c>
      <c r="Z39" s="3"/>
      <c r="AA39" s="3"/>
      <c r="AB39" s="3"/>
      <c r="AC39" s="3"/>
    </row>
    <row r="40" spans="2:29" s="95" customFormat="1" ht="12.75" customHeight="1" x14ac:dyDescent="0.25">
      <c r="B40" s="5"/>
      <c r="C40" s="96"/>
      <c r="D40" s="98"/>
      <c r="E40" s="98"/>
      <c r="F40" s="98"/>
      <c r="X40" s="2" t="s">
        <v>404</v>
      </c>
      <c r="Y40" s="3">
        <v>8.4580000000000002</v>
      </c>
      <c r="Z40" s="3"/>
      <c r="AA40" s="3"/>
      <c r="AB40" s="3"/>
      <c r="AC40" s="3"/>
    </row>
    <row r="41" spans="2:29" s="95" customFormat="1" ht="12.75" customHeight="1" x14ac:dyDescent="0.25">
      <c r="B41" s="5"/>
      <c r="C41" s="96"/>
      <c r="D41" s="98"/>
      <c r="E41" s="98"/>
      <c r="F41" s="98"/>
      <c r="X41" s="2" t="s">
        <v>66</v>
      </c>
      <c r="Y41" s="3">
        <v>0.62849999999999995</v>
      </c>
      <c r="Z41" s="3"/>
      <c r="AA41" s="3"/>
      <c r="AB41" s="3"/>
      <c r="AC41" s="3"/>
    </row>
    <row r="42" spans="2:29" s="95" customFormat="1" ht="12.75" customHeight="1" x14ac:dyDescent="0.25">
      <c r="B42" s="5"/>
      <c r="C42" s="96"/>
      <c r="D42" s="98"/>
      <c r="E42" s="98"/>
      <c r="F42" s="98"/>
      <c r="X42" s="2"/>
      <c r="Y42" s="3"/>
      <c r="Z42" s="3"/>
      <c r="AA42" s="3"/>
      <c r="AB42" s="3"/>
      <c r="AC42" s="3"/>
    </row>
    <row r="43" spans="2:29" s="95" customFormat="1" ht="12.75" customHeight="1" x14ac:dyDescent="0.25">
      <c r="B43" s="5"/>
      <c r="C43" s="96"/>
      <c r="D43" s="98"/>
      <c r="E43" s="98"/>
      <c r="F43" s="98"/>
      <c r="X43" s="2" t="s">
        <v>405</v>
      </c>
      <c r="Y43" s="3"/>
      <c r="Z43" s="3"/>
      <c r="AA43" s="3"/>
      <c r="AB43" s="3"/>
      <c r="AC43" s="3"/>
    </row>
    <row r="44" spans="2:29" s="95" customFormat="1" ht="12.75" customHeight="1" x14ac:dyDescent="0.25">
      <c r="B44" s="5"/>
      <c r="C44" s="96"/>
      <c r="D44" s="98"/>
      <c r="E44" s="98"/>
      <c r="F44" s="98"/>
      <c r="X44" s="2" t="s">
        <v>406</v>
      </c>
      <c r="Y44" s="3">
        <v>6.0250000000000004</v>
      </c>
      <c r="Z44" s="3"/>
      <c r="AA44" s="3"/>
      <c r="AB44" s="3"/>
      <c r="AC44" s="3"/>
    </row>
    <row r="45" spans="2:29" s="95" customFormat="1" ht="12.75" customHeight="1" x14ac:dyDescent="0.25">
      <c r="B45" s="5"/>
      <c r="C45" s="96"/>
      <c r="D45" s="98"/>
      <c r="E45" s="98"/>
      <c r="F45" s="98"/>
      <c r="X45" s="2" t="s">
        <v>47</v>
      </c>
      <c r="Y45" s="3">
        <v>0.1973</v>
      </c>
      <c r="Z45" s="3"/>
      <c r="AA45" s="3"/>
      <c r="AB45" s="3"/>
      <c r="AC45" s="3"/>
    </row>
    <row r="46" spans="2:29" s="95" customFormat="1" ht="12.75" customHeight="1" x14ac:dyDescent="0.25">
      <c r="B46" s="5"/>
      <c r="C46" s="96"/>
      <c r="D46" s="98"/>
      <c r="E46" s="98"/>
      <c r="F46" s="98"/>
      <c r="X46" s="2" t="s">
        <v>49</v>
      </c>
      <c r="Y46" s="3" t="s">
        <v>203</v>
      </c>
      <c r="Z46" s="3"/>
      <c r="AA46" s="3"/>
      <c r="AB46" s="3"/>
      <c r="AC46" s="3"/>
    </row>
    <row r="47" spans="2:29" s="95" customFormat="1" ht="12.75" customHeight="1" x14ac:dyDescent="0.25">
      <c r="B47" s="5"/>
      <c r="C47" s="96"/>
      <c r="D47" s="98"/>
      <c r="E47" s="98"/>
      <c r="F47" s="98"/>
      <c r="X47" s="2" t="s">
        <v>407</v>
      </c>
      <c r="Y47" s="3" t="s">
        <v>204</v>
      </c>
      <c r="Z47" s="3"/>
      <c r="AA47" s="3"/>
      <c r="AB47" s="3"/>
      <c r="AC47" s="3"/>
    </row>
    <row r="48" spans="2:29" s="95" customFormat="1" ht="12.75" customHeight="1" x14ac:dyDescent="0.25">
      <c r="B48" s="5"/>
      <c r="C48" s="96"/>
      <c r="D48" s="98"/>
      <c r="E48" s="98"/>
      <c r="F48" s="98"/>
      <c r="X48" s="2"/>
      <c r="Y48" s="3"/>
      <c r="Z48" s="3"/>
      <c r="AA48" s="3"/>
      <c r="AB48" s="3"/>
      <c r="AC48" s="3"/>
    </row>
    <row r="49" spans="2:29" s="95" customFormat="1" ht="12.75" customHeight="1" x14ac:dyDescent="0.25">
      <c r="B49" s="5"/>
      <c r="C49" s="96"/>
      <c r="D49" s="98"/>
      <c r="E49" s="98"/>
      <c r="F49" s="98"/>
      <c r="X49" s="2" t="s">
        <v>408</v>
      </c>
      <c r="Y49" s="3" t="s">
        <v>409</v>
      </c>
      <c r="Z49" s="3" t="s">
        <v>143</v>
      </c>
      <c r="AA49" s="3" t="s">
        <v>410</v>
      </c>
      <c r="AB49" s="3"/>
      <c r="AC49" s="3"/>
    </row>
    <row r="50" spans="2:29" s="95" customFormat="1" ht="12.75" customHeight="1" x14ac:dyDescent="0.25">
      <c r="B50" s="5"/>
      <c r="C50" s="96"/>
      <c r="D50" s="98"/>
      <c r="E50" s="98"/>
      <c r="F50" s="98"/>
      <c r="X50" s="2" t="s">
        <v>411</v>
      </c>
      <c r="Y50" s="3">
        <v>141.6</v>
      </c>
      <c r="Z50" s="3">
        <v>4</v>
      </c>
      <c r="AA50" s="3">
        <v>35.4</v>
      </c>
      <c r="AB50" s="3"/>
      <c r="AC50" s="3"/>
    </row>
    <row r="51" spans="2:29" s="95" customFormat="1" ht="12.75" customHeight="1" x14ac:dyDescent="0.25">
      <c r="B51" s="5"/>
      <c r="C51" s="96"/>
      <c r="D51" s="98"/>
      <c r="E51" s="98"/>
      <c r="F51" s="98"/>
      <c r="X51" s="2" t="s">
        <v>412</v>
      </c>
      <c r="Y51" s="3">
        <v>83.72</v>
      </c>
      <c r="Z51" s="3">
        <v>20</v>
      </c>
      <c r="AA51" s="3">
        <v>4.1859999999999999</v>
      </c>
      <c r="AB51" s="3"/>
      <c r="AC51" s="3"/>
    </row>
    <row r="52" spans="2:29" s="95" customFormat="1" ht="12.75" customHeight="1" x14ac:dyDescent="0.25">
      <c r="B52" s="5"/>
      <c r="C52" s="96"/>
      <c r="D52" s="98"/>
      <c r="E52" s="98"/>
      <c r="F52" s="98"/>
      <c r="X52" s="2" t="s">
        <v>413</v>
      </c>
      <c r="Y52" s="3">
        <v>225.3</v>
      </c>
      <c r="Z52" s="3">
        <v>24</v>
      </c>
      <c r="AA52" s="3"/>
      <c r="AB52" s="3"/>
      <c r="AC52" s="3"/>
    </row>
    <row r="53" spans="2:29" s="95" customFormat="1" ht="12.75" customHeight="1" x14ac:dyDescent="0.25">
      <c r="B53" s="5"/>
      <c r="C53" s="96"/>
      <c r="D53" s="98"/>
      <c r="E53" s="98"/>
      <c r="F53" s="98"/>
      <c r="X53" s="2"/>
      <c r="Y53" s="3"/>
      <c r="Z53" s="3"/>
      <c r="AA53" s="3"/>
      <c r="AB53" s="3"/>
      <c r="AC53" s="3"/>
    </row>
    <row r="54" spans="2:29" s="95" customFormat="1" ht="12.75" customHeight="1" x14ac:dyDescent="0.25">
      <c r="B54" s="5"/>
      <c r="C54" s="96"/>
      <c r="D54" s="98"/>
      <c r="E54" s="98"/>
      <c r="F54" s="98"/>
      <c r="X54" s="2" t="s">
        <v>414</v>
      </c>
      <c r="Y54" s="3" t="s">
        <v>415</v>
      </c>
      <c r="Z54" s="3" t="s">
        <v>416</v>
      </c>
      <c r="AA54" s="3" t="s">
        <v>417</v>
      </c>
      <c r="AB54" s="3" t="s">
        <v>418</v>
      </c>
      <c r="AC54" s="3" t="s">
        <v>419</v>
      </c>
    </row>
    <row r="55" spans="2:29" s="95" customFormat="1" ht="12.75" customHeight="1" x14ac:dyDescent="0.25">
      <c r="B55" s="5"/>
      <c r="C55" s="96"/>
      <c r="D55" s="98"/>
      <c r="E55" s="98"/>
      <c r="F55" s="98"/>
      <c r="X55" s="2" t="s">
        <v>430</v>
      </c>
      <c r="Y55" s="3">
        <v>-7.0179999999999998</v>
      </c>
      <c r="Z55" s="3">
        <v>5.4240000000000004</v>
      </c>
      <c r="AA55" s="3" t="s">
        <v>52</v>
      </c>
      <c r="AB55" s="3" t="s">
        <v>50</v>
      </c>
      <c r="AC55" s="3" t="s">
        <v>1369</v>
      </c>
    </row>
    <row r="56" spans="2:29" s="95" customFormat="1" ht="12.75" customHeight="1" x14ac:dyDescent="0.3">
      <c r="B56" s="5"/>
      <c r="C56" s="96"/>
      <c r="D56" s="98"/>
      <c r="E56" s="98"/>
      <c r="F56" s="98"/>
      <c r="X56" s="7" t="s">
        <v>422</v>
      </c>
      <c r="Y56" s="8">
        <v>-4.37</v>
      </c>
      <c r="Z56" s="8">
        <v>3.3769999999999998</v>
      </c>
      <c r="AA56" s="8" t="s">
        <v>52</v>
      </c>
      <c r="AB56" s="8" t="s">
        <v>332</v>
      </c>
      <c r="AC56" s="8" t="s">
        <v>1370</v>
      </c>
    </row>
    <row r="57" spans="2:29" s="95" customFormat="1" ht="12.75" customHeight="1" x14ac:dyDescent="0.25">
      <c r="B57" s="5"/>
      <c r="C57" s="96"/>
      <c r="D57" s="98"/>
      <c r="E57" s="98"/>
      <c r="F57" s="98"/>
      <c r="X57" s="2" t="s">
        <v>1364</v>
      </c>
      <c r="Y57" s="3">
        <v>-1.8759999999999999</v>
      </c>
      <c r="Z57" s="3">
        <v>1.45</v>
      </c>
      <c r="AA57" s="3" t="s">
        <v>204</v>
      </c>
      <c r="AB57" s="3" t="s">
        <v>203</v>
      </c>
      <c r="AC57" s="3" t="s">
        <v>1371</v>
      </c>
    </row>
    <row r="58" spans="2:29" s="95" customFormat="1" ht="12.75" customHeight="1" x14ac:dyDescent="0.3">
      <c r="B58" s="5"/>
      <c r="C58" s="96"/>
      <c r="D58" s="98"/>
      <c r="E58" s="98"/>
      <c r="F58" s="98"/>
      <c r="X58" s="7" t="s">
        <v>1366</v>
      </c>
      <c r="Y58" s="8">
        <v>-4.056</v>
      </c>
      <c r="Z58" s="8">
        <v>3.1349999999999998</v>
      </c>
      <c r="AA58" s="8" t="s">
        <v>52</v>
      </c>
      <c r="AB58" s="8" t="s">
        <v>332</v>
      </c>
      <c r="AC58" s="8" t="s">
        <v>1372</v>
      </c>
    </row>
    <row r="59" spans="2:29" s="95" customFormat="1" ht="12.75" customHeight="1" x14ac:dyDescent="0.25">
      <c r="B59" s="5"/>
      <c r="C59" s="96"/>
      <c r="D59" s="98"/>
      <c r="E59" s="98"/>
      <c r="F59" s="98"/>
    </row>
    <row r="60" spans="2:29" s="95" customFormat="1" ht="12.75" customHeight="1" x14ac:dyDescent="0.25">
      <c r="B60" s="5"/>
      <c r="C60" s="96"/>
      <c r="D60" s="98"/>
      <c r="E60" s="98"/>
      <c r="F60" s="98"/>
    </row>
    <row r="61" spans="2:29" s="95" customFormat="1" ht="12.75" customHeight="1" x14ac:dyDescent="0.25">
      <c r="B61" s="5"/>
      <c r="C61" s="96"/>
      <c r="D61" s="98"/>
      <c r="E61" s="98"/>
      <c r="F61" s="98"/>
    </row>
    <row r="62" spans="2:29" s="95" customFormat="1" ht="12.75" customHeight="1" x14ac:dyDescent="0.25">
      <c r="B62" s="5"/>
      <c r="C62" s="96"/>
      <c r="D62" s="98"/>
      <c r="E62" s="98"/>
      <c r="F62" s="98"/>
    </row>
    <row r="63" spans="2:29" s="95" customFormat="1" ht="12.75" customHeight="1" x14ac:dyDescent="0.25">
      <c r="B63" s="5"/>
      <c r="C63" s="96"/>
      <c r="D63" s="98"/>
      <c r="E63" s="98"/>
      <c r="F63" s="98"/>
    </row>
    <row r="64" spans="2:29" s="95" customFormat="1" ht="12.75" customHeight="1" x14ac:dyDescent="0.25">
      <c r="B64" s="5"/>
      <c r="C64" s="96"/>
      <c r="D64" s="98"/>
      <c r="E64" s="98"/>
      <c r="F64" s="98"/>
    </row>
    <row r="65" spans="2:6" s="95" customFormat="1" ht="12.75" customHeight="1" x14ac:dyDescent="0.25">
      <c r="B65" s="5"/>
      <c r="C65" s="96"/>
      <c r="D65" s="98"/>
      <c r="E65" s="98"/>
      <c r="F65" s="98"/>
    </row>
    <row r="66" spans="2:6" s="95" customFormat="1" ht="12.75" customHeight="1" x14ac:dyDescent="0.25">
      <c r="B66" s="5"/>
      <c r="C66" s="96"/>
      <c r="D66" s="98"/>
      <c r="E66" s="98"/>
      <c r="F66" s="98"/>
    </row>
    <row r="67" spans="2:6" s="95" customFormat="1" ht="12.75" customHeight="1" x14ac:dyDescent="0.25">
      <c r="B67" s="5"/>
      <c r="C67" s="96"/>
      <c r="D67" s="98"/>
      <c r="E67" s="98"/>
      <c r="F67" s="98"/>
    </row>
    <row r="68" spans="2:6" s="95" customFormat="1" ht="12.75" customHeight="1" x14ac:dyDescent="0.25">
      <c r="B68" s="5"/>
      <c r="C68" s="96"/>
      <c r="D68" s="98"/>
      <c r="E68" s="98"/>
      <c r="F68" s="98"/>
    </row>
    <row r="69" spans="2:6" s="95" customFormat="1" ht="12.5" x14ac:dyDescent="0.25">
      <c r="B69" s="5"/>
      <c r="C69" s="96"/>
      <c r="D69" s="98"/>
      <c r="E69" s="98"/>
      <c r="F69" s="98"/>
    </row>
    <row r="70" spans="2:6" s="95" customFormat="1" ht="12.5" x14ac:dyDescent="0.25">
      <c r="B70" s="5"/>
      <c r="C70" s="96"/>
      <c r="D70" s="98"/>
      <c r="E70" s="98"/>
      <c r="F70" s="98"/>
    </row>
    <row r="71" spans="2:6" s="95" customFormat="1" ht="12.5" x14ac:dyDescent="0.25">
      <c r="B71" s="5"/>
      <c r="C71" s="96"/>
      <c r="D71" s="98"/>
      <c r="E71" s="98"/>
      <c r="F71" s="98"/>
    </row>
  </sheetData>
  <mergeCells count="14">
    <mergeCell ref="B16:B20"/>
    <mergeCell ref="B21:B25"/>
    <mergeCell ref="B26:B30"/>
    <mergeCell ref="E4:F4"/>
    <mergeCell ref="G4:H4"/>
    <mergeCell ref="S4:T4"/>
    <mergeCell ref="U4:V4"/>
    <mergeCell ref="Q4:R4"/>
    <mergeCell ref="B6:B10"/>
    <mergeCell ref="B11:B15"/>
    <mergeCell ref="I4:J4"/>
    <mergeCell ref="K4:L4"/>
    <mergeCell ref="M4:N4"/>
    <mergeCell ref="O4:P4"/>
  </mergeCells>
  <phoneticPr fontId="3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976D-131A-4DC7-9D35-AEFF5F4C2FB9}">
  <dimension ref="A1:CK102"/>
  <sheetViews>
    <sheetView zoomScale="90" zoomScaleNormal="90" workbookViewId="0">
      <selection activeCell="AA32" sqref="AA32"/>
    </sheetView>
  </sheetViews>
  <sheetFormatPr defaultColWidth="7.5" defaultRowHeight="14" x14ac:dyDescent="0.45"/>
  <cols>
    <col min="1" max="2" width="7.5" style="83"/>
    <col min="3" max="4" width="7.5" style="84"/>
    <col min="5" max="5" width="10" style="84" customWidth="1"/>
    <col min="6" max="6" width="8.75" style="84" customWidth="1"/>
    <col min="7" max="7" width="11.25" style="84" customWidth="1"/>
    <col min="8" max="8" width="11.25" style="84" hidden="1" customWidth="1"/>
    <col min="9" max="9" width="11.25" style="85" customWidth="1"/>
    <col min="10" max="10" width="10" style="85" customWidth="1"/>
    <col min="11" max="11" width="11.25" style="86" customWidth="1"/>
    <col min="12" max="12" width="13.75" style="87" hidden="1" customWidth="1"/>
    <col min="13" max="13" width="13.75" style="86" hidden="1" customWidth="1"/>
    <col min="14" max="15" width="13.75" style="87" hidden="1" customWidth="1"/>
    <col min="16" max="16" width="7.5" style="88" hidden="1" customWidth="1"/>
    <col min="17" max="17" width="13.75" style="84" hidden="1" customWidth="1"/>
    <col min="18" max="18" width="9.58203125" style="83" bestFit="1" customWidth="1"/>
    <col min="19" max="20" width="8.5" style="83" bestFit="1" customWidth="1"/>
    <col min="21" max="21" width="9.08203125" style="83" bestFit="1" customWidth="1"/>
    <col min="22" max="22" width="8.5" style="83" bestFit="1" customWidth="1"/>
    <col min="23" max="16384" width="7.5" style="83"/>
  </cols>
  <sheetData>
    <row r="1" spans="1:89" ht="15" customHeight="1" x14ac:dyDescent="0.45"/>
    <row r="2" spans="1:89" s="191" customFormat="1" ht="15" customHeight="1" x14ac:dyDescent="0.45">
      <c r="C2" s="100" t="s">
        <v>1210</v>
      </c>
      <c r="D2" s="223"/>
      <c r="E2" s="223"/>
      <c r="F2" s="223"/>
      <c r="G2" s="223"/>
      <c r="H2" s="223"/>
      <c r="I2" s="224"/>
      <c r="J2" s="224"/>
      <c r="K2" s="225"/>
      <c r="L2" s="226"/>
      <c r="M2" s="225"/>
      <c r="N2" s="226"/>
      <c r="O2" s="226"/>
      <c r="P2" s="227"/>
      <c r="Q2" s="223"/>
    </row>
    <row r="3" spans="1:89" s="191" customFormat="1" ht="15" customHeight="1" x14ac:dyDescent="0.45">
      <c r="C3" s="223"/>
      <c r="D3" s="223"/>
      <c r="E3" s="223"/>
      <c r="F3" s="223"/>
      <c r="G3" s="223"/>
      <c r="H3" s="223"/>
      <c r="I3" s="224"/>
      <c r="J3" s="224"/>
      <c r="K3" s="225"/>
      <c r="L3" s="226"/>
      <c r="M3" s="225"/>
      <c r="N3" s="226"/>
      <c r="O3" s="226"/>
      <c r="P3" s="227"/>
      <c r="Q3" s="223"/>
    </row>
    <row r="4" spans="1:89" s="190" customFormat="1" ht="15" customHeight="1" x14ac:dyDescent="0.45">
      <c r="A4" s="185"/>
      <c r="B4" s="185"/>
      <c r="C4" s="186" t="s">
        <v>1095</v>
      </c>
      <c r="D4" s="187" t="s">
        <v>1096</v>
      </c>
      <c r="E4" s="187" t="s">
        <v>1097</v>
      </c>
      <c r="F4" s="187" t="s">
        <v>1098</v>
      </c>
      <c r="G4" s="187" t="s">
        <v>1099</v>
      </c>
      <c r="H4" s="187" t="s">
        <v>1100</v>
      </c>
      <c r="I4" s="187" t="s">
        <v>1101</v>
      </c>
      <c r="J4" s="187" t="s">
        <v>1102</v>
      </c>
      <c r="K4" s="188" t="s">
        <v>1103</v>
      </c>
      <c r="L4" s="189" t="s">
        <v>1104</v>
      </c>
      <c r="M4" s="189" t="s">
        <v>1105</v>
      </c>
      <c r="N4" s="189" t="s">
        <v>1106</v>
      </c>
      <c r="O4" s="189" t="s">
        <v>1107</v>
      </c>
      <c r="P4" s="189" t="s">
        <v>1108</v>
      </c>
      <c r="Q4" s="189" t="s">
        <v>1109</v>
      </c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</row>
    <row r="5" spans="1:89" s="200" customFormat="1" ht="15" customHeight="1" x14ac:dyDescent="0.45">
      <c r="A5" s="191"/>
      <c r="B5" s="392" t="s">
        <v>1413</v>
      </c>
      <c r="C5" s="192" t="s">
        <v>1110</v>
      </c>
      <c r="D5" s="193" t="s">
        <v>1111</v>
      </c>
      <c r="E5" s="193" t="s">
        <v>1112</v>
      </c>
      <c r="F5" s="193" t="s">
        <v>1113</v>
      </c>
      <c r="G5" s="193" t="s">
        <v>1112</v>
      </c>
      <c r="H5" s="193" t="s">
        <v>1112</v>
      </c>
      <c r="I5" s="194">
        <v>32.968143316742001</v>
      </c>
      <c r="J5" s="194">
        <v>32.968143316742001</v>
      </c>
      <c r="K5" s="195">
        <v>0</v>
      </c>
      <c r="L5" s="196"/>
      <c r="M5" s="197"/>
      <c r="N5" s="196"/>
      <c r="O5" s="196">
        <v>0</v>
      </c>
      <c r="P5" s="198">
        <v>60</v>
      </c>
      <c r="Q5" s="193" t="s">
        <v>1112</v>
      </c>
      <c r="R5" s="199">
        <f>AVERAGE(I5:I6)</f>
        <v>32.961676498612199</v>
      </c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</row>
    <row r="6" spans="1:89" s="200" customFormat="1" ht="15" customHeight="1" x14ac:dyDescent="0.45">
      <c r="A6" s="191"/>
      <c r="B6" s="393"/>
      <c r="C6" s="192" t="s">
        <v>1114</v>
      </c>
      <c r="D6" s="193" t="s">
        <v>1111</v>
      </c>
      <c r="E6" s="193" t="s">
        <v>1112</v>
      </c>
      <c r="F6" s="193" t="s">
        <v>1113</v>
      </c>
      <c r="G6" s="193" t="s">
        <v>1112</v>
      </c>
      <c r="H6" s="193" t="s">
        <v>1112</v>
      </c>
      <c r="I6" s="194">
        <v>32.955209680482398</v>
      </c>
      <c r="J6" s="194">
        <v>32.955209680482398</v>
      </c>
      <c r="K6" s="195">
        <v>0</v>
      </c>
      <c r="L6" s="196"/>
      <c r="M6" s="197"/>
      <c r="N6" s="196"/>
      <c r="O6" s="196">
        <v>0</v>
      </c>
      <c r="P6" s="198">
        <v>60</v>
      </c>
      <c r="Q6" s="193" t="s">
        <v>1112</v>
      </c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</row>
    <row r="7" spans="1:89" s="200" customFormat="1" ht="15" customHeight="1" x14ac:dyDescent="0.45">
      <c r="A7" s="191"/>
      <c r="B7" s="393"/>
      <c r="C7" s="192" t="s">
        <v>1115</v>
      </c>
      <c r="D7" s="193" t="s">
        <v>1111</v>
      </c>
      <c r="E7" s="193" t="s">
        <v>1112</v>
      </c>
      <c r="F7" s="193" t="s">
        <v>1113</v>
      </c>
      <c r="G7" s="193" t="s">
        <v>1112</v>
      </c>
      <c r="H7" s="193" t="s">
        <v>1112</v>
      </c>
      <c r="I7" s="194">
        <v>27.630607940052101</v>
      </c>
      <c r="J7" s="194">
        <v>27.630607940052101</v>
      </c>
      <c r="K7" s="195">
        <v>0</v>
      </c>
      <c r="L7" s="196"/>
      <c r="M7" s="197"/>
      <c r="N7" s="196"/>
      <c r="O7" s="196">
        <v>0</v>
      </c>
      <c r="P7" s="198">
        <v>60</v>
      </c>
      <c r="Q7" s="193" t="s">
        <v>1112</v>
      </c>
      <c r="R7" s="199">
        <f>AVERAGE(I7:I8)</f>
        <v>27.58968770485945</v>
      </c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</row>
    <row r="8" spans="1:89" s="200" customFormat="1" ht="15" customHeight="1" x14ac:dyDescent="0.45">
      <c r="A8" s="191"/>
      <c r="B8" s="393"/>
      <c r="C8" s="192" t="s">
        <v>1116</v>
      </c>
      <c r="D8" s="193" t="s">
        <v>1111</v>
      </c>
      <c r="E8" s="193" t="s">
        <v>1112</v>
      </c>
      <c r="F8" s="193" t="s">
        <v>1113</v>
      </c>
      <c r="G8" s="193" t="s">
        <v>1112</v>
      </c>
      <c r="H8" s="193" t="s">
        <v>1112</v>
      </c>
      <c r="I8" s="194">
        <v>27.548767469666799</v>
      </c>
      <c r="J8" s="194">
        <v>27.548767469666799</v>
      </c>
      <c r="K8" s="195">
        <v>0</v>
      </c>
      <c r="L8" s="196"/>
      <c r="M8" s="197"/>
      <c r="N8" s="196"/>
      <c r="O8" s="196">
        <v>0</v>
      </c>
      <c r="P8" s="198">
        <v>60</v>
      </c>
      <c r="Q8" s="193" t="s">
        <v>1112</v>
      </c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</row>
    <row r="9" spans="1:89" s="200" customFormat="1" ht="15" customHeight="1" x14ac:dyDescent="0.45">
      <c r="A9" s="191"/>
      <c r="B9" s="393"/>
      <c r="C9" s="192" t="s">
        <v>1117</v>
      </c>
      <c r="D9" s="193" t="s">
        <v>1111</v>
      </c>
      <c r="E9" s="193" t="s">
        <v>1112</v>
      </c>
      <c r="F9" s="193" t="s">
        <v>1113</v>
      </c>
      <c r="G9" s="193" t="s">
        <v>1112</v>
      </c>
      <c r="H9" s="193" t="s">
        <v>1112</v>
      </c>
      <c r="I9" s="194">
        <v>26.533542962548601</v>
      </c>
      <c r="J9" s="194">
        <v>26.533542962548601</v>
      </c>
      <c r="K9" s="195">
        <v>0</v>
      </c>
      <c r="L9" s="196"/>
      <c r="M9" s="197"/>
      <c r="N9" s="196"/>
      <c r="O9" s="196">
        <v>0</v>
      </c>
      <c r="P9" s="198">
        <v>60</v>
      </c>
      <c r="Q9" s="193" t="s">
        <v>1112</v>
      </c>
      <c r="R9" s="199">
        <f>AVERAGE(I9:I10)</f>
        <v>26.620332505005749</v>
      </c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</row>
    <row r="10" spans="1:89" s="200" customFormat="1" ht="15" customHeight="1" x14ac:dyDescent="0.45">
      <c r="A10" s="191"/>
      <c r="B10" s="393"/>
      <c r="C10" s="192" t="s">
        <v>1118</v>
      </c>
      <c r="D10" s="193" t="s">
        <v>1111</v>
      </c>
      <c r="E10" s="193" t="s">
        <v>1112</v>
      </c>
      <c r="F10" s="193" t="s">
        <v>1113</v>
      </c>
      <c r="G10" s="193" t="s">
        <v>1112</v>
      </c>
      <c r="H10" s="193" t="s">
        <v>1112</v>
      </c>
      <c r="I10" s="194">
        <v>26.707122047462899</v>
      </c>
      <c r="J10" s="194">
        <v>26.707122047462899</v>
      </c>
      <c r="K10" s="195">
        <v>0</v>
      </c>
      <c r="L10" s="196"/>
      <c r="M10" s="197"/>
      <c r="N10" s="196"/>
      <c r="O10" s="196">
        <v>0</v>
      </c>
      <c r="P10" s="198">
        <v>60</v>
      </c>
      <c r="Q10" s="193" t="s">
        <v>1112</v>
      </c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</row>
    <row r="11" spans="1:89" s="200" customFormat="1" ht="15" customHeight="1" x14ac:dyDescent="0.45">
      <c r="A11" s="191"/>
      <c r="B11" s="393"/>
      <c r="C11" s="192" t="s">
        <v>1119</v>
      </c>
      <c r="D11" s="193" t="s">
        <v>1111</v>
      </c>
      <c r="E11" s="193" t="s">
        <v>1112</v>
      </c>
      <c r="F11" s="193" t="s">
        <v>1113</v>
      </c>
      <c r="G11" s="193" t="s">
        <v>1112</v>
      </c>
      <c r="H11" s="193" t="s">
        <v>1112</v>
      </c>
      <c r="I11" s="194">
        <v>27.631898584629099</v>
      </c>
      <c r="J11" s="194">
        <v>27.631898584629099</v>
      </c>
      <c r="K11" s="195">
        <v>0</v>
      </c>
      <c r="L11" s="196"/>
      <c r="M11" s="197"/>
      <c r="N11" s="196"/>
      <c r="O11" s="196">
        <v>0</v>
      </c>
      <c r="P11" s="198">
        <v>60</v>
      </c>
      <c r="Q11" s="193" t="s">
        <v>1112</v>
      </c>
      <c r="R11" s="199">
        <f>AVERAGE(I11:I12)</f>
        <v>27.61005007740745</v>
      </c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</row>
    <row r="12" spans="1:89" s="200" customFormat="1" ht="15" customHeight="1" x14ac:dyDescent="0.45">
      <c r="A12" s="191"/>
      <c r="B12" s="393"/>
      <c r="C12" s="192" t="s">
        <v>1120</v>
      </c>
      <c r="D12" s="193" t="s">
        <v>1111</v>
      </c>
      <c r="E12" s="193" t="s">
        <v>1112</v>
      </c>
      <c r="F12" s="193" t="s">
        <v>1113</v>
      </c>
      <c r="G12" s="193" t="s">
        <v>1112</v>
      </c>
      <c r="H12" s="193" t="s">
        <v>1112</v>
      </c>
      <c r="I12" s="194">
        <v>27.588201570185799</v>
      </c>
      <c r="J12" s="194">
        <v>27.588201570185799</v>
      </c>
      <c r="K12" s="195">
        <v>0</v>
      </c>
      <c r="L12" s="196"/>
      <c r="M12" s="197"/>
      <c r="N12" s="196"/>
      <c r="O12" s="196">
        <v>0</v>
      </c>
      <c r="P12" s="198">
        <v>60</v>
      </c>
      <c r="Q12" s="193" t="s">
        <v>1112</v>
      </c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</row>
    <row r="13" spans="1:89" s="200" customFormat="1" ht="15" customHeight="1" x14ac:dyDescent="0.45">
      <c r="A13" s="191"/>
      <c r="B13" s="393"/>
      <c r="C13" s="192" t="s">
        <v>1121</v>
      </c>
      <c r="D13" s="193" t="s">
        <v>1111</v>
      </c>
      <c r="E13" s="193" t="s">
        <v>1112</v>
      </c>
      <c r="F13" s="193" t="s">
        <v>1113</v>
      </c>
      <c r="G13" s="193" t="s">
        <v>1112</v>
      </c>
      <c r="H13" s="193" t="s">
        <v>1112</v>
      </c>
      <c r="I13" s="194">
        <v>29.473941114631401</v>
      </c>
      <c r="J13" s="194">
        <v>29.473941114631401</v>
      </c>
      <c r="K13" s="195">
        <v>0</v>
      </c>
      <c r="L13" s="196"/>
      <c r="M13" s="197"/>
      <c r="N13" s="196"/>
      <c r="O13" s="196">
        <v>0</v>
      </c>
      <c r="P13" s="198">
        <v>60</v>
      </c>
      <c r="Q13" s="193" t="s">
        <v>1112</v>
      </c>
      <c r="R13" s="199">
        <f>AVERAGE(I13:I14)</f>
        <v>29.381621760787802</v>
      </c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</row>
    <row r="14" spans="1:89" s="200" customFormat="1" ht="15" customHeight="1" x14ac:dyDescent="0.45">
      <c r="A14" s="191"/>
      <c r="B14" s="393"/>
      <c r="C14" s="192" t="s">
        <v>1122</v>
      </c>
      <c r="D14" s="193" t="s">
        <v>1111</v>
      </c>
      <c r="E14" s="193" t="s">
        <v>1112</v>
      </c>
      <c r="F14" s="193" t="s">
        <v>1113</v>
      </c>
      <c r="G14" s="193" t="s">
        <v>1112</v>
      </c>
      <c r="H14" s="193" t="s">
        <v>1112</v>
      </c>
      <c r="I14" s="194">
        <v>29.289302406944199</v>
      </c>
      <c r="J14" s="194">
        <v>29.289302406944199</v>
      </c>
      <c r="K14" s="195">
        <v>0</v>
      </c>
      <c r="L14" s="196"/>
      <c r="M14" s="197"/>
      <c r="N14" s="196"/>
      <c r="O14" s="196">
        <v>0</v>
      </c>
      <c r="P14" s="198">
        <v>60</v>
      </c>
      <c r="Q14" s="193" t="s">
        <v>1112</v>
      </c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</row>
    <row r="15" spans="1:89" s="200" customFormat="1" ht="15" customHeight="1" x14ac:dyDescent="0.45">
      <c r="A15" s="191"/>
      <c r="B15" s="393"/>
      <c r="C15" s="192" t="s">
        <v>1123</v>
      </c>
      <c r="D15" s="193" t="s">
        <v>1111</v>
      </c>
      <c r="E15" s="193" t="s">
        <v>1112</v>
      </c>
      <c r="F15" s="193" t="s">
        <v>1113</v>
      </c>
      <c r="G15" s="193" t="s">
        <v>1112</v>
      </c>
      <c r="H15" s="193" t="s">
        <v>1112</v>
      </c>
      <c r="I15" s="194">
        <v>30.3483689105915</v>
      </c>
      <c r="J15" s="194">
        <v>30.3483689105915</v>
      </c>
      <c r="K15" s="195">
        <v>0</v>
      </c>
      <c r="L15" s="196"/>
      <c r="M15" s="197"/>
      <c r="N15" s="196"/>
      <c r="O15" s="196">
        <v>0</v>
      </c>
      <c r="P15" s="198">
        <v>60</v>
      </c>
      <c r="Q15" s="193" t="s">
        <v>1112</v>
      </c>
      <c r="R15" s="199">
        <f>AVERAGE(I15:I16)</f>
        <v>30.3399363592535</v>
      </c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</row>
    <row r="16" spans="1:89" s="200" customFormat="1" ht="15" customHeight="1" x14ac:dyDescent="0.45">
      <c r="A16" s="191"/>
      <c r="B16" s="393"/>
      <c r="C16" s="192" t="s">
        <v>1124</v>
      </c>
      <c r="D16" s="193" t="s">
        <v>1111</v>
      </c>
      <c r="E16" s="193" t="s">
        <v>1112</v>
      </c>
      <c r="F16" s="193" t="s">
        <v>1113</v>
      </c>
      <c r="G16" s="193" t="s">
        <v>1112</v>
      </c>
      <c r="H16" s="193" t="s">
        <v>1112</v>
      </c>
      <c r="I16" s="194">
        <v>30.331503807915499</v>
      </c>
      <c r="J16" s="194">
        <v>30.331503807915499</v>
      </c>
      <c r="K16" s="195">
        <v>0</v>
      </c>
      <c r="L16" s="196"/>
      <c r="M16" s="197"/>
      <c r="N16" s="196"/>
      <c r="O16" s="196">
        <v>0</v>
      </c>
      <c r="P16" s="198">
        <v>60</v>
      </c>
      <c r="Q16" s="193" t="s">
        <v>1112</v>
      </c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</row>
    <row r="17" spans="1:89" s="200" customFormat="1" ht="15" customHeight="1" x14ac:dyDescent="0.45">
      <c r="A17" s="191"/>
      <c r="B17" s="393"/>
      <c r="C17" s="192" t="s">
        <v>1125</v>
      </c>
      <c r="D17" s="193" t="s">
        <v>1111</v>
      </c>
      <c r="E17" s="193" t="s">
        <v>1112</v>
      </c>
      <c r="F17" s="193" t="s">
        <v>1113</v>
      </c>
      <c r="G17" s="193" t="s">
        <v>1112</v>
      </c>
      <c r="H17" s="193" t="s">
        <v>1112</v>
      </c>
      <c r="I17" s="194">
        <v>28.1435263023725</v>
      </c>
      <c r="J17" s="194">
        <v>28.1435263023725</v>
      </c>
      <c r="K17" s="195">
        <v>0</v>
      </c>
      <c r="L17" s="196"/>
      <c r="M17" s="197"/>
      <c r="N17" s="196"/>
      <c r="O17" s="196">
        <v>0</v>
      </c>
      <c r="P17" s="198">
        <v>60</v>
      </c>
      <c r="Q17" s="193" t="s">
        <v>1112</v>
      </c>
      <c r="R17" s="199">
        <f>AVERAGE(I17:I18)</f>
        <v>27.727386171153899</v>
      </c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</row>
    <row r="18" spans="1:89" s="200" customFormat="1" ht="15" customHeight="1" x14ac:dyDescent="0.45">
      <c r="A18" s="191"/>
      <c r="B18" s="393"/>
      <c r="C18" s="192" t="s">
        <v>1126</v>
      </c>
      <c r="D18" s="193" t="s">
        <v>1111</v>
      </c>
      <c r="E18" s="193" t="s">
        <v>1112</v>
      </c>
      <c r="F18" s="193" t="s">
        <v>1113</v>
      </c>
      <c r="G18" s="193" t="s">
        <v>1112</v>
      </c>
      <c r="H18" s="193" t="s">
        <v>1112</v>
      </c>
      <c r="I18" s="194">
        <v>27.311246039935298</v>
      </c>
      <c r="J18" s="194">
        <v>27.311246039935298</v>
      </c>
      <c r="K18" s="195">
        <v>0</v>
      </c>
      <c r="L18" s="196"/>
      <c r="M18" s="197"/>
      <c r="N18" s="196"/>
      <c r="O18" s="196">
        <v>0</v>
      </c>
      <c r="P18" s="198">
        <v>60</v>
      </c>
      <c r="Q18" s="193" t="s">
        <v>1112</v>
      </c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</row>
    <row r="19" spans="1:89" s="200" customFormat="1" ht="15" customHeight="1" x14ac:dyDescent="0.45">
      <c r="A19" s="191"/>
      <c r="B19" s="393"/>
      <c r="C19" s="192" t="s">
        <v>1127</v>
      </c>
      <c r="D19" s="193" t="s">
        <v>1111</v>
      </c>
      <c r="E19" s="193" t="s">
        <v>1112</v>
      </c>
      <c r="F19" s="193" t="s">
        <v>1113</v>
      </c>
      <c r="G19" s="193" t="s">
        <v>1112</v>
      </c>
      <c r="H19" s="193" t="s">
        <v>1112</v>
      </c>
      <c r="I19" s="194">
        <v>29.3009554740336</v>
      </c>
      <c r="J19" s="194">
        <v>29.3009554740336</v>
      </c>
      <c r="K19" s="195">
        <v>0</v>
      </c>
      <c r="L19" s="196"/>
      <c r="M19" s="197"/>
      <c r="N19" s="196"/>
      <c r="O19" s="196">
        <v>0</v>
      </c>
      <c r="P19" s="198">
        <v>60</v>
      </c>
      <c r="Q19" s="193" t="s">
        <v>1112</v>
      </c>
      <c r="R19" s="199">
        <f>AVERAGE(I19:I20)</f>
        <v>29.276078014886401</v>
      </c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</row>
    <row r="20" spans="1:89" s="200" customFormat="1" ht="15" customHeight="1" x14ac:dyDescent="0.45">
      <c r="A20" s="191"/>
      <c r="B20" s="393"/>
      <c r="C20" s="192" t="s">
        <v>1128</v>
      </c>
      <c r="D20" s="193" t="s">
        <v>1111</v>
      </c>
      <c r="E20" s="193" t="s">
        <v>1112</v>
      </c>
      <c r="F20" s="193" t="s">
        <v>1113</v>
      </c>
      <c r="G20" s="193" t="s">
        <v>1112</v>
      </c>
      <c r="H20" s="193" t="s">
        <v>1112</v>
      </c>
      <c r="I20" s="194">
        <v>29.251200555739199</v>
      </c>
      <c r="J20" s="194">
        <v>29.251200555739199</v>
      </c>
      <c r="K20" s="195">
        <v>0</v>
      </c>
      <c r="L20" s="196"/>
      <c r="M20" s="197"/>
      <c r="N20" s="196"/>
      <c r="O20" s="196">
        <v>0</v>
      </c>
      <c r="P20" s="198">
        <v>60</v>
      </c>
      <c r="Q20" s="193" t="s">
        <v>1112</v>
      </c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</row>
    <row r="21" spans="1:89" s="200" customFormat="1" ht="15" customHeight="1" x14ac:dyDescent="0.45">
      <c r="A21" s="191"/>
      <c r="B21" s="393"/>
      <c r="C21" s="192" t="s">
        <v>1129</v>
      </c>
      <c r="D21" s="193" t="s">
        <v>1111</v>
      </c>
      <c r="E21" s="193" t="s">
        <v>1112</v>
      </c>
      <c r="F21" s="193" t="s">
        <v>1113</v>
      </c>
      <c r="G21" s="193" t="s">
        <v>1112</v>
      </c>
      <c r="H21" s="193" t="s">
        <v>1112</v>
      </c>
      <c r="I21" s="194">
        <v>30.4545174922843</v>
      </c>
      <c r="J21" s="194">
        <v>30.4545174922843</v>
      </c>
      <c r="K21" s="195">
        <v>0</v>
      </c>
      <c r="L21" s="196"/>
      <c r="M21" s="197"/>
      <c r="N21" s="196"/>
      <c r="O21" s="196">
        <v>0</v>
      </c>
      <c r="P21" s="198">
        <v>60</v>
      </c>
      <c r="Q21" s="193" t="s">
        <v>1112</v>
      </c>
      <c r="R21" s="199">
        <f>AVERAGE(I21:I22)</f>
        <v>30.509501038168501</v>
      </c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</row>
    <row r="22" spans="1:89" s="200" customFormat="1" ht="15" customHeight="1" x14ac:dyDescent="0.45">
      <c r="A22" s="191"/>
      <c r="B22" s="393"/>
      <c r="C22" s="192" t="s">
        <v>1130</v>
      </c>
      <c r="D22" s="193" t="s">
        <v>1111</v>
      </c>
      <c r="E22" s="193" t="s">
        <v>1112</v>
      </c>
      <c r="F22" s="193" t="s">
        <v>1113</v>
      </c>
      <c r="G22" s="193" t="s">
        <v>1112</v>
      </c>
      <c r="H22" s="193" t="s">
        <v>1112</v>
      </c>
      <c r="I22" s="194">
        <v>30.5644845840527</v>
      </c>
      <c r="J22" s="194">
        <v>30.5644845840527</v>
      </c>
      <c r="K22" s="195">
        <v>0</v>
      </c>
      <c r="L22" s="196"/>
      <c r="M22" s="197"/>
      <c r="N22" s="196"/>
      <c r="O22" s="196">
        <v>0</v>
      </c>
      <c r="P22" s="198">
        <v>60</v>
      </c>
      <c r="Q22" s="193" t="s">
        <v>1112</v>
      </c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</row>
    <row r="23" spans="1:89" s="200" customFormat="1" ht="15" customHeight="1" x14ac:dyDescent="0.45">
      <c r="A23" s="191"/>
      <c r="B23" s="393"/>
      <c r="C23" s="192" t="s">
        <v>1131</v>
      </c>
      <c r="D23" s="193" t="s">
        <v>1111</v>
      </c>
      <c r="E23" s="193" t="s">
        <v>1112</v>
      </c>
      <c r="F23" s="193" t="s">
        <v>1113</v>
      </c>
      <c r="G23" s="193" t="s">
        <v>1112</v>
      </c>
      <c r="H23" s="193" t="s">
        <v>1112</v>
      </c>
      <c r="I23" s="194">
        <v>29.181572612164899</v>
      </c>
      <c r="J23" s="194">
        <v>29.181572612164899</v>
      </c>
      <c r="K23" s="195">
        <v>0</v>
      </c>
      <c r="L23" s="196"/>
      <c r="M23" s="197"/>
      <c r="N23" s="196"/>
      <c r="O23" s="196">
        <v>0</v>
      </c>
      <c r="P23" s="198">
        <v>60</v>
      </c>
      <c r="Q23" s="193" t="s">
        <v>1112</v>
      </c>
      <c r="R23" s="199">
        <f>AVERAGE(I23:I24)</f>
        <v>29.1837103466987</v>
      </c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</row>
    <row r="24" spans="1:89" s="200" customFormat="1" ht="15" customHeight="1" x14ac:dyDescent="0.45">
      <c r="A24" s="191"/>
      <c r="B24" s="393"/>
      <c r="C24" s="192" t="s">
        <v>1132</v>
      </c>
      <c r="D24" s="193" t="s">
        <v>1111</v>
      </c>
      <c r="E24" s="193" t="s">
        <v>1112</v>
      </c>
      <c r="F24" s="193" t="s">
        <v>1113</v>
      </c>
      <c r="G24" s="193" t="s">
        <v>1112</v>
      </c>
      <c r="H24" s="193" t="s">
        <v>1112</v>
      </c>
      <c r="I24" s="194">
        <v>29.1858480812325</v>
      </c>
      <c r="J24" s="194">
        <v>29.1858480812325</v>
      </c>
      <c r="K24" s="195">
        <v>0</v>
      </c>
      <c r="L24" s="196"/>
      <c r="M24" s="197"/>
      <c r="N24" s="196"/>
      <c r="O24" s="196">
        <v>0</v>
      </c>
      <c r="P24" s="198">
        <v>60</v>
      </c>
      <c r="Q24" s="193" t="s">
        <v>1112</v>
      </c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</row>
    <row r="25" spans="1:89" s="200" customFormat="1" ht="15" customHeight="1" x14ac:dyDescent="0.45">
      <c r="A25" s="191"/>
      <c r="B25" s="393"/>
      <c r="C25" s="192" t="s">
        <v>1133</v>
      </c>
      <c r="D25" s="193" t="s">
        <v>1111</v>
      </c>
      <c r="E25" s="193" t="s">
        <v>1112</v>
      </c>
      <c r="F25" s="193" t="s">
        <v>1113</v>
      </c>
      <c r="G25" s="193" t="s">
        <v>1112</v>
      </c>
      <c r="H25" s="193" t="s">
        <v>1112</v>
      </c>
      <c r="I25" s="194">
        <v>31.170123069421599</v>
      </c>
      <c r="J25" s="194">
        <v>31.170123069421599</v>
      </c>
      <c r="K25" s="195">
        <v>0</v>
      </c>
      <c r="L25" s="196"/>
      <c r="M25" s="197"/>
      <c r="N25" s="196"/>
      <c r="O25" s="196">
        <v>0</v>
      </c>
      <c r="P25" s="198">
        <v>60</v>
      </c>
      <c r="Q25" s="193" t="s">
        <v>1112</v>
      </c>
      <c r="R25" s="199">
        <f>AVERAGE(I25:I26)</f>
        <v>31.226526873176599</v>
      </c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</row>
    <row r="26" spans="1:89" s="200" customFormat="1" ht="15" customHeight="1" x14ac:dyDescent="0.45">
      <c r="A26" s="191"/>
      <c r="B26" s="393"/>
      <c r="C26" s="192" t="s">
        <v>1134</v>
      </c>
      <c r="D26" s="193" t="s">
        <v>1111</v>
      </c>
      <c r="E26" s="193" t="s">
        <v>1112</v>
      </c>
      <c r="F26" s="193" t="s">
        <v>1113</v>
      </c>
      <c r="G26" s="193" t="s">
        <v>1112</v>
      </c>
      <c r="H26" s="193" t="s">
        <v>1112</v>
      </c>
      <c r="I26" s="194">
        <v>31.282930676931599</v>
      </c>
      <c r="J26" s="194">
        <v>31.282930676931599</v>
      </c>
      <c r="K26" s="195">
        <v>0</v>
      </c>
      <c r="L26" s="196"/>
      <c r="M26" s="197"/>
      <c r="N26" s="196"/>
      <c r="O26" s="196">
        <v>0</v>
      </c>
      <c r="P26" s="198">
        <v>60</v>
      </c>
      <c r="Q26" s="193" t="s">
        <v>1112</v>
      </c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</row>
    <row r="27" spans="1:89" s="200" customFormat="1" ht="15" customHeight="1" x14ac:dyDescent="0.45">
      <c r="A27" s="191"/>
      <c r="B27" s="393"/>
      <c r="C27" s="192" t="s">
        <v>1135</v>
      </c>
      <c r="D27" s="193" t="s">
        <v>1111</v>
      </c>
      <c r="E27" s="193" t="s">
        <v>1112</v>
      </c>
      <c r="F27" s="193" t="s">
        <v>1113</v>
      </c>
      <c r="G27" s="193" t="s">
        <v>1112</v>
      </c>
      <c r="H27" s="193" t="s">
        <v>1112</v>
      </c>
      <c r="I27" s="194">
        <v>30.6950902494522</v>
      </c>
      <c r="J27" s="194">
        <v>30.6950902494522</v>
      </c>
      <c r="K27" s="195">
        <v>0</v>
      </c>
      <c r="L27" s="196"/>
      <c r="M27" s="197"/>
      <c r="N27" s="196"/>
      <c r="O27" s="196">
        <v>0</v>
      </c>
      <c r="P27" s="198">
        <v>60</v>
      </c>
      <c r="Q27" s="193" t="s">
        <v>1112</v>
      </c>
      <c r="R27" s="199">
        <f>AVERAGE(I27:I28)</f>
        <v>30.716060880516</v>
      </c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</row>
    <row r="28" spans="1:89" s="200" customFormat="1" ht="15" customHeight="1" x14ac:dyDescent="0.45">
      <c r="A28" s="191"/>
      <c r="B28" s="393"/>
      <c r="C28" s="192" t="s">
        <v>1136</v>
      </c>
      <c r="D28" s="193" t="s">
        <v>1111</v>
      </c>
      <c r="E28" s="193" t="s">
        <v>1112</v>
      </c>
      <c r="F28" s="193" t="s">
        <v>1113</v>
      </c>
      <c r="G28" s="193" t="s">
        <v>1112</v>
      </c>
      <c r="H28" s="193" t="s">
        <v>1112</v>
      </c>
      <c r="I28" s="194">
        <v>30.737031511579801</v>
      </c>
      <c r="J28" s="194">
        <v>30.737031511579801</v>
      </c>
      <c r="K28" s="195">
        <v>0</v>
      </c>
      <c r="L28" s="196"/>
      <c r="M28" s="197"/>
      <c r="N28" s="196"/>
      <c r="O28" s="196">
        <v>0</v>
      </c>
      <c r="P28" s="198">
        <v>60</v>
      </c>
      <c r="Q28" s="193" t="s">
        <v>1112</v>
      </c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</row>
    <row r="29" spans="1:89" s="200" customFormat="1" ht="15" customHeight="1" x14ac:dyDescent="0.45">
      <c r="A29" s="191"/>
      <c r="B29" s="393"/>
      <c r="C29" s="192" t="s">
        <v>1137</v>
      </c>
      <c r="D29" s="193" t="s">
        <v>1111</v>
      </c>
      <c r="E29" s="193" t="s">
        <v>1112</v>
      </c>
      <c r="F29" s="193" t="s">
        <v>1113</v>
      </c>
      <c r="G29" s="193" t="s">
        <v>1112</v>
      </c>
      <c r="H29" s="193" t="s">
        <v>1112</v>
      </c>
      <c r="I29" s="194">
        <v>31.005959347474299</v>
      </c>
      <c r="J29" s="194">
        <v>31.005959347474299</v>
      </c>
      <c r="K29" s="195">
        <v>0</v>
      </c>
      <c r="L29" s="196"/>
      <c r="M29" s="197"/>
      <c r="N29" s="196"/>
      <c r="O29" s="196">
        <v>0</v>
      </c>
      <c r="P29" s="198">
        <v>60</v>
      </c>
      <c r="Q29" s="193" t="s">
        <v>1112</v>
      </c>
      <c r="R29" s="199">
        <f>AVERAGE(I29:I30)</f>
        <v>30.890031407553099</v>
      </c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</row>
    <row r="30" spans="1:89" s="200" customFormat="1" ht="15" customHeight="1" x14ac:dyDescent="0.45">
      <c r="A30" s="191"/>
      <c r="B30" s="393"/>
      <c r="C30" s="192" t="s">
        <v>1138</v>
      </c>
      <c r="D30" s="193" t="s">
        <v>1111</v>
      </c>
      <c r="E30" s="193" t="s">
        <v>1112</v>
      </c>
      <c r="F30" s="193" t="s">
        <v>1113</v>
      </c>
      <c r="G30" s="193" t="s">
        <v>1112</v>
      </c>
      <c r="H30" s="193" t="s">
        <v>1112</v>
      </c>
      <c r="I30" s="194">
        <v>30.7741034676319</v>
      </c>
      <c r="J30" s="194">
        <v>30.7741034676319</v>
      </c>
      <c r="K30" s="195">
        <v>0</v>
      </c>
      <c r="L30" s="196"/>
      <c r="M30" s="197"/>
      <c r="N30" s="196"/>
      <c r="O30" s="196">
        <v>0</v>
      </c>
      <c r="P30" s="198">
        <v>60</v>
      </c>
      <c r="Q30" s="193" t="s">
        <v>1112</v>
      </c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</row>
    <row r="31" spans="1:89" s="200" customFormat="1" ht="15" customHeight="1" x14ac:dyDescent="0.45">
      <c r="A31" s="191"/>
      <c r="B31" s="393"/>
      <c r="C31" s="192" t="s">
        <v>1139</v>
      </c>
      <c r="D31" s="193" t="s">
        <v>1111</v>
      </c>
      <c r="E31" s="193" t="s">
        <v>1112</v>
      </c>
      <c r="F31" s="193" t="s">
        <v>1113</v>
      </c>
      <c r="G31" s="193" t="s">
        <v>1112</v>
      </c>
      <c r="H31" s="193" t="s">
        <v>1112</v>
      </c>
      <c r="I31" s="194">
        <v>30.9627526163294</v>
      </c>
      <c r="J31" s="194">
        <v>30.9627526163294</v>
      </c>
      <c r="K31" s="195">
        <v>0</v>
      </c>
      <c r="L31" s="196"/>
      <c r="M31" s="197"/>
      <c r="N31" s="196"/>
      <c r="O31" s="196">
        <v>0</v>
      </c>
      <c r="P31" s="198">
        <v>60</v>
      </c>
      <c r="Q31" s="193" t="s">
        <v>1112</v>
      </c>
      <c r="R31" s="199">
        <f>AVERAGE(I31:I32)</f>
        <v>30.986029259546449</v>
      </c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</row>
    <row r="32" spans="1:89" s="200" customFormat="1" ht="15" customHeight="1" x14ac:dyDescent="0.45">
      <c r="A32" s="191"/>
      <c r="B32" s="393"/>
      <c r="C32" s="192" t="s">
        <v>1140</v>
      </c>
      <c r="D32" s="193" t="s">
        <v>1111</v>
      </c>
      <c r="E32" s="193" t="s">
        <v>1112</v>
      </c>
      <c r="F32" s="193" t="s">
        <v>1113</v>
      </c>
      <c r="G32" s="193" t="s">
        <v>1112</v>
      </c>
      <c r="H32" s="193" t="s">
        <v>1112</v>
      </c>
      <c r="I32" s="194">
        <v>31.009305902763501</v>
      </c>
      <c r="J32" s="194">
        <v>31.009305902763501</v>
      </c>
      <c r="K32" s="195">
        <v>0</v>
      </c>
      <c r="L32" s="196"/>
      <c r="M32" s="197"/>
      <c r="N32" s="196"/>
      <c r="O32" s="196">
        <v>0</v>
      </c>
      <c r="P32" s="198">
        <v>60</v>
      </c>
      <c r="Q32" s="193" t="s">
        <v>1112</v>
      </c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</row>
    <row r="33" spans="1:89" s="200" customFormat="1" ht="15" customHeight="1" x14ac:dyDescent="0.45">
      <c r="A33" s="191"/>
      <c r="B33" s="393"/>
      <c r="C33" s="192" t="s">
        <v>1141</v>
      </c>
      <c r="D33" s="193" t="s">
        <v>1111</v>
      </c>
      <c r="E33" s="193" t="s">
        <v>1112</v>
      </c>
      <c r="F33" s="193" t="s">
        <v>1113</v>
      </c>
      <c r="G33" s="193" t="s">
        <v>1112</v>
      </c>
      <c r="H33" s="193" t="s">
        <v>1112</v>
      </c>
      <c r="I33" s="194">
        <v>30.522782431030699</v>
      </c>
      <c r="J33" s="194">
        <v>30.522782431030699</v>
      </c>
      <c r="K33" s="195">
        <v>0</v>
      </c>
      <c r="L33" s="196"/>
      <c r="M33" s="197"/>
      <c r="N33" s="196"/>
      <c r="O33" s="196">
        <v>0</v>
      </c>
      <c r="P33" s="198">
        <v>60</v>
      </c>
      <c r="Q33" s="193" t="s">
        <v>1112</v>
      </c>
      <c r="R33" s="199">
        <f>AVERAGE(I33:I34)</f>
        <v>30.69825613752295</v>
      </c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</row>
    <row r="34" spans="1:89" s="200" customFormat="1" ht="15" customHeight="1" x14ac:dyDescent="0.45">
      <c r="A34" s="191"/>
      <c r="B34" s="393"/>
      <c r="C34" s="192" t="s">
        <v>1142</v>
      </c>
      <c r="D34" s="193" t="s">
        <v>1111</v>
      </c>
      <c r="E34" s="193" t="s">
        <v>1112</v>
      </c>
      <c r="F34" s="193" t="s">
        <v>1113</v>
      </c>
      <c r="G34" s="193" t="s">
        <v>1112</v>
      </c>
      <c r="H34" s="193" t="s">
        <v>1112</v>
      </c>
      <c r="I34" s="194">
        <v>30.873729844015202</v>
      </c>
      <c r="J34" s="194">
        <v>30.873729844015202</v>
      </c>
      <c r="K34" s="195">
        <v>0</v>
      </c>
      <c r="L34" s="196"/>
      <c r="M34" s="197"/>
      <c r="N34" s="196"/>
      <c r="O34" s="196">
        <v>0</v>
      </c>
      <c r="P34" s="198">
        <v>60</v>
      </c>
      <c r="Q34" s="193" t="s">
        <v>1112</v>
      </c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</row>
    <row r="35" spans="1:89" s="200" customFormat="1" ht="15" customHeight="1" x14ac:dyDescent="0.45">
      <c r="A35" s="191"/>
      <c r="B35" s="393"/>
      <c r="C35" s="192" t="s">
        <v>1143</v>
      </c>
      <c r="D35" s="193" t="s">
        <v>1111</v>
      </c>
      <c r="E35" s="193" t="s">
        <v>1112</v>
      </c>
      <c r="F35" s="193" t="s">
        <v>1113</v>
      </c>
      <c r="G35" s="193" t="s">
        <v>1112</v>
      </c>
      <c r="H35" s="193" t="s">
        <v>1112</v>
      </c>
      <c r="I35" s="194">
        <v>29.402628852721101</v>
      </c>
      <c r="J35" s="194">
        <v>29.402628852721101</v>
      </c>
      <c r="K35" s="195">
        <v>0</v>
      </c>
      <c r="L35" s="196"/>
      <c r="M35" s="197"/>
      <c r="N35" s="196"/>
      <c r="O35" s="196">
        <v>0</v>
      </c>
      <c r="P35" s="198">
        <v>60</v>
      </c>
      <c r="Q35" s="193" t="s">
        <v>1112</v>
      </c>
      <c r="R35" s="199">
        <f>AVERAGE(I35:I36)</f>
        <v>29.30162231629285</v>
      </c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</row>
    <row r="36" spans="1:89" s="200" customFormat="1" ht="15" customHeight="1" x14ac:dyDescent="0.45">
      <c r="A36" s="191"/>
      <c r="B36" s="393"/>
      <c r="C36" s="192" t="s">
        <v>1144</v>
      </c>
      <c r="D36" s="193" t="s">
        <v>1111</v>
      </c>
      <c r="E36" s="193" t="s">
        <v>1112</v>
      </c>
      <c r="F36" s="193" t="s">
        <v>1113</v>
      </c>
      <c r="G36" s="193" t="s">
        <v>1112</v>
      </c>
      <c r="H36" s="193" t="s">
        <v>1112</v>
      </c>
      <c r="I36" s="194">
        <v>29.200615779864599</v>
      </c>
      <c r="J36" s="194">
        <v>29.200615779864599</v>
      </c>
      <c r="K36" s="195">
        <v>0</v>
      </c>
      <c r="L36" s="196"/>
      <c r="M36" s="197"/>
      <c r="N36" s="196"/>
      <c r="O36" s="196">
        <v>0</v>
      </c>
      <c r="P36" s="198">
        <v>60</v>
      </c>
      <c r="Q36" s="193" t="s">
        <v>1112</v>
      </c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</row>
    <row r="37" spans="1:89" s="200" customFormat="1" ht="15" customHeight="1" x14ac:dyDescent="0.45">
      <c r="A37" s="191"/>
      <c r="B37" s="393"/>
      <c r="C37" s="192" t="s">
        <v>1145</v>
      </c>
      <c r="D37" s="193" t="s">
        <v>1111</v>
      </c>
      <c r="E37" s="193" t="s">
        <v>1112</v>
      </c>
      <c r="F37" s="193" t="s">
        <v>1113</v>
      </c>
      <c r="G37" s="193" t="s">
        <v>1112</v>
      </c>
      <c r="H37" s="193" t="s">
        <v>1112</v>
      </c>
      <c r="I37" s="194">
        <v>29.394393153624801</v>
      </c>
      <c r="J37" s="194">
        <v>29.394393153624801</v>
      </c>
      <c r="K37" s="195">
        <v>0</v>
      </c>
      <c r="L37" s="196"/>
      <c r="M37" s="197"/>
      <c r="N37" s="196"/>
      <c r="O37" s="196">
        <v>0</v>
      </c>
      <c r="P37" s="198">
        <v>60</v>
      </c>
      <c r="Q37" s="193" t="s">
        <v>1112</v>
      </c>
      <c r="R37" s="199">
        <f>AVERAGE(I37:I38)</f>
        <v>29.435843978540852</v>
      </c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191"/>
      <c r="BF37" s="191"/>
      <c r="BG37" s="191"/>
      <c r="BH37" s="191"/>
      <c r="BI37" s="191"/>
      <c r="BJ37" s="191"/>
      <c r="BK37" s="191"/>
      <c r="BL37" s="191"/>
      <c r="BM37" s="191"/>
      <c r="BN37" s="191"/>
      <c r="BO37" s="191"/>
      <c r="BP37" s="191"/>
      <c r="BQ37" s="191"/>
      <c r="BR37" s="191"/>
      <c r="BS37" s="191"/>
      <c r="BT37" s="191"/>
      <c r="BU37" s="191"/>
      <c r="BV37" s="191"/>
      <c r="BW37" s="191"/>
      <c r="BX37" s="191"/>
      <c r="BY37" s="191"/>
      <c r="BZ37" s="191"/>
      <c r="CA37" s="191"/>
      <c r="CB37" s="191"/>
      <c r="CC37" s="191"/>
      <c r="CD37" s="191"/>
      <c r="CE37" s="191"/>
      <c r="CF37" s="191"/>
      <c r="CG37" s="191"/>
      <c r="CH37" s="191"/>
      <c r="CI37" s="191"/>
      <c r="CJ37" s="191"/>
      <c r="CK37" s="191"/>
    </row>
    <row r="38" spans="1:89" s="200" customFormat="1" ht="15" customHeight="1" x14ac:dyDescent="0.45">
      <c r="A38" s="191"/>
      <c r="B38" s="393"/>
      <c r="C38" s="192" t="s">
        <v>1146</v>
      </c>
      <c r="D38" s="193" t="s">
        <v>1111</v>
      </c>
      <c r="E38" s="193" t="s">
        <v>1112</v>
      </c>
      <c r="F38" s="193" t="s">
        <v>1113</v>
      </c>
      <c r="G38" s="193" t="s">
        <v>1112</v>
      </c>
      <c r="H38" s="193" t="s">
        <v>1112</v>
      </c>
      <c r="I38" s="194">
        <v>29.4772948034569</v>
      </c>
      <c r="J38" s="194">
        <v>29.4772948034569</v>
      </c>
      <c r="K38" s="195">
        <v>0</v>
      </c>
      <c r="L38" s="196"/>
      <c r="M38" s="197"/>
      <c r="N38" s="196"/>
      <c r="O38" s="196">
        <v>0</v>
      </c>
      <c r="P38" s="198">
        <v>60</v>
      </c>
      <c r="Q38" s="193" t="s">
        <v>1112</v>
      </c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</row>
    <row r="39" spans="1:89" s="200" customFormat="1" ht="15" customHeight="1" x14ac:dyDescent="0.45">
      <c r="A39" s="191"/>
      <c r="B39" s="393"/>
      <c r="C39" s="192" t="s">
        <v>1147</v>
      </c>
      <c r="D39" s="193" t="s">
        <v>1111</v>
      </c>
      <c r="E39" s="193" t="s">
        <v>1112</v>
      </c>
      <c r="F39" s="193" t="s">
        <v>1113</v>
      </c>
      <c r="G39" s="193" t="s">
        <v>1112</v>
      </c>
      <c r="H39" s="193" t="s">
        <v>1112</v>
      </c>
      <c r="I39" s="194">
        <v>30.027290182347901</v>
      </c>
      <c r="J39" s="194">
        <v>30.027290182347901</v>
      </c>
      <c r="K39" s="195">
        <v>0</v>
      </c>
      <c r="L39" s="196"/>
      <c r="M39" s="197"/>
      <c r="N39" s="196"/>
      <c r="O39" s="196">
        <v>0</v>
      </c>
      <c r="P39" s="198">
        <v>60</v>
      </c>
      <c r="Q39" s="193" t="s">
        <v>1112</v>
      </c>
      <c r="R39" s="199">
        <f>AVERAGE(I39:I40)</f>
        <v>30.051769442221598</v>
      </c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</row>
    <row r="40" spans="1:89" s="200" customFormat="1" ht="15" customHeight="1" x14ac:dyDescent="0.45">
      <c r="A40" s="191"/>
      <c r="B40" s="394"/>
      <c r="C40" s="201" t="s">
        <v>1148</v>
      </c>
      <c r="D40" s="202" t="s">
        <v>1111</v>
      </c>
      <c r="E40" s="202" t="s">
        <v>1112</v>
      </c>
      <c r="F40" s="202" t="s">
        <v>1113</v>
      </c>
      <c r="G40" s="202" t="s">
        <v>1112</v>
      </c>
      <c r="H40" s="202" t="s">
        <v>1112</v>
      </c>
      <c r="I40" s="203">
        <v>30.076248702095299</v>
      </c>
      <c r="J40" s="203">
        <v>30.076248702095299</v>
      </c>
      <c r="K40" s="204">
        <v>0</v>
      </c>
      <c r="L40" s="205"/>
      <c r="M40" s="206"/>
      <c r="N40" s="205"/>
      <c r="O40" s="205">
        <v>0</v>
      </c>
      <c r="P40" s="207">
        <v>60</v>
      </c>
      <c r="Q40" s="202" t="s">
        <v>1112</v>
      </c>
      <c r="R40" s="208"/>
      <c r="S40" s="267" t="s">
        <v>1149</v>
      </c>
      <c r="T40" s="268"/>
      <c r="U40" s="269" t="s">
        <v>1211</v>
      </c>
      <c r="V40" s="269" t="s">
        <v>1412</v>
      </c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</row>
    <row r="41" spans="1:89" s="216" customFormat="1" ht="15" customHeight="1" x14ac:dyDescent="0.45">
      <c r="A41" s="191"/>
      <c r="B41" s="395" t="s">
        <v>1212</v>
      </c>
      <c r="C41" s="209" t="s">
        <v>1150</v>
      </c>
      <c r="D41" s="210" t="s">
        <v>1111</v>
      </c>
      <c r="E41" s="210" t="s">
        <v>1112</v>
      </c>
      <c r="F41" s="210" t="s">
        <v>1113</v>
      </c>
      <c r="G41" s="210" t="s">
        <v>1112</v>
      </c>
      <c r="H41" s="210" t="s">
        <v>1112</v>
      </c>
      <c r="I41" s="211">
        <v>34.387191643227297</v>
      </c>
      <c r="J41" s="211">
        <v>34.387191643227297</v>
      </c>
      <c r="K41" s="212">
        <v>0</v>
      </c>
      <c r="L41" s="213"/>
      <c r="M41" s="214"/>
      <c r="N41" s="213"/>
      <c r="O41" s="213">
        <v>0</v>
      </c>
      <c r="P41" s="215">
        <v>60</v>
      </c>
      <c r="Q41" s="210" t="s">
        <v>1112</v>
      </c>
      <c r="R41" s="216">
        <v>32.961676498612199</v>
      </c>
      <c r="S41" s="217">
        <f>I41-$R$41</f>
        <v>1.4255151446150975</v>
      </c>
      <c r="U41" s="218">
        <f>S41-$T$77</f>
        <v>-2.80166615963868</v>
      </c>
      <c r="V41" s="217">
        <f t="shared" ref="V41:V93" si="0">2^(-U41)</f>
        <v>6.9724523006230674</v>
      </c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</row>
    <row r="42" spans="1:89" s="216" customFormat="1" ht="15" customHeight="1" x14ac:dyDescent="0.45">
      <c r="A42" s="191"/>
      <c r="B42" s="396"/>
      <c r="C42" s="209" t="s">
        <v>1151</v>
      </c>
      <c r="D42" s="210" t="s">
        <v>1111</v>
      </c>
      <c r="E42" s="210" t="s">
        <v>1112</v>
      </c>
      <c r="F42" s="210" t="s">
        <v>1113</v>
      </c>
      <c r="G42" s="210" t="s">
        <v>1112</v>
      </c>
      <c r="H42" s="210" t="s">
        <v>1112</v>
      </c>
      <c r="I42" s="211">
        <v>35.748537138304599</v>
      </c>
      <c r="J42" s="211">
        <v>35.748537138304599</v>
      </c>
      <c r="K42" s="212">
        <v>0</v>
      </c>
      <c r="L42" s="213"/>
      <c r="M42" s="214"/>
      <c r="N42" s="213"/>
      <c r="O42" s="213">
        <v>0</v>
      </c>
      <c r="P42" s="215">
        <v>60</v>
      </c>
      <c r="Q42" s="210" t="s">
        <v>1112</v>
      </c>
      <c r="S42" s="217">
        <f>I42-$R$41</f>
        <v>2.7868606396923994</v>
      </c>
      <c r="U42" s="218">
        <f>S42-$T$77</f>
        <v>-1.4403206645613782</v>
      </c>
      <c r="V42" s="217">
        <f t="shared" si="0"/>
        <v>2.713811780667275</v>
      </c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</row>
    <row r="43" spans="1:89" s="216" customFormat="1" ht="15" customHeight="1" x14ac:dyDescent="0.45">
      <c r="A43" s="191"/>
      <c r="B43" s="396"/>
      <c r="C43" s="209" t="s">
        <v>1152</v>
      </c>
      <c r="D43" s="210" t="s">
        <v>1111</v>
      </c>
      <c r="E43" s="210" t="s">
        <v>1112</v>
      </c>
      <c r="F43" s="210" t="s">
        <v>1113</v>
      </c>
      <c r="G43" s="210" t="s">
        <v>1112</v>
      </c>
      <c r="H43" s="210" t="s">
        <v>1112</v>
      </c>
      <c r="I43" s="211">
        <v>34.5777089782544</v>
      </c>
      <c r="J43" s="211">
        <v>34.5777089782544</v>
      </c>
      <c r="K43" s="212">
        <v>0</v>
      </c>
      <c r="L43" s="213"/>
      <c r="M43" s="214"/>
      <c r="N43" s="213"/>
      <c r="O43" s="213">
        <v>0</v>
      </c>
      <c r="P43" s="215">
        <v>60</v>
      </c>
      <c r="Q43" s="210" t="s">
        <v>1112</v>
      </c>
      <c r="S43" s="217">
        <f>I43-$R$41</f>
        <v>1.6160324796422003</v>
      </c>
      <c r="U43" s="218">
        <f>S43-$T$77</f>
        <v>-2.6111488246115773</v>
      </c>
      <c r="V43" s="217">
        <f t="shared" si="0"/>
        <v>6.1099002405129905</v>
      </c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</row>
    <row r="44" spans="1:89" s="216" customFormat="1" ht="15" customHeight="1" x14ac:dyDescent="0.45">
      <c r="A44" s="191"/>
      <c r="B44" s="396"/>
      <c r="C44" s="209" t="s">
        <v>1153</v>
      </c>
      <c r="D44" s="210" t="s">
        <v>1111</v>
      </c>
      <c r="E44" s="210" t="s">
        <v>1112</v>
      </c>
      <c r="F44" s="210" t="s">
        <v>1113</v>
      </c>
      <c r="G44" s="210" t="s">
        <v>1112</v>
      </c>
      <c r="H44" s="210" t="s">
        <v>1112</v>
      </c>
      <c r="I44" s="211">
        <v>29.625037065320999</v>
      </c>
      <c r="J44" s="211">
        <v>29.625037065320999</v>
      </c>
      <c r="K44" s="212">
        <v>0</v>
      </c>
      <c r="L44" s="213"/>
      <c r="M44" s="214"/>
      <c r="N44" s="213"/>
      <c r="O44" s="213">
        <v>0</v>
      </c>
      <c r="P44" s="215">
        <v>60</v>
      </c>
      <c r="Q44" s="210" t="s">
        <v>1112</v>
      </c>
      <c r="R44" s="216">
        <v>27.58968770485945</v>
      </c>
      <c r="S44" s="217">
        <f>I44-$R$44</f>
        <v>2.0353493604615487</v>
      </c>
      <c r="U44" s="218">
        <f>S44-$T$77</f>
        <v>-2.1918319437922289</v>
      </c>
      <c r="V44" s="217">
        <f t="shared" si="0"/>
        <v>4.5688527413085103</v>
      </c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</row>
    <row r="45" spans="1:89" s="216" customFormat="1" ht="15" customHeight="1" x14ac:dyDescent="0.45">
      <c r="A45" s="191"/>
      <c r="B45" s="396"/>
      <c r="C45" s="209" t="s">
        <v>1154</v>
      </c>
      <c r="D45" s="210" t="s">
        <v>1111</v>
      </c>
      <c r="E45" s="210" t="s">
        <v>1112</v>
      </c>
      <c r="F45" s="210" t="s">
        <v>1113</v>
      </c>
      <c r="G45" s="210" t="s">
        <v>1112</v>
      </c>
      <c r="H45" s="210" t="s">
        <v>1112</v>
      </c>
      <c r="I45" s="211">
        <v>29.745605253905499</v>
      </c>
      <c r="J45" s="211">
        <v>29.745605253905499</v>
      </c>
      <c r="K45" s="212">
        <v>0</v>
      </c>
      <c r="L45" s="213"/>
      <c r="M45" s="214"/>
      <c r="N45" s="213"/>
      <c r="O45" s="213">
        <v>0</v>
      </c>
      <c r="P45" s="215">
        <v>60</v>
      </c>
      <c r="Q45" s="210" t="s">
        <v>1112</v>
      </c>
      <c r="S45" s="217">
        <f>I45-$R$44</f>
        <v>2.1559175490460483</v>
      </c>
      <c r="U45" s="218">
        <f t="shared" ref="U45:U93" si="1">S45-$T$77</f>
        <v>-2.0712637552077293</v>
      </c>
      <c r="V45" s="217">
        <f t="shared" si="0"/>
        <v>4.2025464203048752</v>
      </c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191"/>
      <c r="BQ45" s="191"/>
      <c r="BR45" s="191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</row>
    <row r="46" spans="1:89" s="216" customFormat="1" ht="15" customHeight="1" x14ac:dyDescent="0.45">
      <c r="A46" s="191"/>
      <c r="B46" s="396"/>
      <c r="C46" s="209" t="s">
        <v>1155</v>
      </c>
      <c r="D46" s="210" t="s">
        <v>1111</v>
      </c>
      <c r="E46" s="210" t="s">
        <v>1112</v>
      </c>
      <c r="F46" s="210" t="s">
        <v>1113</v>
      </c>
      <c r="G46" s="210" t="s">
        <v>1112</v>
      </c>
      <c r="H46" s="210" t="s">
        <v>1112</v>
      </c>
      <c r="I46" s="211">
        <v>29.5993776605718</v>
      </c>
      <c r="J46" s="211">
        <v>29.5993776605718</v>
      </c>
      <c r="K46" s="212">
        <v>0</v>
      </c>
      <c r="L46" s="213"/>
      <c r="M46" s="214"/>
      <c r="N46" s="213"/>
      <c r="O46" s="213">
        <v>0</v>
      </c>
      <c r="P46" s="215">
        <v>60</v>
      </c>
      <c r="Q46" s="210" t="s">
        <v>1112</v>
      </c>
      <c r="S46" s="217">
        <f>I46-$R$44</f>
        <v>2.00968995571235</v>
      </c>
      <c r="U46" s="218">
        <f t="shared" si="1"/>
        <v>-2.2174913485414276</v>
      </c>
      <c r="V46" s="217">
        <f t="shared" si="0"/>
        <v>4.6508401288811898</v>
      </c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</row>
    <row r="47" spans="1:89" s="216" customFormat="1" ht="15" customHeight="1" x14ac:dyDescent="0.45">
      <c r="A47" s="191"/>
      <c r="B47" s="396"/>
      <c r="C47" s="209" t="s">
        <v>1156</v>
      </c>
      <c r="D47" s="210" t="s">
        <v>1111</v>
      </c>
      <c r="E47" s="210" t="s">
        <v>1112</v>
      </c>
      <c r="F47" s="210" t="s">
        <v>1113</v>
      </c>
      <c r="G47" s="210" t="s">
        <v>1112</v>
      </c>
      <c r="H47" s="210" t="s">
        <v>1112</v>
      </c>
      <c r="I47" s="211">
        <v>28.848189770863701</v>
      </c>
      <c r="J47" s="211">
        <v>28.848189770863701</v>
      </c>
      <c r="K47" s="212">
        <v>0</v>
      </c>
      <c r="L47" s="213"/>
      <c r="M47" s="214"/>
      <c r="N47" s="213"/>
      <c r="O47" s="213">
        <v>0</v>
      </c>
      <c r="P47" s="215">
        <v>60</v>
      </c>
      <c r="Q47" s="210" t="s">
        <v>1112</v>
      </c>
      <c r="R47" s="216">
        <v>26.620332505005749</v>
      </c>
      <c r="S47" s="217">
        <f>I47-$R$47</f>
        <v>2.2278572658579527</v>
      </c>
      <c r="U47" s="218">
        <f t="shared" si="1"/>
        <v>-1.9993240383958248</v>
      </c>
      <c r="V47" s="217">
        <f t="shared" si="0"/>
        <v>3.9981262754721443</v>
      </c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</row>
    <row r="48" spans="1:89" s="216" customFormat="1" ht="15" customHeight="1" x14ac:dyDescent="0.45">
      <c r="A48" s="191"/>
      <c r="B48" s="396"/>
      <c r="C48" s="209" t="s">
        <v>1157</v>
      </c>
      <c r="D48" s="210" t="s">
        <v>1111</v>
      </c>
      <c r="E48" s="210" t="s">
        <v>1112</v>
      </c>
      <c r="F48" s="210" t="s">
        <v>1113</v>
      </c>
      <c r="G48" s="210" t="s">
        <v>1112</v>
      </c>
      <c r="H48" s="210" t="s">
        <v>1112</v>
      </c>
      <c r="I48" s="211">
        <v>28.8293529820467</v>
      </c>
      <c r="J48" s="211">
        <v>28.8293529820467</v>
      </c>
      <c r="K48" s="212">
        <v>0</v>
      </c>
      <c r="L48" s="213"/>
      <c r="M48" s="214"/>
      <c r="N48" s="213"/>
      <c r="O48" s="213">
        <v>0</v>
      </c>
      <c r="P48" s="215">
        <v>60</v>
      </c>
      <c r="Q48" s="210" t="s">
        <v>1112</v>
      </c>
      <c r="S48" s="217">
        <f>I48-$R$47</f>
        <v>2.2090204770409514</v>
      </c>
      <c r="U48" s="218">
        <f t="shared" si="1"/>
        <v>-2.0181608272128262</v>
      </c>
      <c r="V48" s="217">
        <f t="shared" si="0"/>
        <v>4.0506707605711467</v>
      </c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</row>
    <row r="49" spans="1:89" s="216" customFormat="1" ht="15" customHeight="1" x14ac:dyDescent="0.45">
      <c r="A49" s="191"/>
      <c r="B49" s="396"/>
      <c r="C49" s="209" t="s">
        <v>1158</v>
      </c>
      <c r="D49" s="210" t="s">
        <v>1111</v>
      </c>
      <c r="E49" s="210" t="s">
        <v>1112</v>
      </c>
      <c r="F49" s="210" t="s">
        <v>1113</v>
      </c>
      <c r="G49" s="210" t="s">
        <v>1112</v>
      </c>
      <c r="H49" s="210" t="s">
        <v>1112</v>
      </c>
      <c r="I49" s="211">
        <v>28.691305231231599</v>
      </c>
      <c r="J49" s="211">
        <v>28.691305231231599</v>
      </c>
      <c r="K49" s="212">
        <v>0</v>
      </c>
      <c r="L49" s="213"/>
      <c r="M49" s="214"/>
      <c r="N49" s="213"/>
      <c r="O49" s="213">
        <v>0</v>
      </c>
      <c r="P49" s="215">
        <v>60</v>
      </c>
      <c r="Q49" s="210" t="s">
        <v>1112</v>
      </c>
      <c r="S49" s="217">
        <f>I49-$R$47</f>
        <v>2.0709727262258504</v>
      </c>
      <c r="U49" s="218">
        <f t="shared" si="1"/>
        <v>-2.1562085780279272</v>
      </c>
      <c r="V49" s="217">
        <f t="shared" si="0"/>
        <v>4.4574189892577882</v>
      </c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</row>
    <row r="50" spans="1:89" s="216" customFormat="1" ht="15" customHeight="1" x14ac:dyDescent="0.45">
      <c r="A50" s="191"/>
      <c r="B50" s="396"/>
      <c r="C50" s="209" t="s">
        <v>1159</v>
      </c>
      <c r="D50" s="210" t="s">
        <v>1111</v>
      </c>
      <c r="E50" s="210" t="s">
        <v>1112</v>
      </c>
      <c r="F50" s="210" t="s">
        <v>1113</v>
      </c>
      <c r="G50" s="210" t="s">
        <v>1112</v>
      </c>
      <c r="H50" s="210" t="s">
        <v>1112</v>
      </c>
      <c r="I50" s="211">
        <v>32.196648521243702</v>
      </c>
      <c r="J50" s="211">
        <v>32.196648521243702</v>
      </c>
      <c r="K50" s="212">
        <v>0</v>
      </c>
      <c r="L50" s="213"/>
      <c r="M50" s="214"/>
      <c r="N50" s="213"/>
      <c r="O50" s="213">
        <v>0</v>
      </c>
      <c r="P50" s="215">
        <v>60</v>
      </c>
      <c r="Q50" s="210" t="s">
        <v>1112</v>
      </c>
      <c r="R50" s="216">
        <v>27.61005007740745</v>
      </c>
      <c r="S50" s="217">
        <f>I50-$R$50</f>
        <v>4.5865984438362517</v>
      </c>
      <c r="U50" s="218">
        <f t="shared" si="1"/>
        <v>0.35941713958247412</v>
      </c>
      <c r="V50" s="217">
        <f t="shared" si="0"/>
        <v>0.77947943202406933</v>
      </c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</row>
    <row r="51" spans="1:89" s="216" customFormat="1" ht="15" customHeight="1" x14ac:dyDescent="0.45">
      <c r="A51" s="191"/>
      <c r="B51" s="396"/>
      <c r="C51" s="209" t="s">
        <v>1160</v>
      </c>
      <c r="D51" s="210" t="s">
        <v>1111</v>
      </c>
      <c r="E51" s="210" t="s">
        <v>1112</v>
      </c>
      <c r="F51" s="210" t="s">
        <v>1113</v>
      </c>
      <c r="G51" s="210" t="s">
        <v>1112</v>
      </c>
      <c r="H51" s="210" t="s">
        <v>1112</v>
      </c>
      <c r="I51" s="211">
        <v>31.862704622470002</v>
      </c>
      <c r="J51" s="211">
        <v>31.862704622470002</v>
      </c>
      <c r="K51" s="212">
        <v>0</v>
      </c>
      <c r="L51" s="213"/>
      <c r="M51" s="214"/>
      <c r="N51" s="213"/>
      <c r="O51" s="213">
        <v>0</v>
      </c>
      <c r="P51" s="215">
        <v>60</v>
      </c>
      <c r="Q51" s="210" t="s">
        <v>1112</v>
      </c>
      <c r="S51" s="217">
        <f>I51-$R$50</f>
        <v>4.2526545450625513</v>
      </c>
      <c r="U51" s="218">
        <f t="shared" si="1"/>
        <v>2.5473240808773667E-2</v>
      </c>
      <c r="V51" s="217">
        <f t="shared" si="0"/>
        <v>0.9824982611655666</v>
      </c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</row>
    <row r="52" spans="1:89" s="216" customFormat="1" ht="15" customHeight="1" x14ac:dyDescent="0.45">
      <c r="A52" s="191"/>
      <c r="B52" s="396"/>
      <c r="C52" s="209" t="s">
        <v>1161</v>
      </c>
      <c r="D52" s="210" t="s">
        <v>1111</v>
      </c>
      <c r="E52" s="210" t="s">
        <v>1112</v>
      </c>
      <c r="F52" s="210" t="s">
        <v>1113</v>
      </c>
      <c r="G52" s="210" t="s">
        <v>1112</v>
      </c>
      <c r="H52" s="210" t="s">
        <v>1112</v>
      </c>
      <c r="I52" s="211">
        <v>31.864733607366201</v>
      </c>
      <c r="J52" s="211">
        <v>31.864733607366201</v>
      </c>
      <c r="K52" s="212">
        <v>0</v>
      </c>
      <c r="L52" s="213"/>
      <c r="M52" s="214"/>
      <c r="N52" s="213"/>
      <c r="O52" s="213">
        <v>0</v>
      </c>
      <c r="P52" s="215">
        <v>60</v>
      </c>
      <c r="Q52" s="210" t="s">
        <v>1112</v>
      </c>
      <c r="S52" s="217">
        <f>I52-$R$50</f>
        <v>4.2546835299587507</v>
      </c>
      <c r="U52" s="218">
        <f t="shared" si="1"/>
        <v>2.7502225704973071E-2</v>
      </c>
      <c r="V52" s="217">
        <f t="shared" si="0"/>
        <v>0.98111746138689326</v>
      </c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</row>
    <row r="53" spans="1:89" s="216" customFormat="1" ht="15" customHeight="1" x14ac:dyDescent="0.45">
      <c r="A53" s="191"/>
      <c r="B53" s="396"/>
      <c r="C53" s="209" t="s">
        <v>1162</v>
      </c>
      <c r="D53" s="210" t="s">
        <v>1111</v>
      </c>
      <c r="E53" s="210" t="s">
        <v>1112</v>
      </c>
      <c r="F53" s="210" t="s">
        <v>1113</v>
      </c>
      <c r="G53" s="210" t="s">
        <v>1112</v>
      </c>
      <c r="H53" s="210" t="s">
        <v>1112</v>
      </c>
      <c r="I53" s="211">
        <v>31.480680424842301</v>
      </c>
      <c r="J53" s="211">
        <v>31.480680424842301</v>
      </c>
      <c r="K53" s="212">
        <v>0</v>
      </c>
      <c r="L53" s="213"/>
      <c r="M53" s="214"/>
      <c r="N53" s="213"/>
      <c r="O53" s="213">
        <v>0</v>
      </c>
      <c r="P53" s="215">
        <v>60</v>
      </c>
      <c r="Q53" s="210" t="s">
        <v>1112</v>
      </c>
      <c r="R53" s="216">
        <v>29.381621760787802</v>
      </c>
      <c r="S53" s="217">
        <f>I53-$R$53</f>
        <v>2.0990586640544997</v>
      </c>
      <c r="U53" s="218">
        <f t="shared" si="1"/>
        <v>-2.1281226401992779</v>
      </c>
      <c r="V53" s="217">
        <f t="shared" si="0"/>
        <v>4.3714825503231189</v>
      </c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</row>
    <row r="54" spans="1:89" s="216" customFormat="1" ht="15" customHeight="1" x14ac:dyDescent="0.45">
      <c r="A54" s="191"/>
      <c r="B54" s="396"/>
      <c r="C54" s="209" t="s">
        <v>1163</v>
      </c>
      <c r="D54" s="210" t="s">
        <v>1111</v>
      </c>
      <c r="E54" s="210" t="s">
        <v>1112</v>
      </c>
      <c r="F54" s="210" t="s">
        <v>1113</v>
      </c>
      <c r="G54" s="210" t="s">
        <v>1112</v>
      </c>
      <c r="H54" s="210" t="s">
        <v>1112</v>
      </c>
      <c r="I54" s="211">
        <v>31.3010218356299</v>
      </c>
      <c r="J54" s="211">
        <v>31.3010218356299</v>
      </c>
      <c r="K54" s="212">
        <v>0</v>
      </c>
      <c r="L54" s="213"/>
      <c r="M54" s="214"/>
      <c r="N54" s="213"/>
      <c r="O54" s="213">
        <v>0</v>
      </c>
      <c r="P54" s="215">
        <v>60</v>
      </c>
      <c r="Q54" s="210" t="s">
        <v>1112</v>
      </c>
      <c r="S54" s="217">
        <f>I54-$R$53</f>
        <v>1.9194000748420983</v>
      </c>
      <c r="U54" s="218">
        <f t="shared" si="1"/>
        <v>-2.3077812294116793</v>
      </c>
      <c r="V54" s="217">
        <f t="shared" si="0"/>
        <v>4.9512103038186419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</row>
    <row r="55" spans="1:89" s="216" customFormat="1" ht="15" customHeight="1" x14ac:dyDescent="0.45">
      <c r="A55" s="191"/>
      <c r="B55" s="396"/>
      <c r="C55" s="209" t="s">
        <v>1164</v>
      </c>
      <c r="D55" s="210" t="s">
        <v>1111</v>
      </c>
      <c r="E55" s="210" t="s">
        <v>1112</v>
      </c>
      <c r="F55" s="210" t="s">
        <v>1113</v>
      </c>
      <c r="G55" s="210" t="s">
        <v>1112</v>
      </c>
      <c r="H55" s="210" t="s">
        <v>1112</v>
      </c>
      <c r="I55" s="211">
        <v>31.198802377055699</v>
      </c>
      <c r="J55" s="211">
        <v>31.198802377055699</v>
      </c>
      <c r="K55" s="212">
        <v>0</v>
      </c>
      <c r="L55" s="213"/>
      <c r="M55" s="214"/>
      <c r="N55" s="213"/>
      <c r="O55" s="213">
        <v>0</v>
      </c>
      <c r="P55" s="215">
        <v>60</v>
      </c>
      <c r="Q55" s="210" t="s">
        <v>1112</v>
      </c>
      <c r="S55" s="217">
        <f>I55-$R$53</f>
        <v>1.8171806162678976</v>
      </c>
      <c r="U55" s="218">
        <f t="shared" si="1"/>
        <v>-2.41000068798588</v>
      </c>
      <c r="V55" s="217">
        <f t="shared" si="0"/>
        <v>5.3147457908573541</v>
      </c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</row>
    <row r="56" spans="1:89" s="216" customFormat="1" ht="15" customHeight="1" x14ac:dyDescent="0.45">
      <c r="A56" s="191"/>
      <c r="B56" s="396"/>
      <c r="C56" s="209" t="s">
        <v>1165</v>
      </c>
      <c r="D56" s="210" t="s">
        <v>1111</v>
      </c>
      <c r="E56" s="210" t="s">
        <v>1112</v>
      </c>
      <c r="F56" s="210" t="s">
        <v>1113</v>
      </c>
      <c r="G56" s="210" t="s">
        <v>1112</v>
      </c>
      <c r="H56" s="210" t="s">
        <v>1112</v>
      </c>
      <c r="I56" s="211">
        <v>32.461837728142399</v>
      </c>
      <c r="J56" s="211">
        <v>32.461837728142399</v>
      </c>
      <c r="K56" s="212">
        <v>0</v>
      </c>
      <c r="L56" s="213"/>
      <c r="M56" s="214"/>
      <c r="N56" s="213"/>
      <c r="O56" s="213">
        <v>0</v>
      </c>
      <c r="P56" s="215">
        <v>60</v>
      </c>
      <c r="Q56" s="210" t="s">
        <v>1112</v>
      </c>
      <c r="R56" s="216">
        <v>30.3399363592535</v>
      </c>
      <c r="S56" s="217">
        <f>I56-$R$56</f>
        <v>2.1219013688888992</v>
      </c>
      <c r="U56" s="218">
        <f t="shared" si="1"/>
        <v>-2.1052799353648783</v>
      </c>
      <c r="V56" s="217">
        <f t="shared" si="0"/>
        <v>4.3028123830970388</v>
      </c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</row>
    <row r="57" spans="1:89" s="216" customFormat="1" ht="15" customHeight="1" x14ac:dyDescent="0.45">
      <c r="A57" s="191"/>
      <c r="B57" s="396"/>
      <c r="C57" s="209" t="s">
        <v>1166</v>
      </c>
      <c r="D57" s="210" t="s">
        <v>1111</v>
      </c>
      <c r="E57" s="210" t="s">
        <v>1112</v>
      </c>
      <c r="F57" s="210" t="s">
        <v>1113</v>
      </c>
      <c r="G57" s="210" t="s">
        <v>1112</v>
      </c>
      <c r="H57" s="210" t="s">
        <v>1112</v>
      </c>
      <c r="I57" s="211">
        <v>32.346979349525199</v>
      </c>
      <c r="J57" s="211">
        <v>32.346979349525199</v>
      </c>
      <c r="K57" s="212">
        <v>0</v>
      </c>
      <c r="L57" s="213"/>
      <c r="M57" s="214"/>
      <c r="N57" s="213"/>
      <c r="O57" s="213">
        <v>0</v>
      </c>
      <c r="P57" s="215">
        <v>60</v>
      </c>
      <c r="Q57" s="210" t="s">
        <v>1112</v>
      </c>
      <c r="S57" s="217">
        <f>I57-$R$56</f>
        <v>2.0070429902716995</v>
      </c>
      <c r="U57" s="218">
        <f t="shared" si="1"/>
        <v>-2.2201383139820781</v>
      </c>
      <c r="V57" s="217">
        <f t="shared" si="0"/>
        <v>4.659381028390972</v>
      </c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</row>
    <row r="58" spans="1:89" s="216" customFormat="1" ht="15" customHeight="1" x14ac:dyDescent="0.45">
      <c r="A58" s="191"/>
      <c r="B58" s="396"/>
      <c r="C58" s="209" t="s">
        <v>1167</v>
      </c>
      <c r="D58" s="210" t="s">
        <v>1111</v>
      </c>
      <c r="E58" s="210" t="s">
        <v>1112</v>
      </c>
      <c r="F58" s="210" t="s">
        <v>1113</v>
      </c>
      <c r="G58" s="210" t="s">
        <v>1112</v>
      </c>
      <c r="H58" s="210" t="s">
        <v>1112</v>
      </c>
      <c r="I58" s="211">
        <v>32.417016826791802</v>
      </c>
      <c r="J58" s="211">
        <v>32.417016826791802</v>
      </c>
      <c r="K58" s="212">
        <v>0</v>
      </c>
      <c r="L58" s="213"/>
      <c r="M58" s="214"/>
      <c r="N58" s="213"/>
      <c r="O58" s="213">
        <v>0</v>
      </c>
      <c r="P58" s="215">
        <v>60</v>
      </c>
      <c r="Q58" s="210" t="s">
        <v>1112</v>
      </c>
      <c r="S58" s="217">
        <f>I58-$R$56</f>
        <v>2.0770804675383019</v>
      </c>
      <c r="U58" s="218">
        <f t="shared" si="1"/>
        <v>-2.1501008367154757</v>
      </c>
      <c r="V58" s="217">
        <f t="shared" si="0"/>
        <v>4.4385881111477898</v>
      </c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1"/>
      <c r="CH58" s="191"/>
      <c r="CI58" s="191"/>
      <c r="CJ58" s="191"/>
      <c r="CK58" s="191"/>
    </row>
    <row r="59" spans="1:89" s="216" customFormat="1" ht="15" customHeight="1" x14ac:dyDescent="0.45">
      <c r="A59" s="191"/>
      <c r="B59" s="396"/>
      <c r="C59" s="209" t="s">
        <v>1168</v>
      </c>
      <c r="D59" s="210" t="s">
        <v>1111</v>
      </c>
      <c r="E59" s="210" t="s">
        <v>1112</v>
      </c>
      <c r="F59" s="210" t="s">
        <v>1113</v>
      </c>
      <c r="G59" s="210" t="s">
        <v>1112</v>
      </c>
      <c r="H59" s="210" t="s">
        <v>1112</v>
      </c>
      <c r="I59" s="211">
        <v>30.1230111245406</v>
      </c>
      <c r="J59" s="211">
        <v>30.1230111245406</v>
      </c>
      <c r="K59" s="212">
        <v>0</v>
      </c>
      <c r="L59" s="213"/>
      <c r="M59" s="214"/>
      <c r="N59" s="213"/>
      <c r="O59" s="213">
        <v>0</v>
      </c>
      <c r="P59" s="215">
        <v>60</v>
      </c>
      <c r="Q59" s="210" t="s">
        <v>1112</v>
      </c>
      <c r="R59" s="216">
        <v>27.727386171153899</v>
      </c>
      <c r="S59" s="217">
        <f>I59-$R$59</f>
        <v>2.3956249533867009</v>
      </c>
      <c r="U59" s="218">
        <f t="shared" si="1"/>
        <v>-1.8315563508670767</v>
      </c>
      <c r="V59" s="217">
        <f t="shared" si="0"/>
        <v>3.5592082578179882</v>
      </c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</row>
    <row r="60" spans="1:89" s="216" customFormat="1" ht="15" customHeight="1" x14ac:dyDescent="0.45">
      <c r="A60" s="191"/>
      <c r="B60" s="396"/>
      <c r="C60" s="209" t="s">
        <v>1169</v>
      </c>
      <c r="D60" s="210" t="s">
        <v>1111</v>
      </c>
      <c r="E60" s="210" t="s">
        <v>1112</v>
      </c>
      <c r="F60" s="210" t="s">
        <v>1113</v>
      </c>
      <c r="G60" s="210" t="s">
        <v>1112</v>
      </c>
      <c r="H60" s="210" t="s">
        <v>1112</v>
      </c>
      <c r="I60" s="211">
        <v>30.0849152598141</v>
      </c>
      <c r="J60" s="211">
        <v>30.0849152598141</v>
      </c>
      <c r="K60" s="212">
        <v>0</v>
      </c>
      <c r="L60" s="213"/>
      <c r="M60" s="214"/>
      <c r="N60" s="213"/>
      <c r="O60" s="213">
        <v>0</v>
      </c>
      <c r="P60" s="215">
        <v>60</v>
      </c>
      <c r="Q60" s="210" t="s">
        <v>1112</v>
      </c>
      <c r="S60" s="217">
        <f>I60-$R$59</f>
        <v>2.3575290886602005</v>
      </c>
      <c r="U60" s="218">
        <f t="shared" si="1"/>
        <v>-1.8696522155935771</v>
      </c>
      <c r="V60" s="217">
        <f t="shared" si="0"/>
        <v>3.6544447331514021</v>
      </c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</row>
    <row r="61" spans="1:89" s="216" customFormat="1" ht="15" customHeight="1" x14ac:dyDescent="0.45">
      <c r="A61" s="191"/>
      <c r="B61" s="396"/>
      <c r="C61" s="209" t="s">
        <v>1170</v>
      </c>
      <c r="D61" s="210" t="s">
        <v>1111</v>
      </c>
      <c r="E61" s="210" t="s">
        <v>1112</v>
      </c>
      <c r="F61" s="210" t="s">
        <v>1113</v>
      </c>
      <c r="G61" s="210" t="s">
        <v>1112</v>
      </c>
      <c r="H61" s="210" t="s">
        <v>1112</v>
      </c>
      <c r="I61" s="211">
        <v>30.007839645015402</v>
      </c>
      <c r="J61" s="211">
        <v>30.007839645015402</v>
      </c>
      <c r="K61" s="212">
        <v>0</v>
      </c>
      <c r="L61" s="213"/>
      <c r="M61" s="214"/>
      <c r="N61" s="213"/>
      <c r="O61" s="213">
        <v>0</v>
      </c>
      <c r="P61" s="215">
        <v>60</v>
      </c>
      <c r="Q61" s="210" t="s">
        <v>1112</v>
      </c>
      <c r="S61" s="217">
        <f>I61-$R$59</f>
        <v>2.2804534738615025</v>
      </c>
      <c r="U61" s="218">
        <f t="shared" si="1"/>
        <v>-1.946727830392275</v>
      </c>
      <c r="V61" s="217">
        <f t="shared" si="0"/>
        <v>3.8549919042721581</v>
      </c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  <c r="CJ61" s="191"/>
      <c r="CK61" s="191"/>
    </row>
    <row r="62" spans="1:89" s="216" customFormat="1" ht="15" customHeight="1" x14ac:dyDescent="0.45">
      <c r="A62" s="191"/>
      <c r="B62" s="396"/>
      <c r="C62" s="209" t="s">
        <v>1171</v>
      </c>
      <c r="D62" s="210" t="s">
        <v>1111</v>
      </c>
      <c r="E62" s="210" t="s">
        <v>1112</v>
      </c>
      <c r="F62" s="210" t="s">
        <v>1113</v>
      </c>
      <c r="G62" s="210" t="s">
        <v>1112</v>
      </c>
      <c r="H62" s="210" t="s">
        <v>1112</v>
      </c>
      <c r="I62" s="211">
        <v>31.245788822305201</v>
      </c>
      <c r="J62" s="211">
        <v>31.245788822305201</v>
      </c>
      <c r="K62" s="212">
        <v>0</v>
      </c>
      <c r="L62" s="213"/>
      <c r="M62" s="214"/>
      <c r="N62" s="213"/>
      <c r="O62" s="213">
        <v>0</v>
      </c>
      <c r="P62" s="215">
        <v>60</v>
      </c>
      <c r="Q62" s="210" t="s">
        <v>1112</v>
      </c>
      <c r="R62" s="216">
        <v>29.276078014886401</v>
      </c>
      <c r="S62" s="217">
        <f>I62-$R$62</f>
        <v>1.9697108074187994</v>
      </c>
      <c r="U62" s="218">
        <f t="shared" si="1"/>
        <v>-2.2574704968349781</v>
      </c>
      <c r="V62" s="217">
        <f t="shared" si="0"/>
        <v>4.7815239327630081</v>
      </c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</row>
    <row r="63" spans="1:89" s="216" customFormat="1" ht="15" customHeight="1" x14ac:dyDescent="0.45">
      <c r="A63" s="191"/>
      <c r="B63" s="396"/>
      <c r="C63" s="209" t="s">
        <v>1172</v>
      </c>
      <c r="D63" s="210" t="s">
        <v>1111</v>
      </c>
      <c r="E63" s="210" t="s">
        <v>1112</v>
      </c>
      <c r="F63" s="210" t="s">
        <v>1113</v>
      </c>
      <c r="G63" s="210" t="s">
        <v>1112</v>
      </c>
      <c r="H63" s="210" t="s">
        <v>1112</v>
      </c>
      <c r="I63" s="211">
        <v>30.697267105820401</v>
      </c>
      <c r="J63" s="211">
        <v>30.697267105820401</v>
      </c>
      <c r="K63" s="212">
        <v>0</v>
      </c>
      <c r="L63" s="213"/>
      <c r="M63" s="214"/>
      <c r="N63" s="213"/>
      <c r="O63" s="213">
        <v>0</v>
      </c>
      <c r="P63" s="215">
        <v>60</v>
      </c>
      <c r="Q63" s="210" t="s">
        <v>1112</v>
      </c>
      <c r="S63" s="217">
        <f>I63-$R$62</f>
        <v>1.4211890909339999</v>
      </c>
      <c r="U63" s="218">
        <f t="shared" si="1"/>
        <v>-2.8059922133197777</v>
      </c>
      <c r="V63" s="217">
        <f>2^(-U63)</f>
        <v>6.9933912176427109</v>
      </c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</row>
    <row r="64" spans="1:89" s="216" customFormat="1" ht="15" customHeight="1" x14ac:dyDescent="0.45">
      <c r="A64" s="191"/>
      <c r="B64" s="396"/>
      <c r="C64" s="209" t="s">
        <v>1173</v>
      </c>
      <c r="D64" s="210" t="s">
        <v>1111</v>
      </c>
      <c r="E64" s="210" t="s">
        <v>1112</v>
      </c>
      <c r="F64" s="210" t="s">
        <v>1113</v>
      </c>
      <c r="G64" s="210" t="s">
        <v>1112</v>
      </c>
      <c r="H64" s="210" t="s">
        <v>1112</v>
      </c>
      <c r="I64" s="211">
        <v>31.062710400868699</v>
      </c>
      <c r="J64" s="211">
        <v>31.062710400868699</v>
      </c>
      <c r="K64" s="212">
        <v>0</v>
      </c>
      <c r="L64" s="213"/>
      <c r="M64" s="214"/>
      <c r="N64" s="213"/>
      <c r="O64" s="213">
        <v>0</v>
      </c>
      <c r="P64" s="215">
        <v>60</v>
      </c>
      <c r="Q64" s="210" t="s">
        <v>1112</v>
      </c>
      <c r="S64" s="217">
        <f>I64-$R$62</f>
        <v>1.7866323859822977</v>
      </c>
      <c r="U64" s="218">
        <f t="shared" si="1"/>
        <v>-2.4405489182714799</v>
      </c>
      <c r="V64" s="217">
        <f t="shared" si="0"/>
        <v>5.4284823521311516</v>
      </c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</row>
    <row r="65" spans="1:89" s="216" customFormat="1" ht="15" customHeight="1" x14ac:dyDescent="0.45">
      <c r="A65" s="191"/>
      <c r="B65" s="396"/>
      <c r="C65" s="209" t="s">
        <v>1174</v>
      </c>
      <c r="D65" s="210" t="s">
        <v>1111</v>
      </c>
      <c r="E65" s="210" t="s">
        <v>1112</v>
      </c>
      <c r="F65" s="210" t="s">
        <v>1113</v>
      </c>
      <c r="G65" s="210" t="s">
        <v>1112</v>
      </c>
      <c r="H65" s="210" t="s">
        <v>1112</v>
      </c>
      <c r="I65" s="211">
        <v>31.9319803293461</v>
      </c>
      <c r="J65" s="211">
        <v>31.9319803293461</v>
      </c>
      <c r="K65" s="212">
        <v>0</v>
      </c>
      <c r="L65" s="213"/>
      <c r="M65" s="214"/>
      <c r="N65" s="213"/>
      <c r="O65" s="213">
        <v>0</v>
      </c>
      <c r="P65" s="215">
        <v>60</v>
      </c>
      <c r="Q65" s="210" t="s">
        <v>1112</v>
      </c>
      <c r="R65" s="216">
        <v>30.509501038168501</v>
      </c>
      <c r="S65" s="217">
        <f>I65-$R$65</f>
        <v>1.4224792911775985</v>
      </c>
      <c r="U65" s="218">
        <f>S65-$T$77</f>
        <v>-2.8047020130761791</v>
      </c>
      <c r="V65" s="217">
        <f t="shared" si="0"/>
        <v>6.9871398329585839</v>
      </c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  <c r="CE65" s="191"/>
      <c r="CF65" s="191"/>
      <c r="CG65" s="191"/>
      <c r="CH65" s="191"/>
      <c r="CI65" s="191"/>
      <c r="CJ65" s="191"/>
      <c r="CK65" s="191"/>
    </row>
    <row r="66" spans="1:89" s="216" customFormat="1" ht="15" customHeight="1" x14ac:dyDescent="0.45">
      <c r="A66" s="191"/>
      <c r="B66" s="396"/>
      <c r="C66" s="209" t="s">
        <v>1175</v>
      </c>
      <c r="D66" s="210" t="s">
        <v>1111</v>
      </c>
      <c r="E66" s="210" t="s">
        <v>1112</v>
      </c>
      <c r="F66" s="210" t="s">
        <v>1113</v>
      </c>
      <c r="G66" s="210" t="s">
        <v>1112</v>
      </c>
      <c r="H66" s="210" t="s">
        <v>1112</v>
      </c>
      <c r="I66" s="211">
        <v>31.501107597792899</v>
      </c>
      <c r="J66" s="211">
        <v>31.501107597792899</v>
      </c>
      <c r="K66" s="212">
        <v>0</v>
      </c>
      <c r="L66" s="213"/>
      <c r="M66" s="214"/>
      <c r="N66" s="213"/>
      <c r="O66" s="213">
        <v>0</v>
      </c>
      <c r="P66" s="215">
        <v>60</v>
      </c>
      <c r="Q66" s="210" t="s">
        <v>1112</v>
      </c>
      <c r="S66" s="217">
        <f>I66-$R$65</f>
        <v>0.99160655962439748</v>
      </c>
      <c r="U66" s="218">
        <f t="shared" si="1"/>
        <v>-3.2355747446293801</v>
      </c>
      <c r="V66" s="217">
        <f t="shared" si="0"/>
        <v>9.4190055185008408</v>
      </c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  <c r="CE66" s="191"/>
      <c r="CF66" s="191"/>
      <c r="CG66" s="191"/>
      <c r="CH66" s="191"/>
      <c r="CI66" s="191"/>
      <c r="CJ66" s="191"/>
      <c r="CK66" s="191"/>
    </row>
    <row r="67" spans="1:89" s="216" customFormat="1" ht="15" customHeight="1" x14ac:dyDescent="0.45">
      <c r="A67" s="191"/>
      <c r="B67" s="396"/>
      <c r="C67" s="209" t="s">
        <v>1176</v>
      </c>
      <c r="D67" s="210" t="s">
        <v>1111</v>
      </c>
      <c r="E67" s="210" t="s">
        <v>1112</v>
      </c>
      <c r="F67" s="210" t="s">
        <v>1113</v>
      </c>
      <c r="G67" s="210" t="s">
        <v>1112</v>
      </c>
      <c r="H67" s="210" t="s">
        <v>1112</v>
      </c>
      <c r="I67" s="211">
        <v>32.085364636412301</v>
      </c>
      <c r="J67" s="211">
        <v>32.085364636412301</v>
      </c>
      <c r="K67" s="212">
        <v>0</v>
      </c>
      <c r="L67" s="213"/>
      <c r="M67" s="214"/>
      <c r="N67" s="213"/>
      <c r="O67" s="213">
        <v>0</v>
      </c>
      <c r="P67" s="215">
        <v>60</v>
      </c>
      <c r="Q67" s="210" t="s">
        <v>1112</v>
      </c>
      <c r="S67" s="217">
        <f>I67-$R$65</f>
        <v>1.5758635982437994</v>
      </c>
      <c r="U67" s="218">
        <f t="shared" si="1"/>
        <v>-2.6513177060099782</v>
      </c>
      <c r="V67" s="217">
        <f t="shared" si="0"/>
        <v>6.2824082903293048</v>
      </c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</row>
    <row r="68" spans="1:89" s="216" customFormat="1" ht="15" customHeight="1" x14ac:dyDescent="0.45">
      <c r="A68" s="191"/>
      <c r="B68" s="396"/>
      <c r="C68" s="209" t="s">
        <v>1177</v>
      </c>
      <c r="D68" s="210" t="s">
        <v>1111</v>
      </c>
      <c r="E68" s="210" t="s">
        <v>1112</v>
      </c>
      <c r="F68" s="210" t="s">
        <v>1113</v>
      </c>
      <c r="G68" s="210" t="s">
        <v>1112</v>
      </c>
      <c r="H68" s="210" t="s">
        <v>1112</v>
      </c>
      <c r="I68" s="211">
        <v>34.605546540469703</v>
      </c>
      <c r="J68" s="211">
        <v>34.605546540469703</v>
      </c>
      <c r="K68" s="212">
        <v>0</v>
      </c>
      <c r="L68" s="213"/>
      <c r="M68" s="214"/>
      <c r="N68" s="213"/>
      <c r="O68" s="213">
        <v>0</v>
      </c>
      <c r="P68" s="215">
        <v>60</v>
      </c>
      <c r="Q68" s="210" t="s">
        <v>1112</v>
      </c>
      <c r="R68" s="216">
        <v>29.1837103466987</v>
      </c>
      <c r="S68" s="217">
        <f>I68-$R$68</f>
        <v>5.4218361937710036</v>
      </c>
      <c r="U68" s="218">
        <f t="shared" si="1"/>
        <v>1.194654889517226</v>
      </c>
      <c r="V68" s="217">
        <f t="shared" si="0"/>
        <v>0.43689094517257082</v>
      </c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</row>
    <row r="69" spans="1:89" s="216" customFormat="1" ht="15" customHeight="1" x14ac:dyDescent="0.45">
      <c r="A69" s="191"/>
      <c r="B69" s="396"/>
      <c r="C69" s="209" t="s">
        <v>1178</v>
      </c>
      <c r="D69" s="210" t="s">
        <v>1111</v>
      </c>
      <c r="E69" s="210" t="s">
        <v>1112</v>
      </c>
      <c r="F69" s="210" t="s">
        <v>1113</v>
      </c>
      <c r="G69" s="210" t="s">
        <v>1112</v>
      </c>
      <c r="H69" s="210" t="s">
        <v>1112</v>
      </c>
      <c r="I69" s="211">
        <v>33.7254645313472</v>
      </c>
      <c r="J69" s="211">
        <v>33.7254645313472</v>
      </c>
      <c r="K69" s="212">
        <v>0</v>
      </c>
      <c r="L69" s="213"/>
      <c r="M69" s="214"/>
      <c r="N69" s="213"/>
      <c r="O69" s="213">
        <v>0</v>
      </c>
      <c r="P69" s="215">
        <v>60</v>
      </c>
      <c r="Q69" s="210" t="s">
        <v>1112</v>
      </c>
      <c r="S69" s="217">
        <f>I69-$R$68</f>
        <v>4.5417541846485001</v>
      </c>
      <c r="U69" s="218">
        <f t="shared" si="1"/>
        <v>0.31457288039472253</v>
      </c>
      <c r="V69" s="217">
        <f t="shared" si="0"/>
        <v>0.80408901148716916</v>
      </c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  <c r="BN69" s="191"/>
      <c r="BO69" s="191"/>
      <c r="BP69" s="191"/>
      <c r="BQ69" s="191"/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  <c r="CE69" s="191"/>
      <c r="CF69" s="191"/>
      <c r="CG69" s="191"/>
      <c r="CH69" s="191"/>
      <c r="CI69" s="191"/>
      <c r="CJ69" s="191"/>
      <c r="CK69" s="191"/>
    </row>
    <row r="70" spans="1:89" s="216" customFormat="1" ht="15" customHeight="1" x14ac:dyDescent="0.45">
      <c r="A70" s="191"/>
      <c r="B70" s="396"/>
      <c r="C70" s="209" t="s">
        <v>1179</v>
      </c>
      <c r="D70" s="210" t="s">
        <v>1111</v>
      </c>
      <c r="E70" s="210" t="s">
        <v>1112</v>
      </c>
      <c r="F70" s="210" t="s">
        <v>1113</v>
      </c>
      <c r="G70" s="210" t="s">
        <v>1112</v>
      </c>
      <c r="H70" s="210" t="s">
        <v>1112</v>
      </c>
      <c r="I70" s="211">
        <v>33.810626022201902</v>
      </c>
      <c r="J70" s="211">
        <v>33.810626022201902</v>
      </c>
      <c r="K70" s="212">
        <v>0</v>
      </c>
      <c r="L70" s="213"/>
      <c r="M70" s="214"/>
      <c r="N70" s="213"/>
      <c r="O70" s="213">
        <v>0</v>
      </c>
      <c r="P70" s="215">
        <v>60</v>
      </c>
      <c r="Q70" s="210" t="s">
        <v>1112</v>
      </c>
      <c r="S70" s="217">
        <f>I70-$R$68</f>
        <v>4.6269156755032022</v>
      </c>
      <c r="U70" s="218">
        <f t="shared" si="1"/>
        <v>0.39973437124942457</v>
      </c>
      <c r="V70" s="217">
        <f t="shared" si="0"/>
        <v>0.75799783283207389</v>
      </c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</row>
    <row r="71" spans="1:89" s="216" customFormat="1" ht="15" customHeight="1" x14ac:dyDescent="0.45">
      <c r="A71" s="191"/>
      <c r="B71" s="396"/>
      <c r="C71" s="209" t="s">
        <v>1180</v>
      </c>
      <c r="D71" s="210" t="s">
        <v>1111</v>
      </c>
      <c r="E71" s="210" t="s">
        <v>1112</v>
      </c>
      <c r="F71" s="210" t="s">
        <v>1113</v>
      </c>
      <c r="G71" s="210" t="s">
        <v>1112</v>
      </c>
      <c r="H71" s="210" t="s">
        <v>1112</v>
      </c>
      <c r="I71" s="211">
        <v>35.883143157404</v>
      </c>
      <c r="J71" s="211">
        <v>35.883143157404</v>
      </c>
      <c r="K71" s="212">
        <v>0</v>
      </c>
      <c r="L71" s="213"/>
      <c r="M71" s="214"/>
      <c r="N71" s="213"/>
      <c r="O71" s="213">
        <v>0</v>
      </c>
      <c r="P71" s="215">
        <v>60</v>
      </c>
      <c r="Q71" s="210" t="s">
        <v>1112</v>
      </c>
      <c r="R71" s="216">
        <v>31.226526873176599</v>
      </c>
      <c r="S71" s="217">
        <f>I71-$R$71</f>
        <v>4.6566162842274004</v>
      </c>
      <c r="U71" s="218">
        <f t="shared" si="1"/>
        <v>0.42943497997362279</v>
      </c>
      <c r="V71" s="217">
        <f t="shared" si="0"/>
        <v>0.74255254316581754</v>
      </c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1"/>
      <c r="BR71" s="191"/>
      <c r="BS71" s="191"/>
      <c r="BT71" s="191"/>
      <c r="BU71" s="191"/>
      <c r="BV71" s="191"/>
      <c r="BW71" s="191"/>
      <c r="BX71" s="191"/>
      <c r="BY71" s="191"/>
      <c r="BZ71" s="191"/>
      <c r="CA71" s="191"/>
      <c r="CB71" s="191"/>
      <c r="CC71" s="191"/>
      <c r="CD71" s="191"/>
      <c r="CE71" s="191"/>
      <c r="CF71" s="191"/>
      <c r="CG71" s="191"/>
      <c r="CH71" s="191"/>
      <c r="CI71" s="191"/>
      <c r="CJ71" s="191"/>
      <c r="CK71" s="191"/>
    </row>
    <row r="72" spans="1:89" s="216" customFormat="1" ht="15" customHeight="1" x14ac:dyDescent="0.45">
      <c r="A72" s="191"/>
      <c r="B72" s="396"/>
      <c r="C72" s="209" t="s">
        <v>1181</v>
      </c>
      <c r="D72" s="210" t="s">
        <v>1111</v>
      </c>
      <c r="E72" s="210" t="s">
        <v>1112</v>
      </c>
      <c r="F72" s="210" t="s">
        <v>1113</v>
      </c>
      <c r="G72" s="210" t="s">
        <v>1112</v>
      </c>
      <c r="H72" s="210" t="s">
        <v>1112</v>
      </c>
      <c r="I72" s="211">
        <v>37.129988041936102</v>
      </c>
      <c r="J72" s="211">
        <v>37.129988041936102</v>
      </c>
      <c r="K72" s="212">
        <v>0</v>
      </c>
      <c r="L72" s="213"/>
      <c r="M72" s="214"/>
      <c r="N72" s="213"/>
      <c r="O72" s="213">
        <v>0</v>
      </c>
      <c r="P72" s="215">
        <v>60</v>
      </c>
      <c r="Q72" s="210" t="s">
        <v>1112</v>
      </c>
      <c r="S72" s="217">
        <f>I72-$R$71</f>
        <v>5.9034611687595024</v>
      </c>
      <c r="U72" s="218">
        <f t="shared" si="1"/>
        <v>1.6762798645057249</v>
      </c>
      <c r="V72" s="217">
        <f t="shared" si="0"/>
        <v>0.31288841239979692</v>
      </c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  <c r="CE72" s="191"/>
      <c r="CF72" s="191"/>
      <c r="CG72" s="191"/>
      <c r="CH72" s="191"/>
      <c r="CI72" s="191"/>
      <c r="CJ72" s="191"/>
      <c r="CK72" s="191"/>
    </row>
    <row r="73" spans="1:89" s="216" customFormat="1" ht="15" customHeight="1" x14ac:dyDescent="0.45">
      <c r="A73" s="191"/>
      <c r="B73" s="396"/>
      <c r="C73" s="209" t="s">
        <v>1182</v>
      </c>
      <c r="D73" s="210" t="s">
        <v>1111</v>
      </c>
      <c r="E73" s="210" t="s">
        <v>1112</v>
      </c>
      <c r="F73" s="210" t="s">
        <v>1113</v>
      </c>
      <c r="G73" s="210" t="s">
        <v>1112</v>
      </c>
      <c r="H73" s="210" t="s">
        <v>1112</v>
      </c>
      <c r="I73" s="211">
        <v>35.800494670139997</v>
      </c>
      <c r="J73" s="211">
        <v>35.800494670139997</v>
      </c>
      <c r="K73" s="212">
        <v>0</v>
      </c>
      <c r="L73" s="213"/>
      <c r="M73" s="214"/>
      <c r="N73" s="213"/>
      <c r="O73" s="213">
        <v>0</v>
      </c>
      <c r="P73" s="215">
        <v>60</v>
      </c>
      <c r="Q73" s="210" t="s">
        <v>1112</v>
      </c>
      <c r="S73" s="217">
        <f>I73-$R$71</f>
        <v>4.5739677969633981</v>
      </c>
      <c r="U73" s="218">
        <f t="shared" si="1"/>
        <v>0.34678649270962048</v>
      </c>
      <c r="V73" s="217">
        <f t="shared" si="0"/>
        <v>0.78633365460138338</v>
      </c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  <c r="BK73" s="191"/>
      <c r="BL73" s="191"/>
      <c r="BM73" s="191"/>
      <c r="BN73" s="191"/>
      <c r="BO73" s="191"/>
      <c r="BP73" s="191"/>
      <c r="BQ73" s="191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  <c r="CC73" s="191"/>
      <c r="CD73" s="191"/>
      <c r="CE73" s="191"/>
      <c r="CF73" s="191"/>
      <c r="CG73" s="191"/>
      <c r="CH73" s="191"/>
      <c r="CI73" s="191"/>
      <c r="CJ73" s="191"/>
      <c r="CK73" s="191"/>
    </row>
    <row r="74" spans="1:89" s="216" customFormat="1" ht="15" customHeight="1" x14ac:dyDescent="0.45">
      <c r="A74" s="191"/>
      <c r="B74" s="396"/>
      <c r="C74" s="209" t="s">
        <v>1183</v>
      </c>
      <c r="D74" s="210" t="s">
        <v>1111</v>
      </c>
      <c r="E74" s="210" t="s">
        <v>1112</v>
      </c>
      <c r="F74" s="210" t="s">
        <v>1113</v>
      </c>
      <c r="G74" s="210" t="s">
        <v>1112</v>
      </c>
      <c r="H74" s="210" t="s">
        <v>1112</v>
      </c>
      <c r="I74" s="211">
        <v>35.071389802367399</v>
      </c>
      <c r="J74" s="211">
        <v>35.071389802367399</v>
      </c>
      <c r="K74" s="212">
        <v>0</v>
      </c>
      <c r="L74" s="213"/>
      <c r="M74" s="214"/>
      <c r="N74" s="213"/>
      <c r="O74" s="213">
        <v>0</v>
      </c>
      <c r="P74" s="215">
        <v>60</v>
      </c>
      <c r="Q74" s="210" t="s">
        <v>1112</v>
      </c>
      <c r="R74" s="216">
        <v>30.716060880516</v>
      </c>
      <c r="S74" s="217">
        <f>I74-$R$74</f>
        <v>4.3553289218513989</v>
      </c>
      <c r="U74" s="218">
        <f t="shared" si="1"/>
        <v>0.12814761759762128</v>
      </c>
      <c r="V74" s="217">
        <f t="shared" si="0"/>
        <v>0.9150055393108828</v>
      </c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191"/>
      <c r="AW74" s="191"/>
      <c r="AX74" s="191"/>
      <c r="AY74" s="191"/>
      <c r="AZ74" s="191"/>
      <c r="BA74" s="191"/>
      <c r="BB74" s="191"/>
      <c r="BC74" s="191"/>
      <c r="BD74" s="191"/>
      <c r="BE74" s="191"/>
      <c r="BF74" s="191"/>
      <c r="BG74" s="191"/>
      <c r="BH74" s="191"/>
      <c r="BI74" s="191"/>
      <c r="BJ74" s="191"/>
      <c r="BK74" s="191"/>
      <c r="BL74" s="191"/>
      <c r="BM74" s="191"/>
      <c r="BN74" s="191"/>
      <c r="BO74" s="191"/>
      <c r="BP74" s="191"/>
      <c r="BQ74" s="191"/>
      <c r="BR74" s="191"/>
      <c r="BS74" s="191"/>
      <c r="BT74" s="191"/>
      <c r="BU74" s="191"/>
      <c r="BV74" s="191"/>
      <c r="BW74" s="191"/>
      <c r="BX74" s="191"/>
      <c r="BY74" s="191"/>
      <c r="BZ74" s="191"/>
      <c r="CA74" s="191"/>
      <c r="CB74" s="191"/>
      <c r="CC74" s="191"/>
      <c r="CD74" s="191"/>
      <c r="CE74" s="191"/>
      <c r="CF74" s="191"/>
      <c r="CG74" s="191"/>
      <c r="CH74" s="191"/>
      <c r="CI74" s="191"/>
      <c r="CJ74" s="191"/>
      <c r="CK74" s="191"/>
    </row>
    <row r="75" spans="1:89" s="216" customFormat="1" ht="15" customHeight="1" x14ac:dyDescent="0.45">
      <c r="A75" s="191"/>
      <c r="B75" s="396"/>
      <c r="C75" s="209" t="s">
        <v>1184</v>
      </c>
      <c r="D75" s="210" t="s">
        <v>1111</v>
      </c>
      <c r="E75" s="210" t="s">
        <v>1112</v>
      </c>
      <c r="F75" s="210" t="s">
        <v>1113</v>
      </c>
      <c r="G75" s="210" t="s">
        <v>1112</v>
      </c>
      <c r="H75" s="210" t="s">
        <v>1112</v>
      </c>
      <c r="I75" s="211">
        <v>35.815669651953201</v>
      </c>
      <c r="J75" s="211">
        <v>35.815669651953201</v>
      </c>
      <c r="K75" s="212">
        <v>0</v>
      </c>
      <c r="L75" s="213"/>
      <c r="M75" s="214"/>
      <c r="N75" s="213"/>
      <c r="O75" s="213">
        <v>0</v>
      </c>
      <c r="P75" s="215">
        <v>60</v>
      </c>
      <c r="Q75" s="210" t="s">
        <v>1112</v>
      </c>
      <c r="S75" s="217">
        <f>I75-$R$74</f>
        <v>5.0996087714372003</v>
      </c>
      <c r="U75" s="218">
        <f t="shared" si="1"/>
        <v>0.87242746718342268</v>
      </c>
      <c r="V75" s="217">
        <f t="shared" si="0"/>
        <v>0.54622699978189315</v>
      </c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</row>
    <row r="76" spans="1:89" s="216" customFormat="1" ht="15" customHeight="1" x14ac:dyDescent="0.45">
      <c r="A76" s="191"/>
      <c r="B76" s="396"/>
      <c r="C76" s="209" t="s">
        <v>1185</v>
      </c>
      <c r="D76" s="210" t="s">
        <v>1111</v>
      </c>
      <c r="E76" s="210" t="s">
        <v>1112</v>
      </c>
      <c r="F76" s="210" t="s">
        <v>1113</v>
      </c>
      <c r="G76" s="210" t="s">
        <v>1112</v>
      </c>
      <c r="H76" s="210" t="s">
        <v>1112</v>
      </c>
      <c r="I76" s="211">
        <v>35.002550697777302</v>
      </c>
      <c r="J76" s="211">
        <v>35.002550697777302</v>
      </c>
      <c r="K76" s="212">
        <v>0</v>
      </c>
      <c r="L76" s="213"/>
      <c r="M76" s="214"/>
      <c r="N76" s="213"/>
      <c r="O76" s="213">
        <v>0</v>
      </c>
      <c r="P76" s="215">
        <v>60</v>
      </c>
      <c r="Q76" s="210" t="s">
        <v>1112</v>
      </c>
      <c r="S76" s="217">
        <f>I76-$R$74</f>
        <v>4.2864898172613017</v>
      </c>
      <c r="U76" s="218">
        <f t="shared" si="1"/>
        <v>5.9308513007524155E-2</v>
      </c>
      <c r="V76" s="217">
        <f t="shared" si="0"/>
        <v>0.95972400698864768</v>
      </c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</row>
    <row r="77" spans="1:89" s="216" customFormat="1" ht="15" customHeight="1" x14ac:dyDescent="0.45">
      <c r="A77" s="191"/>
      <c r="B77" s="396"/>
      <c r="C77" s="209" t="s">
        <v>1186</v>
      </c>
      <c r="D77" s="210" t="s">
        <v>1111</v>
      </c>
      <c r="E77" s="210" t="s">
        <v>1112</v>
      </c>
      <c r="F77" s="210" t="s">
        <v>1113</v>
      </c>
      <c r="G77" s="210" t="s">
        <v>1112</v>
      </c>
      <c r="H77" s="210" t="s">
        <v>1112</v>
      </c>
      <c r="I77" s="211">
        <v>35.735039997854997</v>
      </c>
      <c r="J77" s="211">
        <v>35.735039997854997</v>
      </c>
      <c r="K77" s="212">
        <v>0</v>
      </c>
      <c r="L77" s="213"/>
      <c r="M77" s="214"/>
      <c r="N77" s="213"/>
      <c r="O77" s="213">
        <v>0</v>
      </c>
      <c r="P77" s="215">
        <v>60</v>
      </c>
      <c r="Q77" s="210" t="s">
        <v>1112</v>
      </c>
      <c r="R77" s="216">
        <v>30.890031407553099</v>
      </c>
      <c r="S77" s="217">
        <f>I77-$R$77</f>
        <v>4.845008590301898</v>
      </c>
      <c r="T77" s="218">
        <f>AVERAGE(S77:S85)</f>
        <v>4.2271813042537776</v>
      </c>
      <c r="U77" s="218">
        <f t="shared" si="1"/>
        <v>0.61782728604812043</v>
      </c>
      <c r="V77" s="217">
        <f t="shared" si="0"/>
        <v>0.65165158325607475</v>
      </c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</row>
    <row r="78" spans="1:89" s="216" customFormat="1" ht="15" customHeight="1" x14ac:dyDescent="0.45">
      <c r="A78" s="191"/>
      <c r="B78" s="396"/>
      <c r="C78" s="209" t="s">
        <v>1187</v>
      </c>
      <c r="D78" s="210" t="s">
        <v>1111</v>
      </c>
      <c r="E78" s="210" t="s">
        <v>1112</v>
      </c>
      <c r="F78" s="210" t="s">
        <v>1113</v>
      </c>
      <c r="G78" s="210" t="s">
        <v>1112</v>
      </c>
      <c r="H78" s="210" t="s">
        <v>1112</v>
      </c>
      <c r="I78" s="211">
        <v>35.244414941944498</v>
      </c>
      <c r="J78" s="211">
        <v>35.244414941944498</v>
      </c>
      <c r="K78" s="212">
        <v>0</v>
      </c>
      <c r="L78" s="213"/>
      <c r="M78" s="214"/>
      <c r="N78" s="213"/>
      <c r="O78" s="213">
        <v>0</v>
      </c>
      <c r="P78" s="215">
        <v>60</v>
      </c>
      <c r="Q78" s="210" t="s">
        <v>1112</v>
      </c>
      <c r="S78" s="217">
        <f>I78-$R$77</f>
        <v>4.354383534391399</v>
      </c>
      <c r="U78" s="218">
        <f t="shared" si="1"/>
        <v>0.12720223013762144</v>
      </c>
      <c r="V78" s="217">
        <f t="shared" si="0"/>
        <v>0.91560533221620999</v>
      </c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</row>
    <row r="79" spans="1:89" s="216" customFormat="1" ht="15" customHeight="1" x14ac:dyDescent="0.45">
      <c r="A79" s="191"/>
      <c r="B79" s="396"/>
      <c r="C79" s="209" t="s">
        <v>1188</v>
      </c>
      <c r="D79" s="210" t="s">
        <v>1111</v>
      </c>
      <c r="E79" s="210" t="s">
        <v>1112</v>
      </c>
      <c r="F79" s="210" t="s">
        <v>1113</v>
      </c>
      <c r="G79" s="210" t="s">
        <v>1112</v>
      </c>
      <c r="H79" s="210" t="s">
        <v>1112</v>
      </c>
      <c r="I79" s="211">
        <v>34.488622630795</v>
      </c>
      <c r="J79" s="211">
        <v>34.488622630795</v>
      </c>
      <c r="K79" s="212">
        <v>0</v>
      </c>
      <c r="L79" s="213"/>
      <c r="M79" s="214"/>
      <c r="N79" s="213"/>
      <c r="O79" s="213">
        <v>0</v>
      </c>
      <c r="P79" s="215">
        <v>60</v>
      </c>
      <c r="Q79" s="210" t="s">
        <v>1112</v>
      </c>
      <c r="S79" s="217">
        <f>I79-$R$77</f>
        <v>3.5985912232419004</v>
      </c>
      <c r="U79" s="218">
        <f t="shared" si="1"/>
        <v>-0.62859008101187719</v>
      </c>
      <c r="V79" s="217">
        <f t="shared" si="0"/>
        <v>1.5460533258857494</v>
      </c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1"/>
      <c r="BN79" s="191"/>
      <c r="BO79" s="191"/>
      <c r="BP79" s="191"/>
      <c r="BQ79" s="191"/>
      <c r="BR79" s="191"/>
      <c r="BS79" s="191"/>
      <c r="BT79" s="191"/>
      <c r="BU79" s="191"/>
      <c r="BV79" s="191"/>
      <c r="BW79" s="191"/>
      <c r="BX79" s="191"/>
      <c r="BY79" s="191"/>
      <c r="BZ79" s="191"/>
      <c r="CA79" s="191"/>
      <c r="CB79" s="191"/>
      <c r="CC79" s="191"/>
      <c r="CD79" s="191"/>
      <c r="CE79" s="191"/>
      <c r="CF79" s="191"/>
      <c r="CG79" s="191"/>
      <c r="CH79" s="191"/>
      <c r="CI79" s="191"/>
      <c r="CJ79" s="191"/>
      <c r="CK79" s="191"/>
    </row>
    <row r="80" spans="1:89" s="216" customFormat="1" ht="15" customHeight="1" x14ac:dyDescent="0.45">
      <c r="A80" s="191"/>
      <c r="B80" s="396"/>
      <c r="C80" s="209" t="s">
        <v>1189</v>
      </c>
      <c r="D80" s="210" t="s">
        <v>1111</v>
      </c>
      <c r="E80" s="210" t="s">
        <v>1112</v>
      </c>
      <c r="F80" s="210" t="s">
        <v>1113</v>
      </c>
      <c r="G80" s="210" t="s">
        <v>1112</v>
      </c>
      <c r="H80" s="210" t="s">
        <v>1112</v>
      </c>
      <c r="I80" s="211">
        <v>35.109038109400601</v>
      </c>
      <c r="J80" s="211">
        <v>35.109038109400601</v>
      </c>
      <c r="K80" s="212">
        <v>0</v>
      </c>
      <c r="L80" s="213"/>
      <c r="M80" s="214"/>
      <c r="N80" s="213"/>
      <c r="O80" s="213">
        <v>0</v>
      </c>
      <c r="P80" s="215">
        <v>60</v>
      </c>
      <c r="Q80" s="210" t="s">
        <v>1112</v>
      </c>
      <c r="R80" s="216">
        <v>30.986029259546449</v>
      </c>
      <c r="S80" s="217">
        <f>I80-$R$80</f>
        <v>4.1230088498541519</v>
      </c>
      <c r="U80" s="218">
        <f t="shared" si="1"/>
        <v>-0.10417245439962564</v>
      </c>
      <c r="V80" s="217">
        <f t="shared" si="0"/>
        <v>1.0748776520533083</v>
      </c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</row>
    <row r="81" spans="1:89" s="216" customFormat="1" ht="15" customHeight="1" x14ac:dyDescent="0.45">
      <c r="A81" s="191"/>
      <c r="B81" s="396"/>
      <c r="C81" s="209" t="s">
        <v>1190</v>
      </c>
      <c r="D81" s="210" t="s">
        <v>1111</v>
      </c>
      <c r="E81" s="210" t="s">
        <v>1112</v>
      </c>
      <c r="F81" s="210" t="s">
        <v>1113</v>
      </c>
      <c r="G81" s="210" t="s">
        <v>1112</v>
      </c>
      <c r="H81" s="210" t="s">
        <v>1112</v>
      </c>
      <c r="I81" s="211">
        <v>35.2313246994472</v>
      </c>
      <c r="J81" s="211">
        <v>35.2313246994472</v>
      </c>
      <c r="K81" s="212">
        <v>0</v>
      </c>
      <c r="L81" s="213"/>
      <c r="M81" s="214"/>
      <c r="N81" s="213"/>
      <c r="O81" s="213">
        <v>0</v>
      </c>
      <c r="P81" s="215">
        <v>60</v>
      </c>
      <c r="Q81" s="210" t="s">
        <v>1112</v>
      </c>
      <c r="S81" s="217">
        <f>I81-$R$80</f>
        <v>4.245295439900751</v>
      </c>
      <c r="U81" s="218">
        <f t="shared" si="1"/>
        <v>1.8114135646973395E-2</v>
      </c>
      <c r="V81" s="217">
        <f t="shared" si="0"/>
        <v>0.98752273266459778</v>
      </c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</row>
    <row r="82" spans="1:89" s="216" customFormat="1" ht="15" customHeight="1" x14ac:dyDescent="0.45">
      <c r="A82" s="191"/>
      <c r="B82" s="396"/>
      <c r="C82" s="209" t="s">
        <v>1191</v>
      </c>
      <c r="D82" s="210" t="s">
        <v>1111</v>
      </c>
      <c r="E82" s="210" t="s">
        <v>1112</v>
      </c>
      <c r="F82" s="210" t="s">
        <v>1113</v>
      </c>
      <c r="G82" s="210" t="s">
        <v>1112</v>
      </c>
      <c r="H82" s="210" t="s">
        <v>1112</v>
      </c>
      <c r="I82" s="211">
        <v>35.114942731146598</v>
      </c>
      <c r="J82" s="211">
        <v>35.114942731146598</v>
      </c>
      <c r="K82" s="212">
        <v>0</v>
      </c>
      <c r="L82" s="213"/>
      <c r="M82" s="214"/>
      <c r="N82" s="213"/>
      <c r="O82" s="213">
        <v>0</v>
      </c>
      <c r="P82" s="215">
        <v>60</v>
      </c>
      <c r="Q82" s="210" t="s">
        <v>1112</v>
      </c>
      <c r="S82" s="217">
        <f>I82-$R$80</f>
        <v>4.1289134716001499</v>
      </c>
      <c r="U82" s="218">
        <f t="shared" si="1"/>
        <v>-9.8267832653627707E-2</v>
      </c>
      <c r="V82" s="217">
        <f t="shared" si="0"/>
        <v>1.0704874132377631</v>
      </c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N82" s="191"/>
      <c r="BO82" s="191"/>
      <c r="BP82" s="191"/>
      <c r="BQ82" s="191"/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1"/>
      <c r="CH82" s="191"/>
      <c r="CI82" s="191"/>
      <c r="CJ82" s="191"/>
      <c r="CK82" s="191"/>
    </row>
    <row r="83" spans="1:89" s="216" customFormat="1" ht="15" customHeight="1" x14ac:dyDescent="0.45">
      <c r="A83" s="191"/>
      <c r="B83" s="396"/>
      <c r="C83" s="209" t="s">
        <v>1192</v>
      </c>
      <c r="D83" s="210" t="s">
        <v>1111</v>
      </c>
      <c r="E83" s="210" t="s">
        <v>1112</v>
      </c>
      <c r="F83" s="210" t="s">
        <v>1113</v>
      </c>
      <c r="G83" s="210" t="s">
        <v>1112</v>
      </c>
      <c r="H83" s="210" t="s">
        <v>1112</v>
      </c>
      <c r="I83" s="211">
        <v>35.555176457100202</v>
      </c>
      <c r="J83" s="211">
        <v>35.555176457100202</v>
      </c>
      <c r="K83" s="212">
        <v>0</v>
      </c>
      <c r="L83" s="213"/>
      <c r="M83" s="214"/>
      <c r="N83" s="213"/>
      <c r="O83" s="213">
        <v>0</v>
      </c>
      <c r="P83" s="215">
        <v>60</v>
      </c>
      <c r="Q83" s="210" t="s">
        <v>1112</v>
      </c>
      <c r="R83" s="216">
        <v>30.69825613752295</v>
      </c>
      <c r="S83" s="217">
        <f>I83-$R$83</f>
        <v>4.8569203195772523</v>
      </c>
      <c r="U83" s="218">
        <f t="shared" si="1"/>
        <v>0.62973901532347476</v>
      </c>
      <c r="V83" s="217">
        <f t="shared" si="0"/>
        <v>0.64629331971823356</v>
      </c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N83" s="191"/>
      <c r="BO83" s="191"/>
      <c r="BP83" s="191"/>
      <c r="BQ83" s="191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</row>
    <row r="84" spans="1:89" s="216" customFormat="1" ht="15" customHeight="1" x14ac:dyDescent="0.45">
      <c r="A84" s="191"/>
      <c r="B84" s="396"/>
      <c r="C84" s="209" t="s">
        <v>1193</v>
      </c>
      <c r="D84" s="210" t="s">
        <v>1111</v>
      </c>
      <c r="E84" s="210" t="s">
        <v>1112</v>
      </c>
      <c r="F84" s="210" t="s">
        <v>1113</v>
      </c>
      <c r="G84" s="210" t="s">
        <v>1112</v>
      </c>
      <c r="H84" s="210" t="s">
        <v>1112</v>
      </c>
      <c r="I84" s="211">
        <v>34.600010740616597</v>
      </c>
      <c r="J84" s="211">
        <v>34.600010740616597</v>
      </c>
      <c r="K84" s="212">
        <v>0</v>
      </c>
      <c r="L84" s="213"/>
      <c r="M84" s="214"/>
      <c r="N84" s="213"/>
      <c r="O84" s="213">
        <v>0</v>
      </c>
      <c r="P84" s="215">
        <v>60</v>
      </c>
      <c r="Q84" s="210" t="s">
        <v>1112</v>
      </c>
      <c r="S84" s="217">
        <f>I84-$R$83</f>
        <v>3.9017546030936465</v>
      </c>
      <c r="U84" s="218">
        <f t="shared" si="1"/>
        <v>-0.32542670116013106</v>
      </c>
      <c r="V84" s="217">
        <f t="shared" si="0"/>
        <v>1.2530349898546287</v>
      </c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1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</row>
    <row r="85" spans="1:89" s="216" customFormat="1" ht="15" customHeight="1" x14ac:dyDescent="0.45">
      <c r="A85" s="191"/>
      <c r="B85" s="396"/>
      <c r="C85" s="209" t="s">
        <v>1194</v>
      </c>
      <c r="D85" s="210" t="s">
        <v>1111</v>
      </c>
      <c r="E85" s="210" t="s">
        <v>1112</v>
      </c>
      <c r="F85" s="210" t="s">
        <v>1113</v>
      </c>
      <c r="G85" s="210" t="s">
        <v>1112</v>
      </c>
      <c r="H85" s="210" t="s">
        <v>1112</v>
      </c>
      <c r="I85" s="211">
        <v>34.689011843845798</v>
      </c>
      <c r="J85" s="211">
        <v>34.689011843845798</v>
      </c>
      <c r="K85" s="212">
        <v>0</v>
      </c>
      <c r="L85" s="213"/>
      <c r="M85" s="214"/>
      <c r="N85" s="213"/>
      <c r="O85" s="213">
        <v>0</v>
      </c>
      <c r="P85" s="215">
        <v>60</v>
      </c>
      <c r="Q85" s="210" t="s">
        <v>1112</v>
      </c>
      <c r="S85" s="217">
        <f>I85-$R$83</f>
        <v>3.9907557063228474</v>
      </c>
      <c r="U85" s="218">
        <f t="shared" si="1"/>
        <v>-0.23642559793093021</v>
      </c>
      <c r="V85" s="217">
        <f t="shared" si="0"/>
        <v>1.1780702714316778</v>
      </c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</row>
    <row r="86" spans="1:89" s="216" customFormat="1" ht="15" customHeight="1" x14ac:dyDescent="0.45">
      <c r="A86" s="191"/>
      <c r="B86" s="396"/>
      <c r="C86" s="209" t="s">
        <v>1195</v>
      </c>
      <c r="D86" s="210" t="s">
        <v>1111</v>
      </c>
      <c r="E86" s="210" t="s">
        <v>1112</v>
      </c>
      <c r="F86" s="210" t="s">
        <v>1113</v>
      </c>
      <c r="G86" s="210" t="s">
        <v>1112</v>
      </c>
      <c r="H86" s="210" t="s">
        <v>1112</v>
      </c>
      <c r="I86" s="211">
        <v>32.667634201199697</v>
      </c>
      <c r="J86" s="211">
        <v>32.667634201199697</v>
      </c>
      <c r="K86" s="212">
        <v>0</v>
      </c>
      <c r="L86" s="213"/>
      <c r="M86" s="214"/>
      <c r="N86" s="213"/>
      <c r="O86" s="213">
        <v>0</v>
      </c>
      <c r="P86" s="215">
        <v>60</v>
      </c>
      <c r="Q86" s="210" t="s">
        <v>1112</v>
      </c>
      <c r="R86" s="216">
        <v>29.30162231629285</v>
      </c>
      <c r="S86" s="217">
        <f>I86-$R$86</f>
        <v>3.3660118849068468</v>
      </c>
      <c r="U86" s="218">
        <f t="shared" si="1"/>
        <v>-0.86116941934693081</v>
      </c>
      <c r="V86" s="217">
        <f t="shared" si="0"/>
        <v>1.8165101403228479</v>
      </c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</row>
    <row r="87" spans="1:89" s="216" customFormat="1" ht="15" customHeight="1" x14ac:dyDescent="0.45">
      <c r="A87" s="191"/>
      <c r="B87" s="396"/>
      <c r="C87" s="209" t="s">
        <v>1196</v>
      </c>
      <c r="D87" s="210" t="s">
        <v>1111</v>
      </c>
      <c r="E87" s="210" t="s">
        <v>1112</v>
      </c>
      <c r="F87" s="210" t="s">
        <v>1113</v>
      </c>
      <c r="G87" s="210" t="s">
        <v>1112</v>
      </c>
      <c r="H87" s="210" t="s">
        <v>1112</v>
      </c>
      <c r="I87" s="211">
        <v>33.399956367115003</v>
      </c>
      <c r="J87" s="211">
        <v>33.399956367115003</v>
      </c>
      <c r="K87" s="212">
        <v>0</v>
      </c>
      <c r="L87" s="213"/>
      <c r="M87" s="214"/>
      <c r="N87" s="213"/>
      <c r="O87" s="213">
        <v>0</v>
      </c>
      <c r="P87" s="215">
        <v>60</v>
      </c>
      <c r="Q87" s="210" t="s">
        <v>1112</v>
      </c>
      <c r="S87" s="217">
        <f>I87-$R$86</f>
        <v>4.0983340508221531</v>
      </c>
      <c r="U87" s="218">
        <f t="shared" si="1"/>
        <v>-0.12884725343162451</v>
      </c>
      <c r="V87" s="217">
        <f t="shared" si="0"/>
        <v>1.0934196846139399</v>
      </c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1"/>
      <c r="BN87" s="191"/>
      <c r="BO87" s="191"/>
      <c r="BP87" s="191"/>
      <c r="BQ87" s="191"/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  <c r="CE87" s="191"/>
      <c r="CF87" s="191"/>
      <c r="CG87" s="191"/>
      <c r="CH87" s="191"/>
      <c r="CI87" s="191"/>
      <c r="CJ87" s="191"/>
      <c r="CK87" s="191"/>
    </row>
    <row r="88" spans="1:89" s="216" customFormat="1" ht="15" customHeight="1" x14ac:dyDescent="0.45">
      <c r="A88" s="191"/>
      <c r="B88" s="396"/>
      <c r="C88" s="209" t="s">
        <v>1197</v>
      </c>
      <c r="D88" s="210" t="s">
        <v>1111</v>
      </c>
      <c r="E88" s="210" t="s">
        <v>1112</v>
      </c>
      <c r="F88" s="210" t="s">
        <v>1113</v>
      </c>
      <c r="G88" s="210" t="s">
        <v>1112</v>
      </c>
      <c r="H88" s="210" t="s">
        <v>1112</v>
      </c>
      <c r="I88" s="211">
        <v>33.643862488312301</v>
      </c>
      <c r="J88" s="211">
        <v>33.643862488312301</v>
      </c>
      <c r="K88" s="212">
        <v>0</v>
      </c>
      <c r="L88" s="213"/>
      <c r="M88" s="214"/>
      <c r="N88" s="213"/>
      <c r="O88" s="213">
        <v>0</v>
      </c>
      <c r="P88" s="215">
        <v>60</v>
      </c>
      <c r="Q88" s="210" t="s">
        <v>1112</v>
      </c>
      <c r="S88" s="217">
        <f>I88-$R$86</f>
        <v>4.3422401720194514</v>
      </c>
      <c r="U88" s="218">
        <f t="shared" si="1"/>
        <v>0.11505886776567387</v>
      </c>
      <c r="V88" s="217">
        <f t="shared" si="0"/>
        <v>0.92334463378245302</v>
      </c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</row>
    <row r="89" spans="1:89" s="216" customFormat="1" ht="15" customHeight="1" x14ac:dyDescent="0.45">
      <c r="A89" s="191"/>
      <c r="B89" s="396"/>
      <c r="C89" s="209" t="s">
        <v>1198</v>
      </c>
      <c r="D89" s="210" t="s">
        <v>1111</v>
      </c>
      <c r="E89" s="210" t="s">
        <v>1112</v>
      </c>
      <c r="F89" s="210" t="s">
        <v>1113</v>
      </c>
      <c r="G89" s="210" t="s">
        <v>1112</v>
      </c>
      <c r="H89" s="210" t="s">
        <v>1112</v>
      </c>
      <c r="I89" s="211">
        <v>33.172473400905297</v>
      </c>
      <c r="J89" s="211">
        <v>33.172473400905297</v>
      </c>
      <c r="K89" s="212">
        <v>0</v>
      </c>
      <c r="L89" s="213"/>
      <c r="M89" s="214"/>
      <c r="N89" s="213"/>
      <c r="O89" s="213">
        <v>0</v>
      </c>
      <c r="P89" s="215">
        <v>60</v>
      </c>
      <c r="Q89" s="210" t="s">
        <v>1112</v>
      </c>
      <c r="R89" s="216">
        <v>29.435843978540852</v>
      </c>
      <c r="S89" s="217">
        <f>I89-$R$89</f>
        <v>3.7366294223644445</v>
      </c>
      <c r="U89" s="218">
        <f t="shared" si="1"/>
        <v>-0.49055188188933307</v>
      </c>
      <c r="V89" s="217">
        <f t="shared" si="0"/>
        <v>1.4049822283576781</v>
      </c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</row>
    <row r="90" spans="1:89" s="216" customFormat="1" ht="15" customHeight="1" x14ac:dyDescent="0.45">
      <c r="A90" s="191"/>
      <c r="B90" s="396"/>
      <c r="C90" s="209" t="s">
        <v>1199</v>
      </c>
      <c r="D90" s="210" t="s">
        <v>1111</v>
      </c>
      <c r="E90" s="210" t="s">
        <v>1112</v>
      </c>
      <c r="F90" s="210" t="s">
        <v>1113</v>
      </c>
      <c r="G90" s="210" t="s">
        <v>1112</v>
      </c>
      <c r="H90" s="210" t="s">
        <v>1112</v>
      </c>
      <c r="I90" s="211">
        <v>33.659507197473097</v>
      </c>
      <c r="J90" s="211">
        <v>33.659507197473097</v>
      </c>
      <c r="K90" s="212">
        <v>0</v>
      </c>
      <c r="L90" s="213"/>
      <c r="M90" s="214"/>
      <c r="N90" s="213"/>
      <c r="O90" s="213">
        <v>0</v>
      </c>
      <c r="P90" s="215">
        <v>60</v>
      </c>
      <c r="Q90" s="210" t="s">
        <v>1112</v>
      </c>
      <c r="S90" s="217">
        <f>I90-$R$89</f>
        <v>4.2236632189322449</v>
      </c>
      <c r="U90" s="218">
        <f t="shared" si="1"/>
        <v>-3.518085321532638E-3</v>
      </c>
      <c r="V90" s="217">
        <f t="shared" si="0"/>
        <v>1.002441526605182</v>
      </c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1"/>
      <c r="BX90" s="191"/>
      <c r="BY90" s="191"/>
      <c r="BZ90" s="191"/>
      <c r="CA90" s="191"/>
      <c r="CB90" s="191"/>
      <c r="CC90" s="191"/>
      <c r="CD90" s="191"/>
      <c r="CE90" s="191"/>
      <c r="CF90" s="191"/>
      <c r="CG90" s="191"/>
      <c r="CH90" s="191"/>
      <c r="CI90" s="191"/>
      <c r="CJ90" s="191"/>
      <c r="CK90" s="191"/>
    </row>
    <row r="91" spans="1:89" s="216" customFormat="1" ht="15" customHeight="1" x14ac:dyDescent="0.45">
      <c r="A91" s="191"/>
      <c r="B91" s="396"/>
      <c r="C91" s="209" t="s">
        <v>1200</v>
      </c>
      <c r="D91" s="210" t="s">
        <v>1111</v>
      </c>
      <c r="E91" s="210" t="s">
        <v>1112</v>
      </c>
      <c r="F91" s="210" t="s">
        <v>1113</v>
      </c>
      <c r="G91" s="210" t="s">
        <v>1112</v>
      </c>
      <c r="H91" s="210" t="s">
        <v>1112</v>
      </c>
      <c r="I91" s="211">
        <v>33.108499413925699</v>
      </c>
      <c r="J91" s="211">
        <v>33.108499413925699</v>
      </c>
      <c r="K91" s="212">
        <v>0</v>
      </c>
      <c r="L91" s="213"/>
      <c r="M91" s="214"/>
      <c r="N91" s="213"/>
      <c r="O91" s="213">
        <v>0</v>
      </c>
      <c r="P91" s="215">
        <v>60</v>
      </c>
      <c r="Q91" s="210" t="s">
        <v>1112</v>
      </c>
      <c r="S91" s="217">
        <f>I91-$R$89</f>
        <v>3.6726554353848471</v>
      </c>
      <c r="U91" s="218">
        <f>S91-$T$77</f>
        <v>-0.55452586886893052</v>
      </c>
      <c r="V91" s="217">
        <f t="shared" si="0"/>
        <v>1.4686858811263237</v>
      </c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191"/>
      <c r="BF91" s="191"/>
      <c r="BG91" s="191"/>
      <c r="BH91" s="191"/>
      <c r="BI91" s="191"/>
      <c r="BJ91" s="191"/>
      <c r="BK91" s="191"/>
      <c r="BL91" s="191"/>
      <c r="BM91" s="191"/>
      <c r="BN91" s="191"/>
      <c r="BO91" s="191"/>
      <c r="BP91" s="191"/>
      <c r="BQ91" s="191"/>
      <c r="BR91" s="191"/>
      <c r="BS91" s="191"/>
      <c r="BT91" s="191"/>
      <c r="BU91" s="191"/>
      <c r="BV91" s="191"/>
      <c r="BW91" s="191"/>
      <c r="BX91" s="191"/>
      <c r="BY91" s="191"/>
      <c r="BZ91" s="191"/>
      <c r="CA91" s="191"/>
      <c r="CB91" s="191"/>
      <c r="CC91" s="191"/>
      <c r="CD91" s="191"/>
      <c r="CE91" s="191"/>
      <c r="CF91" s="191"/>
      <c r="CG91" s="191"/>
      <c r="CH91" s="191"/>
      <c r="CI91" s="191"/>
      <c r="CJ91" s="191"/>
      <c r="CK91" s="191"/>
    </row>
    <row r="92" spans="1:89" s="216" customFormat="1" ht="15" customHeight="1" x14ac:dyDescent="0.45">
      <c r="A92" s="191"/>
      <c r="B92" s="396"/>
      <c r="C92" s="209" t="s">
        <v>1201</v>
      </c>
      <c r="D92" s="210" t="s">
        <v>1111</v>
      </c>
      <c r="E92" s="210" t="s">
        <v>1112</v>
      </c>
      <c r="F92" s="210" t="s">
        <v>1113</v>
      </c>
      <c r="G92" s="210" t="s">
        <v>1112</v>
      </c>
      <c r="H92" s="210" t="s">
        <v>1112</v>
      </c>
      <c r="I92" s="211">
        <v>33.273193690747703</v>
      </c>
      <c r="J92" s="211">
        <v>33.273193690747703</v>
      </c>
      <c r="K92" s="212">
        <v>0</v>
      </c>
      <c r="L92" s="213"/>
      <c r="M92" s="214"/>
      <c r="N92" s="213"/>
      <c r="O92" s="213">
        <v>0</v>
      </c>
      <c r="P92" s="215">
        <v>60</v>
      </c>
      <c r="Q92" s="210" t="s">
        <v>1112</v>
      </c>
      <c r="R92" s="216">
        <v>30.051769442221598</v>
      </c>
      <c r="S92" s="217">
        <f>I92-$R$92</f>
        <v>3.2214242485261053</v>
      </c>
      <c r="U92" s="218">
        <f t="shared" si="1"/>
        <v>-1.0057570557276723</v>
      </c>
      <c r="V92" s="217">
        <f t="shared" si="0"/>
        <v>2.0079969190806248</v>
      </c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191"/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1"/>
      <c r="BR92" s="191"/>
      <c r="BS92" s="191"/>
      <c r="BT92" s="191"/>
      <c r="BU92" s="191"/>
      <c r="BV92" s="191"/>
      <c r="BW92" s="191"/>
      <c r="BX92" s="191"/>
      <c r="BY92" s="191"/>
      <c r="BZ92" s="191"/>
      <c r="CA92" s="191"/>
      <c r="CB92" s="191"/>
      <c r="CC92" s="191"/>
      <c r="CD92" s="191"/>
      <c r="CE92" s="191"/>
      <c r="CF92" s="191"/>
      <c r="CG92" s="191"/>
      <c r="CH92" s="191"/>
      <c r="CI92" s="191"/>
      <c r="CJ92" s="191"/>
      <c r="CK92" s="191"/>
    </row>
    <row r="93" spans="1:89" s="216" customFormat="1" ht="15" customHeight="1" x14ac:dyDescent="0.45">
      <c r="A93" s="191"/>
      <c r="B93" s="396"/>
      <c r="C93" s="209" t="s">
        <v>1202</v>
      </c>
      <c r="D93" s="210" t="s">
        <v>1111</v>
      </c>
      <c r="E93" s="210" t="s">
        <v>1112</v>
      </c>
      <c r="F93" s="210" t="s">
        <v>1113</v>
      </c>
      <c r="G93" s="210" t="s">
        <v>1112</v>
      </c>
      <c r="H93" s="210" t="s">
        <v>1112</v>
      </c>
      <c r="I93" s="211">
        <v>33.648429018762201</v>
      </c>
      <c r="J93" s="211">
        <v>33.648429018762201</v>
      </c>
      <c r="K93" s="212">
        <v>0</v>
      </c>
      <c r="L93" s="213"/>
      <c r="M93" s="214"/>
      <c r="N93" s="213"/>
      <c r="O93" s="213">
        <v>0</v>
      </c>
      <c r="P93" s="215">
        <v>60</v>
      </c>
      <c r="Q93" s="210" t="s">
        <v>1112</v>
      </c>
      <c r="S93" s="217">
        <f>I93-$R$92</f>
        <v>3.5966595765406026</v>
      </c>
      <c r="U93" s="218">
        <f t="shared" si="1"/>
        <v>-0.63052172771317494</v>
      </c>
      <c r="V93" s="217">
        <f t="shared" si="0"/>
        <v>1.5481247470126873</v>
      </c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  <c r="AM93" s="191"/>
      <c r="AN93" s="191"/>
      <c r="AO93" s="191"/>
      <c r="AP93" s="191"/>
      <c r="AQ93" s="191"/>
      <c r="AR93" s="191"/>
      <c r="AS93" s="191"/>
      <c r="AT93" s="191"/>
      <c r="AU93" s="191"/>
      <c r="AV93" s="191"/>
      <c r="AW93" s="191"/>
      <c r="AX93" s="191"/>
      <c r="AY93" s="191"/>
      <c r="AZ93" s="191"/>
      <c r="BA93" s="191"/>
      <c r="BB93" s="191"/>
      <c r="BC93" s="191"/>
      <c r="BD93" s="191"/>
      <c r="BE93" s="191"/>
      <c r="BF93" s="191"/>
      <c r="BG93" s="191"/>
      <c r="BH93" s="191"/>
      <c r="BI93" s="191"/>
      <c r="BJ93" s="191"/>
      <c r="BK93" s="191"/>
      <c r="BL93" s="191"/>
      <c r="BM93" s="191"/>
      <c r="BN93" s="191"/>
      <c r="BO93" s="191"/>
      <c r="BP93" s="191"/>
      <c r="BQ93" s="191"/>
      <c r="BR93" s="191"/>
      <c r="BS93" s="191"/>
      <c r="BT93" s="191"/>
      <c r="BU93" s="191"/>
      <c r="BV93" s="191"/>
      <c r="BW93" s="191"/>
      <c r="BX93" s="191"/>
      <c r="BY93" s="191"/>
      <c r="BZ93" s="191"/>
      <c r="CA93" s="191"/>
      <c r="CB93" s="191"/>
      <c r="CC93" s="191"/>
      <c r="CD93" s="191"/>
      <c r="CE93" s="191"/>
      <c r="CF93" s="191"/>
      <c r="CG93" s="191"/>
      <c r="CH93" s="191"/>
      <c r="CI93" s="191"/>
      <c r="CJ93" s="191"/>
      <c r="CK93" s="191"/>
    </row>
    <row r="94" spans="1:89" s="216" customFormat="1" ht="15" customHeight="1" x14ac:dyDescent="0.45">
      <c r="A94" s="191"/>
      <c r="B94" s="397"/>
      <c r="C94" s="219" t="s">
        <v>1203</v>
      </c>
      <c r="D94" s="220" t="s">
        <v>1111</v>
      </c>
      <c r="E94" s="220" t="s">
        <v>1112</v>
      </c>
      <c r="F94" s="220" t="s">
        <v>1113</v>
      </c>
      <c r="G94" s="220" t="s">
        <v>1112</v>
      </c>
      <c r="H94" s="220" t="s">
        <v>1112</v>
      </c>
      <c r="I94" s="221">
        <v>33.496525690358197</v>
      </c>
      <c r="J94" s="221">
        <v>33.496525690358197</v>
      </c>
      <c r="K94" s="222">
        <v>0</v>
      </c>
      <c r="L94" s="213"/>
      <c r="M94" s="214"/>
      <c r="N94" s="213"/>
      <c r="O94" s="213">
        <v>0</v>
      </c>
      <c r="P94" s="215">
        <v>60</v>
      </c>
      <c r="Q94" s="210" t="s">
        <v>1112</v>
      </c>
      <c r="S94" s="217">
        <f>I94-$R$92</f>
        <v>3.4447562481365992</v>
      </c>
      <c r="U94" s="218">
        <f>S94-$T$77</f>
        <v>-0.78242505611717839</v>
      </c>
      <c r="V94" s="217">
        <f>2^(-U94)</f>
        <v>1.7200196611257255</v>
      </c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  <c r="BK94" s="191"/>
      <c r="BL94" s="191"/>
      <c r="BM94" s="191"/>
      <c r="BN94" s="191"/>
      <c r="BO94" s="191"/>
      <c r="BP94" s="191"/>
      <c r="BQ94" s="191"/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</row>
    <row r="95" spans="1:89" s="191" customFormat="1" ht="15" customHeight="1" x14ac:dyDescent="0.45">
      <c r="C95" s="223" t="s">
        <v>1204</v>
      </c>
      <c r="D95" s="223" t="s">
        <v>1111</v>
      </c>
      <c r="E95" s="223" t="s">
        <v>1112</v>
      </c>
      <c r="F95" s="223" t="s">
        <v>1113</v>
      </c>
      <c r="G95" s="223" t="s">
        <v>1112</v>
      </c>
      <c r="H95" s="223" t="s">
        <v>1112</v>
      </c>
      <c r="I95" s="224"/>
      <c r="J95" s="224">
        <v>0</v>
      </c>
      <c r="K95" s="225">
        <v>0</v>
      </c>
      <c r="L95" s="226"/>
      <c r="M95" s="225"/>
      <c r="N95" s="226">
        <v>0</v>
      </c>
      <c r="O95" s="226">
        <v>0</v>
      </c>
      <c r="P95" s="227">
        <v>60</v>
      </c>
      <c r="Q95" s="223" t="s">
        <v>1112</v>
      </c>
    </row>
    <row r="96" spans="1:89" s="191" customFormat="1" ht="15" customHeight="1" x14ac:dyDescent="0.45">
      <c r="C96" s="223" t="s">
        <v>1205</v>
      </c>
      <c r="D96" s="223" t="s">
        <v>1111</v>
      </c>
      <c r="E96" s="223" t="s">
        <v>1112</v>
      </c>
      <c r="F96" s="223" t="s">
        <v>1113</v>
      </c>
      <c r="G96" s="223" t="s">
        <v>1112</v>
      </c>
      <c r="H96" s="223" t="s">
        <v>1112</v>
      </c>
      <c r="I96" s="224"/>
      <c r="J96" s="224">
        <v>0</v>
      </c>
      <c r="K96" s="225">
        <v>0</v>
      </c>
      <c r="L96" s="226"/>
      <c r="M96" s="225"/>
      <c r="N96" s="226">
        <v>0</v>
      </c>
      <c r="O96" s="226">
        <v>0</v>
      </c>
      <c r="P96" s="227">
        <v>60</v>
      </c>
      <c r="Q96" s="223" t="s">
        <v>1112</v>
      </c>
    </row>
    <row r="97" spans="3:17" s="191" customFormat="1" ht="15" customHeight="1" x14ac:dyDescent="0.45">
      <c r="C97" s="223" t="s">
        <v>1206</v>
      </c>
      <c r="D97" s="223" t="s">
        <v>1111</v>
      </c>
      <c r="E97" s="223" t="s">
        <v>1112</v>
      </c>
      <c r="F97" s="223" t="s">
        <v>1113</v>
      </c>
      <c r="G97" s="223" t="s">
        <v>1112</v>
      </c>
      <c r="H97" s="223" t="s">
        <v>1112</v>
      </c>
      <c r="I97" s="224"/>
      <c r="J97" s="224">
        <v>0</v>
      </c>
      <c r="K97" s="225">
        <v>0</v>
      </c>
      <c r="L97" s="226"/>
      <c r="M97" s="225"/>
      <c r="N97" s="226">
        <v>0</v>
      </c>
      <c r="O97" s="226">
        <v>0</v>
      </c>
      <c r="P97" s="227">
        <v>60</v>
      </c>
      <c r="Q97" s="223" t="s">
        <v>1112</v>
      </c>
    </row>
    <row r="98" spans="3:17" s="191" customFormat="1" ht="15" customHeight="1" x14ac:dyDescent="0.45">
      <c r="C98" s="223" t="s">
        <v>1207</v>
      </c>
      <c r="D98" s="223" t="s">
        <v>1111</v>
      </c>
      <c r="E98" s="223" t="s">
        <v>1112</v>
      </c>
      <c r="F98" s="223" t="s">
        <v>1113</v>
      </c>
      <c r="G98" s="223" t="s">
        <v>1112</v>
      </c>
      <c r="H98" s="223" t="s">
        <v>1112</v>
      </c>
      <c r="I98" s="224"/>
      <c r="J98" s="224">
        <v>0</v>
      </c>
      <c r="K98" s="225">
        <v>0</v>
      </c>
      <c r="L98" s="226"/>
      <c r="M98" s="225"/>
      <c r="N98" s="226">
        <v>0</v>
      </c>
      <c r="O98" s="226">
        <v>0</v>
      </c>
      <c r="P98" s="227">
        <v>60</v>
      </c>
      <c r="Q98" s="223" t="s">
        <v>1112</v>
      </c>
    </row>
    <row r="99" spans="3:17" s="191" customFormat="1" ht="15" customHeight="1" x14ac:dyDescent="0.45">
      <c r="C99" s="223" t="s">
        <v>1208</v>
      </c>
      <c r="D99" s="223" t="s">
        <v>1111</v>
      </c>
      <c r="E99" s="223" t="s">
        <v>1112</v>
      </c>
      <c r="F99" s="223" t="s">
        <v>1113</v>
      </c>
      <c r="G99" s="223" t="s">
        <v>1112</v>
      </c>
      <c r="H99" s="223" t="s">
        <v>1112</v>
      </c>
      <c r="I99" s="224"/>
      <c r="J99" s="224">
        <v>0</v>
      </c>
      <c r="K99" s="225">
        <v>0</v>
      </c>
      <c r="L99" s="226"/>
      <c r="M99" s="225"/>
      <c r="N99" s="226">
        <v>0</v>
      </c>
      <c r="O99" s="226">
        <v>0</v>
      </c>
      <c r="P99" s="227">
        <v>60</v>
      </c>
      <c r="Q99" s="223" t="s">
        <v>1112</v>
      </c>
    </row>
    <row r="100" spans="3:17" s="191" customFormat="1" ht="15" customHeight="1" x14ac:dyDescent="0.45">
      <c r="C100" s="223" t="s">
        <v>1209</v>
      </c>
      <c r="D100" s="223" t="s">
        <v>1111</v>
      </c>
      <c r="E100" s="223" t="s">
        <v>1112</v>
      </c>
      <c r="F100" s="223" t="s">
        <v>1113</v>
      </c>
      <c r="G100" s="223" t="s">
        <v>1112</v>
      </c>
      <c r="H100" s="223" t="s">
        <v>1112</v>
      </c>
      <c r="I100" s="224"/>
      <c r="J100" s="224">
        <v>0</v>
      </c>
      <c r="K100" s="225">
        <v>0</v>
      </c>
      <c r="L100" s="226"/>
      <c r="M100" s="225"/>
      <c r="N100" s="226">
        <v>0</v>
      </c>
      <c r="O100" s="226">
        <v>0</v>
      </c>
      <c r="P100" s="227">
        <v>60</v>
      </c>
      <c r="Q100" s="223" t="s">
        <v>1112</v>
      </c>
    </row>
    <row r="101" spans="3:17" s="191" customFormat="1" ht="12.5" x14ac:dyDescent="0.45">
      <c r="C101" s="223"/>
      <c r="D101" s="223"/>
      <c r="E101" s="223"/>
      <c r="F101" s="223"/>
      <c r="G101" s="223"/>
      <c r="H101" s="223"/>
      <c r="I101" s="224"/>
      <c r="J101" s="224"/>
      <c r="K101" s="225"/>
      <c r="L101" s="226"/>
      <c r="M101" s="225"/>
      <c r="N101" s="226"/>
      <c r="O101" s="226"/>
      <c r="P101" s="227"/>
      <c r="Q101" s="223"/>
    </row>
    <row r="102" spans="3:17" s="191" customFormat="1" ht="12.5" x14ac:dyDescent="0.45">
      <c r="C102" s="223"/>
      <c r="D102" s="223"/>
      <c r="E102" s="223"/>
      <c r="F102" s="223"/>
      <c r="G102" s="223"/>
      <c r="H102" s="223"/>
      <c r="I102" s="224"/>
      <c r="J102" s="224"/>
      <c r="K102" s="225"/>
      <c r="L102" s="226"/>
      <c r="M102" s="225"/>
      <c r="N102" s="226"/>
      <c r="O102" s="226"/>
      <c r="P102" s="227"/>
      <c r="Q102" s="223"/>
    </row>
  </sheetData>
  <mergeCells count="2">
    <mergeCell ref="B5:B40"/>
    <mergeCell ref="B41:B94"/>
  </mergeCells>
  <phoneticPr fontId="3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BA53-2BEE-4CE2-981B-6B67C1112F57}">
  <dimension ref="B2:H17"/>
  <sheetViews>
    <sheetView zoomScale="90" zoomScaleNormal="90" workbookViewId="0">
      <selection activeCell="Q37" sqref="Q37"/>
    </sheetView>
  </sheetViews>
  <sheetFormatPr defaultColWidth="9" defaultRowHeight="14" x14ac:dyDescent="0.45"/>
  <cols>
    <col min="1" max="1" width="9" style="14"/>
    <col min="2" max="2" width="9" style="13"/>
    <col min="3" max="3" width="15.25" style="23" customWidth="1"/>
    <col min="4" max="4" width="9" style="14"/>
    <col min="5" max="5" width="11.08203125" style="14" bestFit="1" customWidth="1"/>
    <col min="6" max="6" width="18.83203125" style="14" customWidth="1"/>
    <col min="7" max="7" width="25.25" style="14" customWidth="1"/>
    <col min="8" max="8" width="10.75" style="14" customWidth="1"/>
    <col min="9" max="16384" width="9" style="14"/>
  </cols>
  <sheetData>
    <row r="2" spans="2:8" s="101" customFormat="1" ht="13" x14ac:dyDescent="0.45">
      <c r="B2" s="13"/>
      <c r="C2" s="100" t="s">
        <v>1216</v>
      </c>
    </row>
    <row r="3" spans="2:8" s="101" customFormat="1" ht="13" x14ac:dyDescent="0.45">
      <c r="B3" s="13"/>
      <c r="C3" s="13"/>
    </row>
    <row r="4" spans="2:8" s="102" customFormat="1" ht="13" x14ac:dyDescent="0.45">
      <c r="B4" s="15"/>
      <c r="C4" s="17"/>
      <c r="D4" s="16" t="s">
        <v>2</v>
      </c>
      <c r="E4" s="17" t="s">
        <v>3</v>
      </c>
      <c r="F4" s="16" t="s">
        <v>1218</v>
      </c>
      <c r="G4" s="17" t="s">
        <v>1219</v>
      </c>
      <c r="H4" s="17" t="s">
        <v>6</v>
      </c>
    </row>
    <row r="5" spans="2:8" s="102" customFormat="1" ht="13" x14ac:dyDescent="0.45">
      <c r="B5" s="18"/>
      <c r="C5" s="20"/>
      <c r="D5" s="19"/>
      <c r="E5" s="20"/>
      <c r="F5" s="19"/>
      <c r="G5" s="20" t="s">
        <v>797</v>
      </c>
      <c r="H5" s="20"/>
    </row>
    <row r="6" spans="2:8" s="101" customFormat="1" ht="13" x14ac:dyDescent="0.45">
      <c r="B6" s="15" t="s">
        <v>7</v>
      </c>
      <c r="C6" s="228" t="s">
        <v>1213</v>
      </c>
      <c r="D6" s="105" t="s">
        <v>9</v>
      </c>
      <c r="E6" s="106">
        <v>4998</v>
      </c>
      <c r="F6" s="156">
        <v>8368</v>
      </c>
      <c r="G6" s="229">
        <f>40000*F6/E6</f>
        <v>66970.788315326135</v>
      </c>
      <c r="H6" s="108">
        <f>100-G6/66971*100</f>
        <v>3.1608408693273304E-4</v>
      </c>
    </row>
    <row r="7" spans="2:8" s="101" customFormat="1" ht="13" x14ac:dyDescent="0.45">
      <c r="B7" s="351" t="s">
        <v>10</v>
      </c>
      <c r="C7" s="230" t="s">
        <v>1215</v>
      </c>
      <c r="D7" s="112" t="s">
        <v>11</v>
      </c>
      <c r="E7" s="101">
        <v>4995</v>
      </c>
      <c r="F7" s="162">
        <v>7860</v>
      </c>
      <c r="G7" s="231">
        <f t="shared" ref="G7:G13" si="0">40000*F7/E7</f>
        <v>62942.942942942944</v>
      </c>
      <c r="H7" s="114">
        <f t="shared" ref="H7:H9" si="1">100-G7/66971*100</f>
        <v>6.0146288050903536</v>
      </c>
    </row>
    <row r="8" spans="2:8" s="101" customFormat="1" ht="13" x14ac:dyDescent="0.45">
      <c r="B8" s="351"/>
      <c r="C8" s="232" t="s">
        <v>568</v>
      </c>
      <c r="D8" s="112" t="s">
        <v>12</v>
      </c>
      <c r="E8" s="101">
        <v>5000</v>
      </c>
      <c r="F8" s="162">
        <v>6631</v>
      </c>
      <c r="G8" s="231">
        <f t="shared" si="0"/>
        <v>53048</v>
      </c>
      <c r="H8" s="114">
        <f t="shared" si="1"/>
        <v>20.789595496558206</v>
      </c>
    </row>
    <row r="9" spans="2:8" s="101" customFormat="1" ht="13" x14ac:dyDescent="0.45">
      <c r="B9" s="18" t="s">
        <v>13</v>
      </c>
      <c r="C9" s="233"/>
      <c r="D9" s="136" t="s">
        <v>14</v>
      </c>
      <c r="E9" s="137">
        <v>4998</v>
      </c>
      <c r="F9" s="165">
        <v>5269</v>
      </c>
      <c r="G9" s="234">
        <f t="shared" si="0"/>
        <v>42168.86754701881</v>
      </c>
      <c r="H9" s="139">
        <f t="shared" si="1"/>
        <v>37.034137840231132</v>
      </c>
    </row>
    <row r="10" spans="2:8" s="101" customFormat="1" ht="13" x14ac:dyDescent="0.45">
      <c r="B10" s="15" t="s">
        <v>7</v>
      </c>
      <c r="C10" s="230" t="s">
        <v>1213</v>
      </c>
      <c r="D10" s="112" t="s">
        <v>9</v>
      </c>
      <c r="E10" s="101">
        <v>4998</v>
      </c>
      <c r="F10" s="162">
        <v>8251</v>
      </c>
      <c r="G10" s="231">
        <f t="shared" si="0"/>
        <v>66034.413765506208</v>
      </c>
      <c r="H10" s="114">
        <f>100-G10/66034*100</f>
        <v>-6.2659464245484742E-4</v>
      </c>
    </row>
    <row r="11" spans="2:8" s="101" customFormat="1" ht="13" x14ac:dyDescent="0.45">
      <c r="B11" s="351" t="s">
        <v>10</v>
      </c>
      <c r="C11" s="127" t="s">
        <v>1217</v>
      </c>
      <c r="D11" s="112" t="s">
        <v>11</v>
      </c>
      <c r="E11" s="101">
        <v>5000</v>
      </c>
      <c r="F11" s="162">
        <v>2027</v>
      </c>
      <c r="G11" s="231">
        <f t="shared" si="0"/>
        <v>16216</v>
      </c>
      <c r="H11" s="114">
        <f t="shared" ref="H11:H13" si="2">100-G11/66034*100</f>
        <v>75.442953629948207</v>
      </c>
    </row>
    <row r="12" spans="2:8" s="101" customFormat="1" ht="13" x14ac:dyDescent="0.45">
      <c r="B12" s="351"/>
      <c r="C12" s="232" t="s">
        <v>568</v>
      </c>
      <c r="D12" s="112" t="s">
        <v>12</v>
      </c>
      <c r="E12" s="101">
        <v>4995</v>
      </c>
      <c r="F12" s="162">
        <v>1074</v>
      </c>
      <c r="G12" s="231">
        <f t="shared" si="0"/>
        <v>8600.600600600601</v>
      </c>
      <c r="H12" s="114">
        <f t="shared" si="2"/>
        <v>86.975496561467423</v>
      </c>
    </row>
    <row r="13" spans="2:8" s="101" customFormat="1" ht="13" x14ac:dyDescent="0.45">
      <c r="B13" s="18" t="s">
        <v>13</v>
      </c>
      <c r="C13" s="233"/>
      <c r="D13" s="136" t="s">
        <v>14</v>
      </c>
      <c r="E13" s="137">
        <v>4986</v>
      </c>
      <c r="F13" s="165">
        <v>1233</v>
      </c>
      <c r="G13" s="234">
        <f t="shared" si="0"/>
        <v>9891.6967509025271</v>
      </c>
      <c r="H13" s="139">
        <f t="shared" si="2"/>
        <v>85.020297496891715</v>
      </c>
    </row>
    <row r="14" spans="2:8" s="101" customFormat="1" ht="13" x14ac:dyDescent="0.45">
      <c r="B14" s="13"/>
      <c r="C14" s="13"/>
      <c r="D14" s="102"/>
    </row>
    <row r="15" spans="2:8" s="101" customFormat="1" ht="13" x14ac:dyDescent="0.45">
      <c r="B15" s="13"/>
      <c r="C15" s="13"/>
      <c r="G15" s="24" t="s">
        <v>1220</v>
      </c>
    </row>
    <row r="16" spans="2:8" s="101" customFormat="1" ht="13" x14ac:dyDescent="0.45">
      <c r="B16" s="13"/>
      <c r="C16" s="13"/>
      <c r="G16" s="24"/>
    </row>
    <row r="17" s="14" customFormat="1" x14ac:dyDescent="0.45"/>
  </sheetData>
  <mergeCells count="2">
    <mergeCell ref="B11:B12"/>
    <mergeCell ref="B7:B8"/>
  </mergeCells>
  <phoneticPr fontId="3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88BE-D216-4150-8F69-63255195DA77}">
  <dimension ref="B2:H17"/>
  <sheetViews>
    <sheetView zoomScale="90" zoomScaleNormal="90" workbookViewId="0">
      <selection activeCell="L26" sqref="L26"/>
    </sheetView>
  </sheetViews>
  <sheetFormatPr defaultColWidth="9" defaultRowHeight="14" x14ac:dyDescent="0.45"/>
  <cols>
    <col min="1" max="1" width="9" style="14"/>
    <col min="2" max="2" width="9" style="13"/>
    <col min="3" max="3" width="16.33203125" style="23" customWidth="1"/>
    <col min="4" max="4" width="9" style="14"/>
    <col min="5" max="5" width="11.08203125" style="14" bestFit="1" customWidth="1"/>
    <col min="6" max="6" width="18.83203125" style="14" customWidth="1"/>
    <col min="7" max="7" width="25.25" style="14" customWidth="1"/>
    <col min="8" max="8" width="10.75" style="14" customWidth="1"/>
    <col min="9" max="16384" width="9" style="14"/>
  </cols>
  <sheetData>
    <row r="2" spans="2:8" s="101" customFormat="1" ht="13" x14ac:dyDescent="0.45">
      <c r="B2" s="13"/>
      <c r="C2" s="100" t="s">
        <v>1216</v>
      </c>
    </row>
    <row r="3" spans="2:8" s="101" customFormat="1" ht="13" x14ac:dyDescent="0.45">
      <c r="B3" s="13"/>
      <c r="C3" s="13"/>
    </row>
    <row r="4" spans="2:8" s="102" customFormat="1" ht="13" x14ac:dyDescent="0.45">
      <c r="B4" s="15"/>
      <c r="C4" s="17"/>
      <c r="D4" s="16" t="s">
        <v>2</v>
      </c>
      <c r="E4" s="17" t="s">
        <v>3</v>
      </c>
      <c r="F4" s="16" t="s">
        <v>1222</v>
      </c>
      <c r="G4" s="17" t="s">
        <v>1223</v>
      </c>
      <c r="H4" s="17" t="s">
        <v>6</v>
      </c>
    </row>
    <row r="5" spans="2:8" s="102" customFormat="1" ht="13" x14ac:dyDescent="0.45">
      <c r="B5" s="18"/>
      <c r="C5" s="20"/>
      <c r="D5" s="19"/>
      <c r="E5" s="20"/>
      <c r="F5" s="19"/>
      <c r="G5" s="20" t="s">
        <v>797</v>
      </c>
      <c r="H5" s="20"/>
    </row>
    <row r="6" spans="2:8" s="101" customFormat="1" ht="13" x14ac:dyDescent="0.45">
      <c r="B6" s="15" t="s">
        <v>7</v>
      </c>
      <c r="C6" s="228" t="s">
        <v>1221</v>
      </c>
      <c r="D6" s="155" t="s">
        <v>9</v>
      </c>
      <c r="E6" s="156">
        <v>5002</v>
      </c>
      <c r="F6" s="106">
        <v>4174</v>
      </c>
      <c r="G6" s="108">
        <f>40000*F6/E6</f>
        <v>33378.648540583767</v>
      </c>
      <c r="H6" s="157">
        <v>0</v>
      </c>
    </row>
    <row r="7" spans="2:8" s="101" customFormat="1" ht="13" x14ac:dyDescent="0.45">
      <c r="B7" s="351" t="s">
        <v>10</v>
      </c>
      <c r="C7" s="230" t="s">
        <v>1225</v>
      </c>
      <c r="D7" s="161" t="s">
        <v>11</v>
      </c>
      <c r="E7" s="162">
        <v>5005</v>
      </c>
      <c r="F7" s="101">
        <v>5472</v>
      </c>
      <c r="G7" s="114">
        <f t="shared" ref="G7:G13" si="0">40000*F7/E7</f>
        <v>43732.267732267734</v>
      </c>
      <c r="H7" s="163">
        <v>0</v>
      </c>
    </row>
    <row r="8" spans="2:8" s="101" customFormat="1" ht="13" x14ac:dyDescent="0.45">
      <c r="B8" s="351"/>
      <c r="C8" s="232" t="s">
        <v>568</v>
      </c>
      <c r="D8" s="161" t="s">
        <v>12</v>
      </c>
      <c r="E8" s="162">
        <v>5003</v>
      </c>
      <c r="F8" s="101">
        <v>5160</v>
      </c>
      <c r="G8" s="114">
        <f t="shared" si="0"/>
        <v>41255.246851888864</v>
      </c>
      <c r="H8" s="163">
        <v>0</v>
      </c>
    </row>
    <row r="9" spans="2:8" s="101" customFormat="1" ht="13" x14ac:dyDescent="0.45">
      <c r="B9" s="18" t="s">
        <v>13</v>
      </c>
      <c r="C9" s="233"/>
      <c r="D9" s="164" t="s">
        <v>14</v>
      </c>
      <c r="E9" s="165">
        <v>5002</v>
      </c>
      <c r="F9" s="137">
        <v>4427</v>
      </c>
      <c r="G9" s="139">
        <f t="shared" si="0"/>
        <v>35401.839264294285</v>
      </c>
      <c r="H9" s="166">
        <v>0</v>
      </c>
    </row>
    <row r="10" spans="2:8" s="101" customFormat="1" ht="13" x14ac:dyDescent="0.45">
      <c r="B10" s="15" t="s">
        <v>7</v>
      </c>
      <c r="C10" s="230" t="s">
        <v>1221</v>
      </c>
      <c r="D10" s="161" t="s">
        <v>9</v>
      </c>
      <c r="E10" s="162">
        <v>5005</v>
      </c>
      <c r="F10" s="101">
        <v>3475</v>
      </c>
      <c r="G10" s="114">
        <f t="shared" si="0"/>
        <v>27772.227772227772</v>
      </c>
      <c r="H10" s="163">
        <v>0</v>
      </c>
    </row>
    <row r="11" spans="2:8" s="101" customFormat="1" ht="13" x14ac:dyDescent="0.45">
      <c r="B11" s="351" t="s">
        <v>10</v>
      </c>
      <c r="C11" s="127" t="s">
        <v>1226</v>
      </c>
      <c r="D11" s="161" t="s">
        <v>11</v>
      </c>
      <c r="E11" s="162">
        <v>5006</v>
      </c>
      <c r="F11" s="101">
        <v>1954</v>
      </c>
      <c r="G11" s="114">
        <f t="shared" si="0"/>
        <v>15613.264083100279</v>
      </c>
      <c r="H11" s="163">
        <v>44</v>
      </c>
    </row>
    <row r="12" spans="2:8" s="101" customFormat="1" ht="13" x14ac:dyDescent="0.45">
      <c r="B12" s="351"/>
      <c r="C12" s="232" t="s">
        <v>568</v>
      </c>
      <c r="D12" s="161" t="s">
        <v>12</v>
      </c>
      <c r="E12" s="162">
        <v>5005</v>
      </c>
      <c r="F12" s="101">
        <v>1105</v>
      </c>
      <c r="G12" s="114">
        <f t="shared" si="0"/>
        <v>8831.1688311688304</v>
      </c>
      <c r="H12" s="163">
        <v>68</v>
      </c>
    </row>
    <row r="13" spans="2:8" s="101" customFormat="1" ht="13" x14ac:dyDescent="0.45">
      <c r="B13" s="18" t="s">
        <v>13</v>
      </c>
      <c r="C13" s="233"/>
      <c r="D13" s="164" t="s">
        <v>14</v>
      </c>
      <c r="E13" s="165">
        <v>4994</v>
      </c>
      <c r="F13" s="137">
        <v>1177</v>
      </c>
      <c r="G13" s="139">
        <f t="shared" si="0"/>
        <v>9427.3127753303961</v>
      </c>
      <c r="H13" s="166">
        <v>66</v>
      </c>
    </row>
    <row r="14" spans="2:8" s="101" customFormat="1" ht="13" x14ac:dyDescent="0.45">
      <c r="B14" s="13"/>
      <c r="C14" s="13"/>
      <c r="D14" s="102"/>
    </row>
    <row r="15" spans="2:8" s="101" customFormat="1" ht="13" x14ac:dyDescent="0.45">
      <c r="B15" s="13"/>
      <c r="C15" s="13"/>
      <c r="G15" s="24" t="s">
        <v>1224</v>
      </c>
    </row>
    <row r="16" spans="2:8" s="101" customFormat="1" ht="13" x14ac:dyDescent="0.45">
      <c r="B16" s="13"/>
      <c r="C16" s="13"/>
      <c r="G16" s="24"/>
    </row>
    <row r="17" s="14" customFormat="1" x14ac:dyDescent="0.45"/>
  </sheetData>
  <mergeCells count="2">
    <mergeCell ref="B7:B8"/>
    <mergeCell ref="B11:B12"/>
  </mergeCells>
  <phoneticPr fontId="3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0D78-18AA-4D8F-8433-7679341809FF}">
  <dimension ref="A2:O31"/>
  <sheetViews>
    <sheetView zoomScale="90" zoomScaleNormal="90" workbookViewId="0">
      <selection activeCell="O43" sqref="O43"/>
    </sheetView>
  </sheetViews>
  <sheetFormatPr defaultRowHeight="14" x14ac:dyDescent="0.3"/>
  <cols>
    <col min="1" max="1" width="9" style="25"/>
    <col min="2" max="2" width="12.5" style="25" customWidth="1"/>
    <col min="3" max="3" width="13.75" style="25" customWidth="1"/>
    <col min="4" max="4" width="13.83203125" style="25" customWidth="1"/>
    <col min="5" max="5" width="11.33203125" style="25" customWidth="1"/>
    <col min="6" max="6" width="12.33203125" style="25" customWidth="1"/>
    <col min="7" max="7" width="11.25" style="25" customWidth="1"/>
    <col min="8" max="8" width="9.33203125" style="25" bestFit="1" customWidth="1"/>
    <col min="9" max="9" width="9.58203125" style="25" bestFit="1" customWidth="1"/>
    <col min="10" max="10" width="7.33203125" style="25" bestFit="1" customWidth="1"/>
    <col min="11" max="11" width="7" style="25" customWidth="1"/>
    <col min="12" max="12" width="30.83203125" style="25" customWidth="1"/>
    <col min="13" max="13" width="24.83203125" style="25" bestFit="1" customWidth="1"/>
    <col min="14" max="14" width="4.33203125" style="25" customWidth="1"/>
    <col min="15" max="15" width="8.25" style="25" customWidth="1"/>
    <col min="16" max="255" width="9" style="25"/>
    <col min="256" max="268" width="15.5" style="25" customWidth="1"/>
    <col min="269" max="270" width="14" style="25" customWidth="1"/>
    <col min="271" max="271" width="8.25" style="25" customWidth="1"/>
    <col min="272" max="511" width="9" style="25"/>
    <col min="512" max="524" width="15.5" style="25" customWidth="1"/>
    <col min="525" max="526" width="14" style="25" customWidth="1"/>
    <col min="527" max="527" width="8.25" style="25" customWidth="1"/>
    <col min="528" max="767" width="9" style="25"/>
    <col min="768" max="780" width="15.5" style="25" customWidth="1"/>
    <col min="781" max="782" width="14" style="25" customWidth="1"/>
    <col min="783" max="783" width="8.25" style="25" customWidth="1"/>
    <col min="784" max="1023" width="9" style="25"/>
    <col min="1024" max="1036" width="15.5" style="25" customWidth="1"/>
    <col min="1037" max="1038" width="14" style="25" customWidth="1"/>
    <col min="1039" max="1039" width="8.25" style="25" customWidth="1"/>
    <col min="1040" max="1279" width="9" style="25"/>
    <col min="1280" max="1292" width="15.5" style="25" customWidth="1"/>
    <col min="1293" max="1294" width="14" style="25" customWidth="1"/>
    <col min="1295" max="1295" width="8.25" style="25" customWidth="1"/>
    <col min="1296" max="1535" width="9" style="25"/>
    <col min="1536" max="1548" width="15.5" style="25" customWidth="1"/>
    <col min="1549" max="1550" width="14" style="25" customWidth="1"/>
    <col min="1551" max="1551" width="8.25" style="25" customWidth="1"/>
    <col min="1552" max="1791" width="9" style="25"/>
    <col min="1792" max="1804" width="15.5" style="25" customWidth="1"/>
    <col min="1805" max="1806" width="14" style="25" customWidth="1"/>
    <col min="1807" max="1807" width="8.25" style="25" customWidth="1"/>
    <col min="1808" max="2047" width="9" style="25"/>
    <col min="2048" max="2060" width="15.5" style="25" customWidth="1"/>
    <col min="2061" max="2062" width="14" style="25" customWidth="1"/>
    <col min="2063" max="2063" width="8.25" style="25" customWidth="1"/>
    <col min="2064" max="2303" width="9" style="25"/>
    <col min="2304" max="2316" width="15.5" style="25" customWidth="1"/>
    <col min="2317" max="2318" width="14" style="25" customWidth="1"/>
    <col min="2319" max="2319" width="8.25" style="25" customWidth="1"/>
    <col min="2320" max="2559" width="9" style="25"/>
    <col min="2560" max="2572" width="15.5" style="25" customWidth="1"/>
    <col min="2573" max="2574" width="14" style="25" customWidth="1"/>
    <col min="2575" max="2575" width="8.25" style="25" customWidth="1"/>
    <col min="2576" max="2815" width="9" style="25"/>
    <col min="2816" max="2828" width="15.5" style="25" customWidth="1"/>
    <col min="2829" max="2830" width="14" style="25" customWidth="1"/>
    <col min="2831" max="2831" width="8.25" style="25" customWidth="1"/>
    <col min="2832" max="3071" width="9" style="25"/>
    <col min="3072" max="3084" width="15.5" style="25" customWidth="1"/>
    <col min="3085" max="3086" width="14" style="25" customWidth="1"/>
    <col min="3087" max="3087" width="8.25" style="25" customWidth="1"/>
    <col min="3088" max="3327" width="9" style="25"/>
    <col min="3328" max="3340" width="15.5" style="25" customWidth="1"/>
    <col min="3341" max="3342" width="14" style="25" customWidth="1"/>
    <col min="3343" max="3343" width="8.25" style="25" customWidth="1"/>
    <col min="3344" max="3583" width="9" style="25"/>
    <col min="3584" max="3596" width="15.5" style="25" customWidth="1"/>
    <col min="3597" max="3598" width="14" style="25" customWidth="1"/>
    <col min="3599" max="3599" width="8.25" style="25" customWidth="1"/>
    <col min="3600" max="3839" width="9" style="25"/>
    <col min="3840" max="3852" width="15.5" style="25" customWidth="1"/>
    <col min="3853" max="3854" width="14" style="25" customWidth="1"/>
    <col min="3855" max="3855" width="8.25" style="25" customWidth="1"/>
    <col min="3856" max="4095" width="9" style="25"/>
    <col min="4096" max="4108" width="15.5" style="25" customWidth="1"/>
    <col min="4109" max="4110" width="14" style="25" customWidth="1"/>
    <col min="4111" max="4111" width="8.25" style="25" customWidth="1"/>
    <col min="4112" max="4351" width="9" style="25"/>
    <col min="4352" max="4364" width="15.5" style="25" customWidth="1"/>
    <col min="4365" max="4366" width="14" style="25" customWidth="1"/>
    <col min="4367" max="4367" width="8.25" style="25" customWidth="1"/>
    <col min="4368" max="4607" width="9" style="25"/>
    <col min="4608" max="4620" width="15.5" style="25" customWidth="1"/>
    <col min="4621" max="4622" width="14" style="25" customWidth="1"/>
    <col min="4623" max="4623" width="8.25" style="25" customWidth="1"/>
    <col min="4624" max="4863" width="9" style="25"/>
    <col min="4864" max="4876" width="15.5" style="25" customWidth="1"/>
    <col min="4877" max="4878" width="14" style="25" customWidth="1"/>
    <col min="4879" max="4879" width="8.25" style="25" customWidth="1"/>
    <col min="4880" max="5119" width="9" style="25"/>
    <col min="5120" max="5132" width="15.5" style="25" customWidth="1"/>
    <col min="5133" max="5134" width="14" style="25" customWidth="1"/>
    <col min="5135" max="5135" width="8.25" style="25" customWidth="1"/>
    <col min="5136" max="5375" width="9" style="25"/>
    <col min="5376" max="5388" width="15.5" style="25" customWidth="1"/>
    <col min="5389" max="5390" width="14" style="25" customWidth="1"/>
    <col min="5391" max="5391" width="8.25" style="25" customWidth="1"/>
    <col min="5392" max="5631" width="9" style="25"/>
    <col min="5632" max="5644" width="15.5" style="25" customWidth="1"/>
    <col min="5645" max="5646" width="14" style="25" customWidth="1"/>
    <col min="5647" max="5647" width="8.25" style="25" customWidth="1"/>
    <col min="5648" max="5887" width="9" style="25"/>
    <col min="5888" max="5900" width="15.5" style="25" customWidth="1"/>
    <col min="5901" max="5902" width="14" style="25" customWidth="1"/>
    <col min="5903" max="5903" width="8.25" style="25" customWidth="1"/>
    <col min="5904" max="6143" width="9" style="25"/>
    <col min="6144" max="6156" width="15.5" style="25" customWidth="1"/>
    <col min="6157" max="6158" width="14" style="25" customWidth="1"/>
    <col min="6159" max="6159" width="8.25" style="25" customWidth="1"/>
    <col min="6160" max="6399" width="9" style="25"/>
    <col min="6400" max="6412" width="15.5" style="25" customWidth="1"/>
    <col min="6413" max="6414" width="14" style="25" customWidth="1"/>
    <col min="6415" max="6415" width="8.25" style="25" customWidth="1"/>
    <col min="6416" max="6655" width="9" style="25"/>
    <col min="6656" max="6668" width="15.5" style="25" customWidth="1"/>
    <col min="6669" max="6670" width="14" style="25" customWidth="1"/>
    <col min="6671" max="6671" width="8.25" style="25" customWidth="1"/>
    <col min="6672" max="6911" width="9" style="25"/>
    <col min="6912" max="6924" width="15.5" style="25" customWidth="1"/>
    <col min="6925" max="6926" width="14" style="25" customWidth="1"/>
    <col min="6927" max="6927" width="8.25" style="25" customWidth="1"/>
    <col min="6928" max="7167" width="9" style="25"/>
    <col min="7168" max="7180" width="15.5" style="25" customWidth="1"/>
    <col min="7181" max="7182" width="14" style="25" customWidth="1"/>
    <col min="7183" max="7183" width="8.25" style="25" customWidth="1"/>
    <col min="7184" max="7423" width="9" style="25"/>
    <col min="7424" max="7436" width="15.5" style="25" customWidth="1"/>
    <col min="7437" max="7438" width="14" style="25" customWidth="1"/>
    <col min="7439" max="7439" width="8.25" style="25" customWidth="1"/>
    <col min="7440" max="7679" width="9" style="25"/>
    <col min="7680" max="7692" width="15.5" style="25" customWidth="1"/>
    <col min="7693" max="7694" width="14" style="25" customWidth="1"/>
    <col min="7695" max="7695" width="8.25" style="25" customWidth="1"/>
    <col min="7696" max="7935" width="9" style="25"/>
    <col min="7936" max="7948" width="15.5" style="25" customWidth="1"/>
    <col min="7949" max="7950" width="14" style="25" customWidth="1"/>
    <col min="7951" max="7951" width="8.25" style="25" customWidth="1"/>
    <col min="7952" max="8191" width="9" style="25"/>
    <col min="8192" max="8204" width="15.5" style="25" customWidth="1"/>
    <col min="8205" max="8206" width="14" style="25" customWidth="1"/>
    <col min="8207" max="8207" width="8.25" style="25" customWidth="1"/>
    <col min="8208" max="8447" width="9" style="25"/>
    <col min="8448" max="8460" width="15.5" style="25" customWidth="1"/>
    <col min="8461" max="8462" width="14" style="25" customWidth="1"/>
    <col min="8463" max="8463" width="8.25" style="25" customWidth="1"/>
    <col min="8464" max="8703" width="9" style="25"/>
    <col min="8704" max="8716" width="15.5" style="25" customWidth="1"/>
    <col min="8717" max="8718" width="14" style="25" customWidth="1"/>
    <col min="8719" max="8719" width="8.25" style="25" customWidth="1"/>
    <col min="8720" max="8959" width="9" style="25"/>
    <col min="8960" max="8972" width="15.5" style="25" customWidth="1"/>
    <col min="8973" max="8974" width="14" style="25" customWidth="1"/>
    <col min="8975" max="8975" width="8.25" style="25" customWidth="1"/>
    <col min="8976" max="9215" width="9" style="25"/>
    <col min="9216" max="9228" width="15.5" style="25" customWidth="1"/>
    <col min="9229" max="9230" width="14" style="25" customWidth="1"/>
    <col min="9231" max="9231" width="8.25" style="25" customWidth="1"/>
    <col min="9232" max="9471" width="9" style="25"/>
    <col min="9472" max="9484" width="15.5" style="25" customWidth="1"/>
    <col min="9485" max="9486" width="14" style="25" customWidth="1"/>
    <col min="9487" max="9487" width="8.25" style="25" customWidth="1"/>
    <col min="9488" max="9727" width="9" style="25"/>
    <col min="9728" max="9740" width="15.5" style="25" customWidth="1"/>
    <col min="9741" max="9742" width="14" style="25" customWidth="1"/>
    <col min="9743" max="9743" width="8.25" style="25" customWidth="1"/>
    <col min="9744" max="9983" width="9" style="25"/>
    <col min="9984" max="9996" width="15.5" style="25" customWidth="1"/>
    <col min="9997" max="9998" width="14" style="25" customWidth="1"/>
    <col min="9999" max="9999" width="8.25" style="25" customWidth="1"/>
    <col min="10000" max="10239" width="9" style="25"/>
    <col min="10240" max="10252" width="15.5" style="25" customWidth="1"/>
    <col min="10253" max="10254" width="14" style="25" customWidth="1"/>
    <col min="10255" max="10255" width="8.25" style="25" customWidth="1"/>
    <col min="10256" max="10495" width="9" style="25"/>
    <col min="10496" max="10508" width="15.5" style="25" customWidth="1"/>
    <col min="10509" max="10510" width="14" style="25" customWidth="1"/>
    <col min="10511" max="10511" width="8.25" style="25" customWidth="1"/>
    <col min="10512" max="10751" width="9" style="25"/>
    <col min="10752" max="10764" width="15.5" style="25" customWidth="1"/>
    <col min="10765" max="10766" width="14" style="25" customWidth="1"/>
    <col min="10767" max="10767" width="8.25" style="25" customWidth="1"/>
    <col min="10768" max="11007" width="9" style="25"/>
    <col min="11008" max="11020" width="15.5" style="25" customWidth="1"/>
    <col min="11021" max="11022" width="14" style="25" customWidth="1"/>
    <col min="11023" max="11023" width="8.25" style="25" customWidth="1"/>
    <col min="11024" max="11263" width="9" style="25"/>
    <col min="11264" max="11276" width="15.5" style="25" customWidth="1"/>
    <col min="11277" max="11278" width="14" style="25" customWidth="1"/>
    <col min="11279" max="11279" width="8.25" style="25" customWidth="1"/>
    <col min="11280" max="11519" width="9" style="25"/>
    <col min="11520" max="11532" width="15.5" style="25" customWidth="1"/>
    <col min="11533" max="11534" width="14" style="25" customWidth="1"/>
    <col min="11535" max="11535" width="8.25" style="25" customWidth="1"/>
    <col min="11536" max="11775" width="9" style="25"/>
    <col min="11776" max="11788" width="15.5" style="25" customWidth="1"/>
    <col min="11789" max="11790" width="14" style="25" customWidth="1"/>
    <col min="11791" max="11791" width="8.25" style="25" customWidth="1"/>
    <col min="11792" max="12031" width="9" style="25"/>
    <col min="12032" max="12044" width="15.5" style="25" customWidth="1"/>
    <col min="12045" max="12046" width="14" style="25" customWidth="1"/>
    <col min="12047" max="12047" width="8.25" style="25" customWidth="1"/>
    <col min="12048" max="12287" width="9" style="25"/>
    <col min="12288" max="12300" width="15.5" style="25" customWidth="1"/>
    <col min="12301" max="12302" width="14" style="25" customWidth="1"/>
    <col min="12303" max="12303" width="8.25" style="25" customWidth="1"/>
    <col min="12304" max="12543" width="9" style="25"/>
    <col min="12544" max="12556" width="15.5" style="25" customWidth="1"/>
    <col min="12557" max="12558" width="14" style="25" customWidth="1"/>
    <col min="12559" max="12559" width="8.25" style="25" customWidth="1"/>
    <col min="12560" max="12799" width="9" style="25"/>
    <col min="12800" max="12812" width="15.5" style="25" customWidth="1"/>
    <col min="12813" max="12814" width="14" style="25" customWidth="1"/>
    <col min="12815" max="12815" width="8.25" style="25" customWidth="1"/>
    <col min="12816" max="13055" width="9" style="25"/>
    <col min="13056" max="13068" width="15.5" style="25" customWidth="1"/>
    <col min="13069" max="13070" width="14" style="25" customWidth="1"/>
    <col min="13071" max="13071" width="8.25" style="25" customWidth="1"/>
    <col min="13072" max="13311" width="9" style="25"/>
    <col min="13312" max="13324" width="15.5" style="25" customWidth="1"/>
    <col min="13325" max="13326" width="14" style="25" customWidth="1"/>
    <col min="13327" max="13327" width="8.25" style="25" customWidth="1"/>
    <col min="13328" max="13567" width="9" style="25"/>
    <col min="13568" max="13580" width="15.5" style="25" customWidth="1"/>
    <col min="13581" max="13582" width="14" style="25" customWidth="1"/>
    <col min="13583" max="13583" width="8.25" style="25" customWidth="1"/>
    <col min="13584" max="13823" width="9" style="25"/>
    <col min="13824" max="13836" width="15.5" style="25" customWidth="1"/>
    <col min="13837" max="13838" width="14" style="25" customWidth="1"/>
    <col min="13839" max="13839" width="8.25" style="25" customWidth="1"/>
    <col min="13840" max="14079" width="9" style="25"/>
    <col min="14080" max="14092" width="15.5" style="25" customWidth="1"/>
    <col min="14093" max="14094" width="14" style="25" customWidth="1"/>
    <col min="14095" max="14095" width="8.25" style="25" customWidth="1"/>
    <col min="14096" max="14335" width="9" style="25"/>
    <col min="14336" max="14348" width="15.5" style="25" customWidth="1"/>
    <col min="14349" max="14350" width="14" style="25" customWidth="1"/>
    <col min="14351" max="14351" width="8.25" style="25" customWidth="1"/>
    <col min="14352" max="14591" width="9" style="25"/>
    <col min="14592" max="14604" width="15.5" style="25" customWidth="1"/>
    <col min="14605" max="14606" width="14" style="25" customWidth="1"/>
    <col min="14607" max="14607" width="8.25" style="25" customWidth="1"/>
    <col min="14608" max="14847" width="9" style="25"/>
    <col min="14848" max="14860" width="15.5" style="25" customWidth="1"/>
    <col min="14861" max="14862" width="14" style="25" customWidth="1"/>
    <col min="14863" max="14863" width="8.25" style="25" customWidth="1"/>
    <col min="14864" max="15103" width="9" style="25"/>
    <col min="15104" max="15116" width="15.5" style="25" customWidth="1"/>
    <col min="15117" max="15118" width="14" style="25" customWidth="1"/>
    <col min="15119" max="15119" width="8.25" style="25" customWidth="1"/>
    <col min="15120" max="15359" width="9" style="25"/>
    <col min="15360" max="15372" width="15.5" style="25" customWidth="1"/>
    <col min="15373" max="15374" width="14" style="25" customWidth="1"/>
    <col min="15375" max="15375" width="8.25" style="25" customWidth="1"/>
    <col min="15376" max="15615" width="9" style="25"/>
    <col min="15616" max="15628" width="15.5" style="25" customWidth="1"/>
    <col min="15629" max="15630" width="14" style="25" customWidth="1"/>
    <col min="15631" max="15631" width="8.25" style="25" customWidth="1"/>
    <col min="15632" max="15871" width="9" style="25"/>
    <col min="15872" max="15884" width="15.5" style="25" customWidth="1"/>
    <col min="15885" max="15886" width="14" style="25" customWidth="1"/>
    <col min="15887" max="15887" width="8.25" style="25" customWidth="1"/>
    <col min="15888" max="16127" width="9" style="25"/>
    <col min="16128" max="16140" width="15.5" style="25" customWidth="1"/>
    <col min="16141" max="16142" width="14" style="25" customWidth="1"/>
    <col min="16143" max="16143" width="8.25" style="25" customWidth="1"/>
    <col min="16144" max="16384" width="9" style="25"/>
  </cols>
  <sheetData>
    <row r="2" spans="1:13" s="95" customFormat="1" ht="13" x14ac:dyDescent="0.25">
      <c r="B2" s="100" t="s">
        <v>1227</v>
      </c>
      <c r="C2" s="101"/>
      <c r="D2" s="101"/>
    </row>
    <row r="3" spans="1:13" s="101" customFormat="1" ht="13" x14ac:dyDescent="0.45">
      <c r="A3" s="13"/>
    </row>
    <row r="4" spans="1:13" s="95" customFormat="1" ht="13" x14ac:dyDescent="0.3">
      <c r="B4" s="103" t="s">
        <v>21</v>
      </c>
      <c r="J4" s="26"/>
      <c r="L4" s="103" t="s">
        <v>71</v>
      </c>
    </row>
    <row r="5" spans="1:13" s="95" customFormat="1" ht="12.5" x14ac:dyDescent="0.25"/>
    <row r="6" spans="1:13" s="95" customFormat="1" ht="12.5" x14ac:dyDescent="0.25">
      <c r="B6" s="3"/>
      <c r="C6" s="27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L6" s="2" t="s">
        <v>41</v>
      </c>
      <c r="M6" s="3" t="s">
        <v>42</v>
      </c>
    </row>
    <row r="7" spans="1:13" s="95" customFormat="1" ht="13" x14ac:dyDescent="0.3">
      <c r="B7" s="6" t="s">
        <v>30</v>
      </c>
      <c r="C7" s="67">
        <v>1.679</v>
      </c>
      <c r="D7" s="67">
        <v>1.054</v>
      </c>
      <c r="E7" s="67">
        <v>0.54800000000000004</v>
      </c>
      <c r="F7" s="67">
        <v>0.31</v>
      </c>
      <c r="G7" s="67">
        <v>0.182</v>
      </c>
      <c r="H7" s="67">
        <v>0.11899999999999999</v>
      </c>
      <c r="I7" s="67">
        <v>8.4000000000000005E-2</v>
      </c>
      <c r="J7" s="67">
        <v>5.1999999999999998E-2</v>
      </c>
      <c r="L7" s="7" t="s">
        <v>725</v>
      </c>
      <c r="M7" s="8" t="s">
        <v>1238</v>
      </c>
    </row>
    <row r="8" spans="1:13" s="95" customFormat="1" ht="13" x14ac:dyDescent="0.3">
      <c r="B8" s="6" t="s">
        <v>31</v>
      </c>
      <c r="C8" s="67">
        <v>1.766</v>
      </c>
      <c r="D8" s="67">
        <v>1.022</v>
      </c>
      <c r="E8" s="67">
        <v>0.46500000000000002</v>
      </c>
      <c r="F8" s="67">
        <v>0.29699999999999999</v>
      </c>
      <c r="G8" s="67">
        <v>0.16600000000000001</v>
      </c>
      <c r="H8" s="67">
        <v>0.11700000000000001</v>
      </c>
      <c r="I8" s="67">
        <v>8.5000000000000006E-2</v>
      </c>
      <c r="J8" s="67">
        <v>5.6000000000000001E-2</v>
      </c>
      <c r="L8" s="7" t="s">
        <v>44</v>
      </c>
      <c r="M8" s="8" t="s">
        <v>44</v>
      </c>
    </row>
    <row r="9" spans="1:13" s="95" customFormat="1" ht="13" x14ac:dyDescent="0.3">
      <c r="B9" s="26"/>
      <c r="L9" s="7" t="s">
        <v>155</v>
      </c>
      <c r="M9" s="8" t="s">
        <v>1239</v>
      </c>
    </row>
    <row r="10" spans="1:13" s="95" customFormat="1" ht="13" x14ac:dyDescent="0.3">
      <c r="B10" s="26"/>
      <c r="D10" s="124" t="s">
        <v>1228</v>
      </c>
      <c r="E10" s="125"/>
      <c r="F10" s="125"/>
      <c r="G10" s="125"/>
      <c r="H10" s="125"/>
      <c r="L10" s="2"/>
      <c r="M10" s="3"/>
    </row>
    <row r="11" spans="1:13" s="95" customFormat="1" ht="13" x14ac:dyDescent="0.3">
      <c r="B11" s="26"/>
      <c r="D11" s="128"/>
      <c r="L11" s="2" t="s">
        <v>46</v>
      </c>
      <c r="M11" s="3"/>
    </row>
    <row r="12" spans="1:13" s="95" customFormat="1" ht="13" x14ac:dyDescent="0.3">
      <c r="B12" s="129" t="s">
        <v>40</v>
      </c>
      <c r="C12" s="103"/>
      <c r="D12" s="128"/>
      <c r="L12" s="7" t="s">
        <v>47</v>
      </c>
      <c r="M12" s="8" t="s">
        <v>48</v>
      </c>
    </row>
    <row r="13" spans="1:13" s="95" customFormat="1" ht="13" x14ac:dyDescent="0.3">
      <c r="B13" s="130">
        <v>1</v>
      </c>
      <c r="C13" s="130">
        <v>2</v>
      </c>
      <c r="D13" s="130">
        <v>3</v>
      </c>
      <c r="L13" s="7" t="s">
        <v>49</v>
      </c>
      <c r="M13" s="8" t="s">
        <v>50</v>
      </c>
    </row>
    <row r="14" spans="1:13" s="95" customFormat="1" ht="13" x14ac:dyDescent="0.3">
      <c r="B14" s="131" t="s">
        <v>1229</v>
      </c>
      <c r="C14" s="131" t="s">
        <v>1229</v>
      </c>
      <c r="D14" s="131" t="s">
        <v>1229</v>
      </c>
      <c r="L14" s="2" t="s">
        <v>51</v>
      </c>
      <c r="M14" s="3" t="s">
        <v>52</v>
      </c>
    </row>
    <row r="15" spans="1:13" s="95" customFormat="1" ht="13" x14ac:dyDescent="0.3">
      <c r="B15" s="28"/>
      <c r="C15" s="131" t="s">
        <v>1214</v>
      </c>
      <c r="D15" s="133" t="s">
        <v>1230</v>
      </c>
      <c r="L15" s="2" t="s">
        <v>53</v>
      </c>
      <c r="M15" s="3" t="s">
        <v>54</v>
      </c>
    </row>
    <row r="16" spans="1:13" s="95" customFormat="1" ht="13" x14ac:dyDescent="0.3">
      <c r="B16" s="134" t="s">
        <v>570</v>
      </c>
      <c r="C16" s="134" t="s">
        <v>570</v>
      </c>
      <c r="D16" s="134" t="s">
        <v>570</v>
      </c>
      <c r="L16" s="2" t="s">
        <v>55</v>
      </c>
      <c r="M16" s="3" t="s">
        <v>1232</v>
      </c>
    </row>
    <row r="17" spans="2:15" s="95" customFormat="1" ht="12.5" x14ac:dyDescent="0.25">
      <c r="B17" s="67">
        <v>4.7E-2</v>
      </c>
      <c r="C17" s="67">
        <v>6.3E-2</v>
      </c>
      <c r="D17" s="67">
        <v>0.64100000000000001</v>
      </c>
      <c r="E17" s="145"/>
      <c r="L17" s="2"/>
      <c r="M17" s="3"/>
    </row>
    <row r="18" spans="2:15" s="95" customFormat="1" ht="13" x14ac:dyDescent="0.3">
      <c r="B18" s="67">
        <v>4.5999999999999999E-2</v>
      </c>
      <c r="C18" s="67">
        <v>6.4000000000000001E-2</v>
      </c>
      <c r="D18" s="67">
        <v>0.57799999999999996</v>
      </c>
      <c r="E18" s="148" t="s">
        <v>1231</v>
      </c>
      <c r="L18" s="2" t="s">
        <v>57</v>
      </c>
      <c r="M18" s="3"/>
    </row>
    <row r="19" spans="2:15" s="95" customFormat="1" ht="12.5" x14ac:dyDescent="0.25">
      <c r="B19" s="67">
        <v>4.8000000000000001E-2</v>
      </c>
      <c r="C19" s="67">
        <v>5.8999999999999997E-2</v>
      </c>
      <c r="D19" s="67">
        <v>0.60899999999999999</v>
      </c>
      <c r="E19" s="151"/>
      <c r="L19" s="2" t="s">
        <v>60</v>
      </c>
      <c r="M19" s="3" t="s">
        <v>1233</v>
      </c>
    </row>
    <row r="20" spans="2:15" s="95" customFormat="1" ht="12.5" x14ac:dyDescent="0.25">
      <c r="B20" s="101"/>
      <c r="C20" s="101"/>
      <c r="D20" s="101"/>
      <c r="L20" s="2" t="s">
        <v>1234</v>
      </c>
      <c r="M20" s="235"/>
    </row>
    <row r="21" spans="2:15" s="95" customFormat="1" ht="12.5" x14ac:dyDescent="0.25">
      <c r="F21" s="1"/>
      <c r="L21" s="2" t="s">
        <v>62</v>
      </c>
      <c r="M21" s="3" t="s">
        <v>1235</v>
      </c>
    </row>
    <row r="22" spans="2:15" s="95" customFormat="1" ht="13" x14ac:dyDescent="0.3">
      <c r="B22" s="129" t="s">
        <v>855</v>
      </c>
      <c r="C22" s="103"/>
      <c r="D22" s="128"/>
      <c r="F22" s="1"/>
      <c r="L22" s="2" t="s">
        <v>64</v>
      </c>
      <c r="M22" s="3" t="s">
        <v>1236</v>
      </c>
    </row>
    <row r="23" spans="2:15" s="95" customFormat="1" ht="13" x14ac:dyDescent="0.3">
      <c r="B23" s="130">
        <v>1</v>
      </c>
      <c r="C23" s="130">
        <v>2</v>
      </c>
      <c r="D23" s="130">
        <v>3</v>
      </c>
      <c r="F23" s="1"/>
      <c r="L23" s="2" t="s">
        <v>66</v>
      </c>
      <c r="M23" s="3">
        <v>0.99560000000000004</v>
      </c>
    </row>
    <row r="24" spans="2:15" s="95" customFormat="1" ht="13" x14ac:dyDescent="0.3">
      <c r="B24" s="131" t="s">
        <v>1229</v>
      </c>
      <c r="C24" s="131" t="s">
        <v>1229</v>
      </c>
      <c r="D24" s="131" t="s">
        <v>1229</v>
      </c>
      <c r="F24" s="101"/>
      <c r="L24" s="2"/>
      <c r="M24" s="3"/>
    </row>
    <row r="25" spans="2:15" s="95" customFormat="1" ht="13" x14ac:dyDescent="0.3">
      <c r="B25" s="28"/>
      <c r="C25" s="131" t="s">
        <v>1214</v>
      </c>
      <c r="D25" s="133" t="s">
        <v>1230</v>
      </c>
      <c r="L25" s="2" t="s">
        <v>67</v>
      </c>
      <c r="M25" s="3"/>
    </row>
    <row r="26" spans="2:15" s="95" customFormat="1" ht="13" x14ac:dyDescent="0.3">
      <c r="B26" s="134" t="s">
        <v>570</v>
      </c>
      <c r="C26" s="134" t="s">
        <v>570</v>
      </c>
      <c r="D26" s="134" t="s">
        <v>570</v>
      </c>
      <c r="L26" s="2" t="s">
        <v>68</v>
      </c>
      <c r="M26" s="3" t="s">
        <v>1237</v>
      </c>
    </row>
    <row r="27" spans="2:15" s="1" customFormat="1" ht="13" x14ac:dyDescent="0.25">
      <c r="B27" s="42">
        <f>(B17-0.051913)/0.000486*2</f>
        <v>-20.218106995884778</v>
      </c>
      <c r="C27" s="42">
        <f t="shared" ref="C27:D27" si="0">(C17-0.051913)/0.000486*2</f>
        <v>45.625514403292179</v>
      </c>
      <c r="D27" s="42">
        <f t="shared" si="0"/>
        <v>2424.2263374485597</v>
      </c>
      <c r="F27" s="95"/>
      <c r="L27" s="2" t="s">
        <v>47</v>
      </c>
      <c r="M27" s="3">
        <v>1.4E-2</v>
      </c>
      <c r="N27" s="95"/>
      <c r="O27" s="95"/>
    </row>
    <row r="28" spans="2:15" s="1" customFormat="1" ht="13" x14ac:dyDescent="0.25">
      <c r="B28" s="42">
        <f t="shared" ref="B28:D28" si="1">(B18-0.051913)/0.000486*2</f>
        <v>-24.333333333333339</v>
      </c>
      <c r="C28" s="42">
        <f t="shared" si="1"/>
        <v>49.74074074074074</v>
      </c>
      <c r="D28" s="42">
        <f t="shared" si="1"/>
        <v>2164.9670781893005</v>
      </c>
      <c r="F28" s="95"/>
      <c r="L28" s="2" t="s">
        <v>49</v>
      </c>
      <c r="M28" s="3" t="s">
        <v>332</v>
      </c>
      <c r="N28" s="95"/>
      <c r="O28" s="95"/>
    </row>
    <row r="29" spans="2:15" s="1" customFormat="1" ht="13" x14ac:dyDescent="0.25">
      <c r="B29" s="42">
        <f t="shared" ref="B29:D29" si="2">(B19-0.051913)/0.000486*2</f>
        <v>-16.102880658436213</v>
      </c>
      <c r="C29" s="42">
        <f t="shared" si="2"/>
        <v>29.164609053497927</v>
      </c>
      <c r="D29" s="42">
        <f t="shared" si="2"/>
        <v>2292.5390946502057</v>
      </c>
      <c r="F29" s="95"/>
      <c r="L29" s="2" t="s">
        <v>70</v>
      </c>
      <c r="M29" s="3" t="s">
        <v>52</v>
      </c>
      <c r="N29" s="95"/>
      <c r="O29" s="95"/>
    </row>
    <row r="30" spans="2:15" s="95" customFormat="1" ht="12.5" x14ac:dyDescent="0.25">
      <c r="B30" s="101"/>
      <c r="C30" s="101"/>
      <c r="D30" s="101"/>
      <c r="E30" s="101"/>
      <c r="G30" s="101"/>
      <c r="H30" s="101"/>
      <c r="I30" s="101"/>
      <c r="J30" s="101"/>
      <c r="K30" s="101"/>
      <c r="L30" s="101"/>
    </row>
    <row r="31" spans="2:15" s="95" customFormat="1" ht="12.5" x14ac:dyDescent="0.25"/>
  </sheetData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FED8-8BF1-4EB6-97FC-2AEBB65BB43F}">
  <dimension ref="A2:O31"/>
  <sheetViews>
    <sheetView zoomScale="90" zoomScaleNormal="90" workbookViewId="0">
      <selection activeCell="N42" sqref="N42"/>
    </sheetView>
  </sheetViews>
  <sheetFormatPr defaultRowHeight="14" x14ac:dyDescent="0.3"/>
  <cols>
    <col min="1" max="1" width="9" style="25"/>
    <col min="2" max="2" width="12.5" style="25" customWidth="1"/>
    <col min="3" max="3" width="15.75" style="25" customWidth="1"/>
    <col min="4" max="4" width="15.08203125" style="25" customWidth="1"/>
    <col min="5" max="5" width="11.33203125" style="25" customWidth="1"/>
    <col min="6" max="6" width="12.33203125" style="25" customWidth="1"/>
    <col min="7" max="7" width="11.25" style="25" customWidth="1"/>
    <col min="8" max="8" width="9.33203125" style="25" bestFit="1" customWidth="1"/>
    <col min="9" max="9" width="9.58203125" style="25" bestFit="1" customWidth="1"/>
    <col min="10" max="10" width="7.33203125" style="25" bestFit="1" customWidth="1"/>
    <col min="11" max="11" width="7" style="25" customWidth="1"/>
    <col min="12" max="12" width="30.83203125" style="25" customWidth="1"/>
    <col min="13" max="13" width="30.25" style="25" customWidth="1"/>
    <col min="14" max="14" width="4.33203125" style="25" customWidth="1"/>
    <col min="15" max="15" width="8.25" style="25" customWidth="1"/>
    <col min="16" max="255" width="9" style="25"/>
    <col min="256" max="268" width="15.5" style="25" customWidth="1"/>
    <col min="269" max="270" width="14" style="25" customWidth="1"/>
    <col min="271" max="271" width="8.25" style="25" customWidth="1"/>
    <col min="272" max="511" width="9" style="25"/>
    <col min="512" max="524" width="15.5" style="25" customWidth="1"/>
    <col min="525" max="526" width="14" style="25" customWidth="1"/>
    <col min="527" max="527" width="8.25" style="25" customWidth="1"/>
    <col min="528" max="767" width="9" style="25"/>
    <col min="768" max="780" width="15.5" style="25" customWidth="1"/>
    <col min="781" max="782" width="14" style="25" customWidth="1"/>
    <col min="783" max="783" width="8.25" style="25" customWidth="1"/>
    <col min="784" max="1023" width="9" style="25"/>
    <col min="1024" max="1036" width="15.5" style="25" customWidth="1"/>
    <col min="1037" max="1038" width="14" style="25" customWidth="1"/>
    <col min="1039" max="1039" width="8.25" style="25" customWidth="1"/>
    <col min="1040" max="1279" width="9" style="25"/>
    <col min="1280" max="1292" width="15.5" style="25" customWidth="1"/>
    <col min="1293" max="1294" width="14" style="25" customWidth="1"/>
    <col min="1295" max="1295" width="8.25" style="25" customWidth="1"/>
    <col min="1296" max="1535" width="9" style="25"/>
    <col min="1536" max="1548" width="15.5" style="25" customWidth="1"/>
    <col min="1549" max="1550" width="14" style="25" customWidth="1"/>
    <col min="1551" max="1551" width="8.25" style="25" customWidth="1"/>
    <col min="1552" max="1791" width="9" style="25"/>
    <col min="1792" max="1804" width="15.5" style="25" customWidth="1"/>
    <col min="1805" max="1806" width="14" style="25" customWidth="1"/>
    <col min="1807" max="1807" width="8.25" style="25" customWidth="1"/>
    <col min="1808" max="2047" width="9" style="25"/>
    <col min="2048" max="2060" width="15.5" style="25" customWidth="1"/>
    <col min="2061" max="2062" width="14" style="25" customWidth="1"/>
    <col min="2063" max="2063" width="8.25" style="25" customWidth="1"/>
    <col min="2064" max="2303" width="9" style="25"/>
    <col min="2304" max="2316" width="15.5" style="25" customWidth="1"/>
    <col min="2317" max="2318" width="14" style="25" customWidth="1"/>
    <col min="2319" max="2319" width="8.25" style="25" customWidth="1"/>
    <col min="2320" max="2559" width="9" style="25"/>
    <col min="2560" max="2572" width="15.5" style="25" customWidth="1"/>
    <col min="2573" max="2574" width="14" style="25" customWidth="1"/>
    <col min="2575" max="2575" width="8.25" style="25" customWidth="1"/>
    <col min="2576" max="2815" width="9" style="25"/>
    <col min="2816" max="2828" width="15.5" style="25" customWidth="1"/>
    <col min="2829" max="2830" width="14" style="25" customWidth="1"/>
    <col min="2831" max="2831" width="8.25" style="25" customWidth="1"/>
    <col min="2832" max="3071" width="9" style="25"/>
    <col min="3072" max="3084" width="15.5" style="25" customWidth="1"/>
    <col min="3085" max="3086" width="14" style="25" customWidth="1"/>
    <col min="3087" max="3087" width="8.25" style="25" customWidth="1"/>
    <col min="3088" max="3327" width="9" style="25"/>
    <col min="3328" max="3340" width="15.5" style="25" customWidth="1"/>
    <col min="3341" max="3342" width="14" style="25" customWidth="1"/>
    <col min="3343" max="3343" width="8.25" style="25" customWidth="1"/>
    <col min="3344" max="3583" width="9" style="25"/>
    <col min="3584" max="3596" width="15.5" style="25" customWidth="1"/>
    <col min="3597" max="3598" width="14" style="25" customWidth="1"/>
    <col min="3599" max="3599" width="8.25" style="25" customWidth="1"/>
    <col min="3600" max="3839" width="9" style="25"/>
    <col min="3840" max="3852" width="15.5" style="25" customWidth="1"/>
    <col min="3853" max="3854" width="14" style="25" customWidth="1"/>
    <col min="3855" max="3855" width="8.25" style="25" customWidth="1"/>
    <col min="3856" max="4095" width="9" style="25"/>
    <col min="4096" max="4108" width="15.5" style="25" customWidth="1"/>
    <col min="4109" max="4110" width="14" style="25" customWidth="1"/>
    <col min="4111" max="4111" width="8.25" style="25" customWidth="1"/>
    <col min="4112" max="4351" width="9" style="25"/>
    <col min="4352" max="4364" width="15.5" style="25" customWidth="1"/>
    <col min="4365" max="4366" width="14" style="25" customWidth="1"/>
    <col min="4367" max="4367" width="8.25" style="25" customWidth="1"/>
    <col min="4368" max="4607" width="9" style="25"/>
    <col min="4608" max="4620" width="15.5" style="25" customWidth="1"/>
    <col min="4621" max="4622" width="14" style="25" customWidth="1"/>
    <col min="4623" max="4623" width="8.25" style="25" customWidth="1"/>
    <col min="4624" max="4863" width="9" style="25"/>
    <col min="4864" max="4876" width="15.5" style="25" customWidth="1"/>
    <col min="4877" max="4878" width="14" style="25" customWidth="1"/>
    <col min="4879" max="4879" width="8.25" style="25" customWidth="1"/>
    <col min="4880" max="5119" width="9" style="25"/>
    <col min="5120" max="5132" width="15.5" style="25" customWidth="1"/>
    <col min="5133" max="5134" width="14" style="25" customWidth="1"/>
    <col min="5135" max="5135" width="8.25" style="25" customWidth="1"/>
    <col min="5136" max="5375" width="9" style="25"/>
    <col min="5376" max="5388" width="15.5" style="25" customWidth="1"/>
    <col min="5389" max="5390" width="14" style="25" customWidth="1"/>
    <col min="5391" max="5391" width="8.25" style="25" customWidth="1"/>
    <col min="5392" max="5631" width="9" style="25"/>
    <col min="5632" max="5644" width="15.5" style="25" customWidth="1"/>
    <col min="5645" max="5646" width="14" style="25" customWidth="1"/>
    <col min="5647" max="5647" width="8.25" style="25" customWidth="1"/>
    <col min="5648" max="5887" width="9" style="25"/>
    <col min="5888" max="5900" width="15.5" style="25" customWidth="1"/>
    <col min="5901" max="5902" width="14" style="25" customWidth="1"/>
    <col min="5903" max="5903" width="8.25" style="25" customWidth="1"/>
    <col min="5904" max="6143" width="9" style="25"/>
    <col min="6144" max="6156" width="15.5" style="25" customWidth="1"/>
    <col min="6157" max="6158" width="14" style="25" customWidth="1"/>
    <col min="6159" max="6159" width="8.25" style="25" customWidth="1"/>
    <col min="6160" max="6399" width="9" style="25"/>
    <col min="6400" max="6412" width="15.5" style="25" customWidth="1"/>
    <col min="6413" max="6414" width="14" style="25" customWidth="1"/>
    <col min="6415" max="6415" width="8.25" style="25" customWidth="1"/>
    <col min="6416" max="6655" width="9" style="25"/>
    <col min="6656" max="6668" width="15.5" style="25" customWidth="1"/>
    <col min="6669" max="6670" width="14" style="25" customWidth="1"/>
    <col min="6671" max="6671" width="8.25" style="25" customWidth="1"/>
    <col min="6672" max="6911" width="9" style="25"/>
    <col min="6912" max="6924" width="15.5" style="25" customWidth="1"/>
    <col min="6925" max="6926" width="14" style="25" customWidth="1"/>
    <col min="6927" max="6927" width="8.25" style="25" customWidth="1"/>
    <col min="6928" max="7167" width="9" style="25"/>
    <col min="7168" max="7180" width="15.5" style="25" customWidth="1"/>
    <col min="7181" max="7182" width="14" style="25" customWidth="1"/>
    <col min="7183" max="7183" width="8.25" style="25" customWidth="1"/>
    <col min="7184" max="7423" width="9" style="25"/>
    <col min="7424" max="7436" width="15.5" style="25" customWidth="1"/>
    <col min="7437" max="7438" width="14" style="25" customWidth="1"/>
    <col min="7439" max="7439" width="8.25" style="25" customWidth="1"/>
    <col min="7440" max="7679" width="9" style="25"/>
    <col min="7680" max="7692" width="15.5" style="25" customWidth="1"/>
    <col min="7693" max="7694" width="14" style="25" customWidth="1"/>
    <col min="7695" max="7695" width="8.25" style="25" customWidth="1"/>
    <col min="7696" max="7935" width="9" style="25"/>
    <col min="7936" max="7948" width="15.5" style="25" customWidth="1"/>
    <col min="7949" max="7950" width="14" style="25" customWidth="1"/>
    <col min="7951" max="7951" width="8.25" style="25" customWidth="1"/>
    <col min="7952" max="8191" width="9" style="25"/>
    <col min="8192" max="8204" width="15.5" style="25" customWidth="1"/>
    <col min="8205" max="8206" width="14" style="25" customWidth="1"/>
    <col min="8207" max="8207" width="8.25" style="25" customWidth="1"/>
    <col min="8208" max="8447" width="9" style="25"/>
    <col min="8448" max="8460" width="15.5" style="25" customWidth="1"/>
    <col min="8461" max="8462" width="14" style="25" customWidth="1"/>
    <col min="8463" max="8463" width="8.25" style="25" customWidth="1"/>
    <col min="8464" max="8703" width="9" style="25"/>
    <col min="8704" max="8716" width="15.5" style="25" customWidth="1"/>
    <col min="8717" max="8718" width="14" style="25" customWidth="1"/>
    <col min="8719" max="8719" width="8.25" style="25" customWidth="1"/>
    <col min="8720" max="8959" width="9" style="25"/>
    <col min="8960" max="8972" width="15.5" style="25" customWidth="1"/>
    <col min="8973" max="8974" width="14" style="25" customWidth="1"/>
    <col min="8975" max="8975" width="8.25" style="25" customWidth="1"/>
    <col min="8976" max="9215" width="9" style="25"/>
    <col min="9216" max="9228" width="15.5" style="25" customWidth="1"/>
    <col min="9229" max="9230" width="14" style="25" customWidth="1"/>
    <col min="9231" max="9231" width="8.25" style="25" customWidth="1"/>
    <col min="9232" max="9471" width="9" style="25"/>
    <col min="9472" max="9484" width="15.5" style="25" customWidth="1"/>
    <col min="9485" max="9486" width="14" style="25" customWidth="1"/>
    <col min="9487" max="9487" width="8.25" style="25" customWidth="1"/>
    <col min="9488" max="9727" width="9" style="25"/>
    <col min="9728" max="9740" width="15.5" style="25" customWidth="1"/>
    <col min="9741" max="9742" width="14" style="25" customWidth="1"/>
    <col min="9743" max="9743" width="8.25" style="25" customWidth="1"/>
    <col min="9744" max="9983" width="9" style="25"/>
    <col min="9984" max="9996" width="15.5" style="25" customWidth="1"/>
    <col min="9997" max="9998" width="14" style="25" customWidth="1"/>
    <col min="9999" max="9999" width="8.25" style="25" customWidth="1"/>
    <col min="10000" max="10239" width="9" style="25"/>
    <col min="10240" max="10252" width="15.5" style="25" customWidth="1"/>
    <col min="10253" max="10254" width="14" style="25" customWidth="1"/>
    <col min="10255" max="10255" width="8.25" style="25" customWidth="1"/>
    <col min="10256" max="10495" width="9" style="25"/>
    <col min="10496" max="10508" width="15.5" style="25" customWidth="1"/>
    <col min="10509" max="10510" width="14" style="25" customWidth="1"/>
    <col min="10511" max="10511" width="8.25" style="25" customWidth="1"/>
    <col min="10512" max="10751" width="9" style="25"/>
    <col min="10752" max="10764" width="15.5" style="25" customWidth="1"/>
    <col min="10765" max="10766" width="14" style="25" customWidth="1"/>
    <col min="10767" max="10767" width="8.25" style="25" customWidth="1"/>
    <col min="10768" max="11007" width="9" style="25"/>
    <col min="11008" max="11020" width="15.5" style="25" customWidth="1"/>
    <col min="11021" max="11022" width="14" style="25" customWidth="1"/>
    <col min="11023" max="11023" width="8.25" style="25" customWidth="1"/>
    <col min="11024" max="11263" width="9" style="25"/>
    <col min="11264" max="11276" width="15.5" style="25" customWidth="1"/>
    <col min="11277" max="11278" width="14" style="25" customWidth="1"/>
    <col min="11279" max="11279" width="8.25" style="25" customWidth="1"/>
    <col min="11280" max="11519" width="9" style="25"/>
    <col min="11520" max="11532" width="15.5" style="25" customWidth="1"/>
    <col min="11533" max="11534" width="14" style="25" customWidth="1"/>
    <col min="11535" max="11535" width="8.25" style="25" customWidth="1"/>
    <col min="11536" max="11775" width="9" style="25"/>
    <col min="11776" max="11788" width="15.5" style="25" customWidth="1"/>
    <col min="11789" max="11790" width="14" style="25" customWidth="1"/>
    <col min="11791" max="11791" width="8.25" style="25" customWidth="1"/>
    <col min="11792" max="12031" width="9" style="25"/>
    <col min="12032" max="12044" width="15.5" style="25" customWidth="1"/>
    <col min="12045" max="12046" width="14" style="25" customWidth="1"/>
    <col min="12047" max="12047" width="8.25" style="25" customWidth="1"/>
    <col min="12048" max="12287" width="9" style="25"/>
    <col min="12288" max="12300" width="15.5" style="25" customWidth="1"/>
    <col min="12301" max="12302" width="14" style="25" customWidth="1"/>
    <col min="12303" max="12303" width="8.25" style="25" customWidth="1"/>
    <col min="12304" max="12543" width="9" style="25"/>
    <col min="12544" max="12556" width="15.5" style="25" customWidth="1"/>
    <col min="12557" max="12558" width="14" style="25" customWidth="1"/>
    <col min="12559" max="12559" width="8.25" style="25" customWidth="1"/>
    <col min="12560" max="12799" width="9" style="25"/>
    <col min="12800" max="12812" width="15.5" style="25" customWidth="1"/>
    <col min="12813" max="12814" width="14" style="25" customWidth="1"/>
    <col min="12815" max="12815" width="8.25" style="25" customWidth="1"/>
    <col min="12816" max="13055" width="9" style="25"/>
    <col min="13056" max="13068" width="15.5" style="25" customWidth="1"/>
    <col min="13069" max="13070" width="14" style="25" customWidth="1"/>
    <col min="13071" max="13071" width="8.25" style="25" customWidth="1"/>
    <col min="13072" max="13311" width="9" style="25"/>
    <col min="13312" max="13324" width="15.5" style="25" customWidth="1"/>
    <col min="13325" max="13326" width="14" style="25" customWidth="1"/>
    <col min="13327" max="13327" width="8.25" style="25" customWidth="1"/>
    <col min="13328" max="13567" width="9" style="25"/>
    <col min="13568" max="13580" width="15.5" style="25" customWidth="1"/>
    <col min="13581" max="13582" width="14" style="25" customWidth="1"/>
    <col min="13583" max="13583" width="8.25" style="25" customWidth="1"/>
    <col min="13584" max="13823" width="9" style="25"/>
    <col min="13824" max="13836" width="15.5" style="25" customWidth="1"/>
    <col min="13837" max="13838" width="14" style="25" customWidth="1"/>
    <col min="13839" max="13839" width="8.25" style="25" customWidth="1"/>
    <col min="13840" max="14079" width="9" style="25"/>
    <col min="14080" max="14092" width="15.5" style="25" customWidth="1"/>
    <col min="14093" max="14094" width="14" style="25" customWidth="1"/>
    <col min="14095" max="14095" width="8.25" style="25" customWidth="1"/>
    <col min="14096" max="14335" width="9" style="25"/>
    <col min="14336" max="14348" width="15.5" style="25" customWidth="1"/>
    <col min="14349" max="14350" width="14" style="25" customWidth="1"/>
    <col min="14351" max="14351" width="8.25" style="25" customWidth="1"/>
    <col min="14352" max="14591" width="9" style="25"/>
    <col min="14592" max="14604" width="15.5" style="25" customWidth="1"/>
    <col min="14605" max="14606" width="14" style="25" customWidth="1"/>
    <col min="14607" max="14607" width="8.25" style="25" customWidth="1"/>
    <col min="14608" max="14847" width="9" style="25"/>
    <col min="14848" max="14860" width="15.5" style="25" customWidth="1"/>
    <col min="14861" max="14862" width="14" style="25" customWidth="1"/>
    <col min="14863" max="14863" width="8.25" style="25" customWidth="1"/>
    <col min="14864" max="15103" width="9" style="25"/>
    <col min="15104" max="15116" width="15.5" style="25" customWidth="1"/>
    <col min="15117" max="15118" width="14" style="25" customWidth="1"/>
    <col min="15119" max="15119" width="8.25" style="25" customWidth="1"/>
    <col min="15120" max="15359" width="9" style="25"/>
    <col min="15360" max="15372" width="15.5" style="25" customWidth="1"/>
    <col min="15373" max="15374" width="14" style="25" customWidth="1"/>
    <col min="15375" max="15375" width="8.25" style="25" customWidth="1"/>
    <col min="15376" max="15615" width="9" style="25"/>
    <col min="15616" max="15628" width="15.5" style="25" customWidth="1"/>
    <col min="15629" max="15630" width="14" style="25" customWidth="1"/>
    <col min="15631" max="15631" width="8.25" style="25" customWidth="1"/>
    <col min="15632" max="15871" width="9" style="25"/>
    <col min="15872" max="15884" width="15.5" style="25" customWidth="1"/>
    <col min="15885" max="15886" width="14" style="25" customWidth="1"/>
    <col min="15887" max="15887" width="8.25" style="25" customWidth="1"/>
    <col min="15888" max="16127" width="9" style="25"/>
    <col min="16128" max="16140" width="15.5" style="25" customWidth="1"/>
    <col min="16141" max="16142" width="14" style="25" customWidth="1"/>
    <col min="16143" max="16143" width="8.25" style="25" customWidth="1"/>
    <col min="16144" max="16384" width="9" style="25"/>
  </cols>
  <sheetData>
    <row r="2" spans="1:13" s="95" customFormat="1" ht="13" x14ac:dyDescent="0.25">
      <c r="B2" s="100" t="s">
        <v>1227</v>
      </c>
      <c r="C2" s="101"/>
      <c r="D2" s="101"/>
    </row>
    <row r="3" spans="1:13" s="101" customFormat="1" ht="13" x14ac:dyDescent="0.45">
      <c r="A3" s="13"/>
    </row>
    <row r="4" spans="1:13" s="95" customFormat="1" ht="13" x14ac:dyDescent="0.3">
      <c r="B4" s="103" t="s">
        <v>21</v>
      </c>
      <c r="J4" s="26"/>
      <c r="L4" s="103" t="s">
        <v>71</v>
      </c>
    </row>
    <row r="5" spans="1:13" s="95" customFormat="1" ht="12.5" x14ac:dyDescent="0.25"/>
    <row r="6" spans="1:13" s="95" customFormat="1" ht="12.5" x14ac:dyDescent="0.25">
      <c r="B6" s="3"/>
      <c r="C6" s="27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L6" s="2" t="s">
        <v>41</v>
      </c>
      <c r="M6" s="3" t="s">
        <v>42</v>
      </c>
    </row>
    <row r="7" spans="1:13" s="95" customFormat="1" ht="13" x14ac:dyDescent="0.3">
      <c r="B7" s="6" t="s">
        <v>30</v>
      </c>
      <c r="C7" s="67">
        <v>1.651</v>
      </c>
      <c r="D7" s="67">
        <v>1.119</v>
      </c>
      <c r="E7" s="67">
        <v>0.65</v>
      </c>
      <c r="F7" s="67">
        <v>0.372</v>
      </c>
      <c r="G7" s="67">
        <v>0.19700000000000001</v>
      </c>
      <c r="H7" s="67">
        <v>0.13100000000000001</v>
      </c>
      <c r="I7" s="67">
        <v>0.09</v>
      </c>
      <c r="J7" s="67">
        <v>5.0999999999999997E-2</v>
      </c>
      <c r="L7" s="7" t="s">
        <v>725</v>
      </c>
      <c r="M7" s="8" t="s">
        <v>1251</v>
      </c>
    </row>
    <row r="8" spans="1:13" s="95" customFormat="1" ht="13" x14ac:dyDescent="0.3">
      <c r="B8" s="6" t="s">
        <v>31</v>
      </c>
      <c r="C8" s="67">
        <v>1.8360000000000001</v>
      </c>
      <c r="D8" s="67">
        <v>1.1859999999999999</v>
      </c>
      <c r="E8" s="67">
        <v>0.70499999999999996</v>
      </c>
      <c r="F8" s="67">
        <v>0.40899999999999997</v>
      </c>
      <c r="G8" s="67">
        <v>0.21299999999999999</v>
      </c>
      <c r="H8" s="67">
        <v>0.126</v>
      </c>
      <c r="I8" s="67">
        <v>9.0999999999999998E-2</v>
      </c>
      <c r="J8" s="67">
        <v>5.6000000000000001E-2</v>
      </c>
      <c r="L8" s="7" t="s">
        <v>44</v>
      </c>
      <c r="M8" s="8" t="s">
        <v>44</v>
      </c>
    </row>
    <row r="9" spans="1:13" s="95" customFormat="1" ht="13" x14ac:dyDescent="0.3">
      <c r="B9" s="26"/>
      <c r="L9" s="7" t="s">
        <v>155</v>
      </c>
      <c r="M9" s="8" t="s">
        <v>1252</v>
      </c>
    </row>
    <row r="10" spans="1:13" s="95" customFormat="1" ht="13" x14ac:dyDescent="0.3">
      <c r="B10" s="26"/>
      <c r="D10" s="124" t="s">
        <v>1240</v>
      </c>
      <c r="E10" s="125"/>
      <c r="F10" s="125"/>
      <c r="G10" s="125"/>
      <c r="H10" s="125"/>
      <c r="L10" s="2"/>
      <c r="M10" s="3"/>
    </row>
    <row r="11" spans="1:13" s="95" customFormat="1" ht="13" x14ac:dyDescent="0.3">
      <c r="B11" s="26"/>
      <c r="D11" s="128"/>
      <c r="L11" s="2" t="s">
        <v>46</v>
      </c>
      <c r="M11" s="3"/>
    </row>
    <row r="12" spans="1:13" s="95" customFormat="1" ht="13" x14ac:dyDescent="0.3">
      <c r="B12" s="129" t="s">
        <v>40</v>
      </c>
      <c r="C12" s="103"/>
      <c r="D12" s="128"/>
      <c r="L12" s="7" t="s">
        <v>47</v>
      </c>
      <c r="M12" s="8">
        <v>1E-4</v>
      </c>
    </row>
    <row r="13" spans="1:13" s="95" customFormat="1" ht="13" x14ac:dyDescent="0.3">
      <c r="B13" s="130">
        <v>1</v>
      </c>
      <c r="C13" s="130">
        <v>2</v>
      </c>
      <c r="D13" s="130">
        <v>3</v>
      </c>
      <c r="L13" s="7" t="s">
        <v>49</v>
      </c>
      <c r="M13" s="8" t="s">
        <v>50</v>
      </c>
    </row>
    <row r="14" spans="1:13" s="95" customFormat="1" ht="13" x14ac:dyDescent="0.3">
      <c r="B14" s="131" t="s">
        <v>1242</v>
      </c>
      <c r="C14" s="131" t="s">
        <v>1242</v>
      </c>
      <c r="D14" s="131" t="s">
        <v>1242</v>
      </c>
      <c r="L14" s="2" t="s">
        <v>51</v>
      </c>
      <c r="M14" s="3" t="s">
        <v>52</v>
      </c>
    </row>
    <row r="15" spans="1:13" s="95" customFormat="1" ht="13" x14ac:dyDescent="0.3">
      <c r="B15" s="28"/>
      <c r="C15" s="131" t="s">
        <v>1243</v>
      </c>
      <c r="D15" s="133" t="s">
        <v>1244</v>
      </c>
      <c r="L15" s="2" t="s">
        <v>53</v>
      </c>
      <c r="M15" s="3" t="s">
        <v>54</v>
      </c>
    </row>
    <row r="16" spans="1:13" s="95" customFormat="1" ht="13" x14ac:dyDescent="0.3">
      <c r="B16" s="134" t="s">
        <v>570</v>
      </c>
      <c r="C16" s="134" t="s">
        <v>570</v>
      </c>
      <c r="D16" s="134" t="s">
        <v>570</v>
      </c>
      <c r="L16" s="2" t="s">
        <v>55</v>
      </c>
      <c r="M16" s="3" t="s">
        <v>1245</v>
      </c>
    </row>
    <row r="17" spans="2:15" s="95" customFormat="1" ht="12.5" x14ac:dyDescent="0.25">
      <c r="B17" s="67">
        <v>5.2999999999999999E-2</v>
      </c>
      <c r="C17" s="67">
        <v>8.3000000000000004E-2</v>
      </c>
      <c r="D17" s="143">
        <v>0.627</v>
      </c>
      <c r="E17" s="145"/>
      <c r="F17" s="146"/>
      <c r="L17" s="2"/>
      <c r="M17" s="3"/>
    </row>
    <row r="18" spans="2:15" s="95" customFormat="1" ht="13" x14ac:dyDescent="0.3">
      <c r="B18" s="67">
        <v>5.3999999999999999E-2</v>
      </c>
      <c r="C18" s="67">
        <v>7.8E-2</v>
      </c>
      <c r="D18" s="143">
        <v>0.53800000000000003</v>
      </c>
      <c r="E18" s="148" t="s">
        <v>1231</v>
      </c>
      <c r="F18" s="149" t="s">
        <v>1241</v>
      </c>
      <c r="L18" s="2" t="s">
        <v>57</v>
      </c>
      <c r="M18" s="3"/>
    </row>
    <row r="19" spans="2:15" s="95" customFormat="1" ht="12.5" x14ac:dyDescent="0.25">
      <c r="B19" s="67">
        <v>4.7E-2</v>
      </c>
      <c r="C19" s="67">
        <v>8.2000000000000003E-2</v>
      </c>
      <c r="D19" s="143">
        <v>0.52500000000000002</v>
      </c>
      <c r="E19" s="151"/>
      <c r="F19" s="152"/>
      <c r="L19" s="2" t="s">
        <v>497</v>
      </c>
      <c r="M19" s="3" t="s">
        <v>1246</v>
      </c>
    </row>
    <row r="20" spans="2:15" s="95" customFormat="1" ht="12.5" x14ac:dyDescent="0.25">
      <c r="B20" s="101"/>
      <c r="C20" s="101"/>
      <c r="D20" s="101"/>
      <c r="L20" s="2" t="s">
        <v>249</v>
      </c>
      <c r="M20" s="3" t="s">
        <v>1247</v>
      </c>
    </row>
    <row r="21" spans="2:15" s="95" customFormat="1" ht="12.5" x14ac:dyDescent="0.25">
      <c r="F21" s="1"/>
      <c r="L21" s="2" t="s">
        <v>62</v>
      </c>
      <c r="M21" s="3" t="s">
        <v>1248</v>
      </c>
    </row>
    <row r="22" spans="2:15" s="95" customFormat="1" ht="13" x14ac:dyDescent="0.3">
      <c r="B22" s="129" t="s">
        <v>855</v>
      </c>
      <c r="C22" s="103"/>
      <c r="D22" s="128"/>
      <c r="F22" s="1"/>
      <c r="L22" s="2" t="s">
        <v>64</v>
      </c>
      <c r="M22" s="3" t="s">
        <v>1249</v>
      </c>
    </row>
    <row r="23" spans="2:15" s="95" customFormat="1" ht="13" x14ac:dyDescent="0.3">
      <c r="B23" s="130">
        <v>1</v>
      </c>
      <c r="C23" s="130">
        <v>2</v>
      </c>
      <c r="D23" s="130">
        <v>3</v>
      </c>
      <c r="F23" s="1"/>
      <c r="L23" s="2" t="s">
        <v>66</v>
      </c>
      <c r="M23" s="3">
        <v>0.98309999999999997</v>
      </c>
    </row>
    <row r="24" spans="2:15" s="95" customFormat="1" ht="13" x14ac:dyDescent="0.3">
      <c r="B24" s="131" t="s">
        <v>1242</v>
      </c>
      <c r="C24" s="131" t="s">
        <v>1242</v>
      </c>
      <c r="D24" s="131" t="s">
        <v>1242</v>
      </c>
      <c r="F24" s="101"/>
      <c r="L24" s="2"/>
      <c r="M24" s="3"/>
    </row>
    <row r="25" spans="2:15" s="95" customFormat="1" ht="13" x14ac:dyDescent="0.3">
      <c r="B25" s="28"/>
      <c r="C25" s="131" t="s">
        <v>1243</v>
      </c>
      <c r="D25" s="133" t="s">
        <v>1244</v>
      </c>
      <c r="L25" s="2" t="s">
        <v>67</v>
      </c>
      <c r="M25" s="3"/>
    </row>
    <row r="26" spans="2:15" s="95" customFormat="1" ht="13" x14ac:dyDescent="0.3">
      <c r="B26" s="134" t="s">
        <v>570</v>
      </c>
      <c r="C26" s="134" t="s">
        <v>570</v>
      </c>
      <c r="D26" s="134" t="s">
        <v>570</v>
      </c>
      <c r="L26" s="2" t="s">
        <v>68</v>
      </c>
      <c r="M26" s="3" t="s">
        <v>1250</v>
      </c>
    </row>
    <row r="27" spans="2:15" s="1" customFormat="1" ht="13" x14ac:dyDescent="0.25">
      <c r="B27" s="42">
        <f>(B17-0.072689)/0.000555*2</f>
        <v>-70.951351351351363</v>
      </c>
      <c r="C27" s="42">
        <f t="shared" ref="C27" si="0">(C17-0.072689)/0.000555*2</f>
        <v>37.156756756756756</v>
      </c>
      <c r="D27" s="42">
        <f>(D17-0.072689)/0.000555*10</f>
        <v>9987.5855855855843</v>
      </c>
      <c r="F27" s="95"/>
      <c r="L27" s="2" t="s">
        <v>47</v>
      </c>
      <c r="M27" s="3">
        <v>2.0000000000000001E-4</v>
      </c>
      <c r="N27" s="95"/>
      <c r="O27" s="95"/>
    </row>
    <row r="28" spans="2:15" s="1" customFormat="1" ht="13" x14ac:dyDescent="0.25">
      <c r="B28" s="42">
        <f t="shared" ref="B28:C28" si="1">(B18-0.072689)/0.000555*2</f>
        <v>-67.347747747747761</v>
      </c>
      <c r="C28" s="42">
        <f t="shared" si="1"/>
        <v>19.138738738738724</v>
      </c>
      <c r="D28" s="42">
        <f t="shared" ref="D28:D29" si="2">(D18-0.072689)/0.000555*10</f>
        <v>8383.9819819819822</v>
      </c>
      <c r="F28" s="95"/>
      <c r="L28" s="2" t="s">
        <v>49</v>
      </c>
      <c r="M28" s="3" t="s">
        <v>50</v>
      </c>
      <c r="N28" s="95"/>
      <c r="O28" s="95"/>
    </row>
    <row r="29" spans="2:15" s="1" customFormat="1" ht="13" x14ac:dyDescent="0.25">
      <c r="B29" s="42">
        <f t="shared" ref="B29:C29" si="3">(B19-0.072689)/0.000555*2</f>
        <v>-92.572972972972977</v>
      </c>
      <c r="C29" s="42">
        <f t="shared" si="3"/>
        <v>33.553153153153147</v>
      </c>
      <c r="D29" s="42">
        <f t="shared" si="2"/>
        <v>8149.7477477477469</v>
      </c>
      <c r="F29" s="95"/>
      <c r="L29" s="2" t="s">
        <v>70</v>
      </c>
      <c r="M29" s="3" t="s">
        <v>52</v>
      </c>
      <c r="N29" s="95"/>
      <c r="O29" s="95"/>
    </row>
    <row r="30" spans="2:15" s="95" customFormat="1" ht="12.5" x14ac:dyDescent="0.25">
      <c r="B30" s="101"/>
      <c r="C30" s="101"/>
      <c r="D30" s="101"/>
      <c r="E30" s="101"/>
      <c r="G30" s="101"/>
      <c r="H30" s="101"/>
      <c r="I30" s="101"/>
      <c r="J30" s="101"/>
      <c r="K30" s="101"/>
      <c r="L30" s="101"/>
    </row>
    <row r="31" spans="2:15" s="95" customFormat="1" ht="12.5" x14ac:dyDescent="0.25"/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6E3D-89BB-47E8-B2A0-D0280834B731}">
  <dimension ref="A2:J33"/>
  <sheetViews>
    <sheetView zoomScale="90" zoomScaleNormal="90" workbookViewId="0">
      <selection activeCell="D39" sqref="D39"/>
    </sheetView>
  </sheetViews>
  <sheetFormatPr defaultRowHeight="14" x14ac:dyDescent="0.3"/>
  <cols>
    <col min="1" max="1" width="9" style="25"/>
    <col min="2" max="2" width="15.5" style="25" customWidth="1"/>
    <col min="3" max="3" width="17.5" style="25" bestFit="1" customWidth="1"/>
    <col min="4" max="4" width="19.83203125" style="25" bestFit="1" customWidth="1"/>
    <col min="5" max="5" width="7.58203125" style="25" customWidth="1"/>
    <col min="6" max="6" width="30.83203125" style="25" bestFit="1" customWidth="1"/>
    <col min="7" max="7" width="15.83203125" style="25" bestFit="1" customWidth="1"/>
    <col min="8" max="8" width="8.33203125" style="25" customWidth="1"/>
    <col min="9" max="9" width="30.83203125" style="25" bestFit="1" customWidth="1"/>
    <col min="10" max="10" width="15.83203125" style="25" bestFit="1" customWidth="1"/>
    <col min="11" max="14" width="15.5" style="25" customWidth="1"/>
    <col min="15" max="16" width="14" style="25" customWidth="1"/>
    <col min="17" max="17" width="8.25" style="25" customWidth="1"/>
    <col min="18" max="257" width="9" style="25"/>
    <col min="258" max="270" width="15.5" style="25" customWidth="1"/>
    <col min="271" max="272" width="14" style="25" customWidth="1"/>
    <col min="273" max="273" width="8.25" style="25" customWidth="1"/>
    <col min="274" max="513" width="9" style="25"/>
    <col min="514" max="526" width="15.5" style="25" customWidth="1"/>
    <col min="527" max="528" width="14" style="25" customWidth="1"/>
    <col min="529" max="529" width="8.25" style="25" customWidth="1"/>
    <col min="530" max="769" width="9" style="25"/>
    <col min="770" max="782" width="15.5" style="25" customWidth="1"/>
    <col min="783" max="784" width="14" style="25" customWidth="1"/>
    <col min="785" max="785" width="8.25" style="25" customWidth="1"/>
    <col min="786" max="1025" width="9" style="25"/>
    <col min="1026" max="1038" width="15.5" style="25" customWidth="1"/>
    <col min="1039" max="1040" width="14" style="25" customWidth="1"/>
    <col min="1041" max="1041" width="8.25" style="25" customWidth="1"/>
    <col min="1042" max="1281" width="9" style="25"/>
    <col min="1282" max="1294" width="15.5" style="25" customWidth="1"/>
    <col min="1295" max="1296" width="14" style="25" customWidth="1"/>
    <col min="1297" max="1297" width="8.25" style="25" customWidth="1"/>
    <col min="1298" max="1537" width="9" style="25"/>
    <col min="1538" max="1550" width="15.5" style="25" customWidth="1"/>
    <col min="1551" max="1552" width="14" style="25" customWidth="1"/>
    <col min="1553" max="1553" width="8.25" style="25" customWidth="1"/>
    <col min="1554" max="1793" width="9" style="25"/>
    <col min="1794" max="1806" width="15.5" style="25" customWidth="1"/>
    <col min="1807" max="1808" width="14" style="25" customWidth="1"/>
    <col min="1809" max="1809" width="8.25" style="25" customWidth="1"/>
    <col min="1810" max="2049" width="9" style="25"/>
    <col min="2050" max="2062" width="15.5" style="25" customWidth="1"/>
    <col min="2063" max="2064" width="14" style="25" customWidth="1"/>
    <col min="2065" max="2065" width="8.25" style="25" customWidth="1"/>
    <col min="2066" max="2305" width="9" style="25"/>
    <col min="2306" max="2318" width="15.5" style="25" customWidth="1"/>
    <col min="2319" max="2320" width="14" style="25" customWidth="1"/>
    <col min="2321" max="2321" width="8.25" style="25" customWidth="1"/>
    <col min="2322" max="2561" width="9" style="25"/>
    <col min="2562" max="2574" width="15.5" style="25" customWidth="1"/>
    <col min="2575" max="2576" width="14" style="25" customWidth="1"/>
    <col min="2577" max="2577" width="8.25" style="25" customWidth="1"/>
    <col min="2578" max="2817" width="9" style="25"/>
    <col min="2818" max="2830" width="15.5" style="25" customWidth="1"/>
    <col min="2831" max="2832" width="14" style="25" customWidth="1"/>
    <col min="2833" max="2833" width="8.25" style="25" customWidth="1"/>
    <col min="2834" max="3073" width="9" style="25"/>
    <col min="3074" max="3086" width="15.5" style="25" customWidth="1"/>
    <col min="3087" max="3088" width="14" style="25" customWidth="1"/>
    <col min="3089" max="3089" width="8.25" style="25" customWidth="1"/>
    <col min="3090" max="3329" width="9" style="25"/>
    <col min="3330" max="3342" width="15.5" style="25" customWidth="1"/>
    <col min="3343" max="3344" width="14" style="25" customWidth="1"/>
    <col min="3345" max="3345" width="8.25" style="25" customWidth="1"/>
    <col min="3346" max="3585" width="9" style="25"/>
    <col min="3586" max="3598" width="15.5" style="25" customWidth="1"/>
    <col min="3599" max="3600" width="14" style="25" customWidth="1"/>
    <col min="3601" max="3601" width="8.25" style="25" customWidth="1"/>
    <col min="3602" max="3841" width="9" style="25"/>
    <col min="3842" max="3854" width="15.5" style="25" customWidth="1"/>
    <col min="3855" max="3856" width="14" style="25" customWidth="1"/>
    <col min="3857" max="3857" width="8.25" style="25" customWidth="1"/>
    <col min="3858" max="4097" width="9" style="25"/>
    <col min="4098" max="4110" width="15.5" style="25" customWidth="1"/>
    <col min="4111" max="4112" width="14" style="25" customWidth="1"/>
    <col min="4113" max="4113" width="8.25" style="25" customWidth="1"/>
    <col min="4114" max="4353" width="9" style="25"/>
    <col min="4354" max="4366" width="15.5" style="25" customWidth="1"/>
    <col min="4367" max="4368" width="14" style="25" customWidth="1"/>
    <col min="4369" max="4369" width="8.25" style="25" customWidth="1"/>
    <col min="4370" max="4609" width="9" style="25"/>
    <col min="4610" max="4622" width="15.5" style="25" customWidth="1"/>
    <col min="4623" max="4624" width="14" style="25" customWidth="1"/>
    <col min="4625" max="4625" width="8.25" style="25" customWidth="1"/>
    <col min="4626" max="4865" width="9" style="25"/>
    <col min="4866" max="4878" width="15.5" style="25" customWidth="1"/>
    <col min="4879" max="4880" width="14" style="25" customWidth="1"/>
    <col min="4881" max="4881" width="8.25" style="25" customWidth="1"/>
    <col min="4882" max="5121" width="9" style="25"/>
    <col min="5122" max="5134" width="15.5" style="25" customWidth="1"/>
    <col min="5135" max="5136" width="14" style="25" customWidth="1"/>
    <col min="5137" max="5137" width="8.25" style="25" customWidth="1"/>
    <col min="5138" max="5377" width="9" style="25"/>
    <col min="5378" max="5390" width="15.5" style="25" customWidth="1"/>
    <col min="5391" max="5392" width="14" style="25" customWidth="1"/>
    <col min="5393" max="5393" width="8.25" style="25" customWidth="1"/>
    <col min="5394" max="5633" width="9" style="25"/>
    <col min="5634" max="5646" width="15.5" style="25" customWidth="1"/>
    <col min="5647" max="5648" width="14" style="25" customWidth="1"/>
    <col min="5649" max="5649" width="8.25" style="25" customWidth="1"/>
    <col min="5650" max="5889" width="9" style="25"/>
    <col min="5890" max="5902" width="15.5" style="25" customWidth="1"/>
    <col min="5903" max="5904" width="14" style="25" customWidth="1"/>
    <col min="5905" max="5905" width="8.25" style="25" customWidth="1"/>
    <col min="5906" max="6145" width="9" style="25"/>
    <col min="6146" max="6158" width="15.5" style="25" customWidth="1"/>
    <col min="6159" max="6160" width="14" style="25" customWidth="1"/>
    <col min="6161" max="6161" width="8.25" style="25" customWidth="1"/>
    <col min="6162" max="6401" width="9" style="25"/>
    <col min="6402" max="6414" width="15.5" style="25" customWidth="1"/>
    <col min="6415" max="6416" width="14" style="25" customWidth="1"/>
    <col min="6417" max="6417" width="8.25" style="25" customWidth="1"/>
    <col min="6418" max="6657" width="9" style="25"/>
    <col min="6658" max="6670" width="15.5" style="25" customWidth="1"/>
    <col min="6671" max="6672" width="14" style="25" customWidth="1"/>
    <col min="6673" max="6673" width="8.25" style="25" customWidth="1"/>
    <col min="6674" max="6913" width="9" style="25"/>
    <col min="6914" max="6926" width="15.5" style="25" customWidth="1"/>
    <col min="6927" max="6928" width="14" style="25" customWidth="1"/>
    <col min="6929" max="6929" width="8.25" style="25" customWidth="1"/>
    <col min="6930" max="7169" width="9" style="25"/>
    <col min="7170" max="7182" width="15.5" style="25" customWidth="1"/>
    <col min="7183" max="7184" width="14" style="25" customWidth="1"/>
    <col min="7185" max="7185" width="8.25" style="25" customWidth="1"/>
    <col min="7186" max="7425" width="9" style="25"/>
    <col min="7426" max="7438" width="15.5" style="25" customWidth="1"/>
    <col min="7439" max="7440" width="14" style="25" customWidth="1"/>
    <col min="7441" max="7441" width="8.25" style="25" customWidth="1"/>
    <col min="7442" max="7681" width="9" style="25"/>
    <col min="7682" max="7694" width="15.5" style="25" customWidth="1"/>
    <col min="7695" max="7696" width="14" style="25" customWidth="1"/>
    <col min="7697" max="7697" width="8.25" style="25" customWidth="1"/>
    <col min="7698" max="7937" width="9" style="25"/>
    <col min="7938" max="7950" width="15.5" style="25" customWidth="1"/>
    <col min="7951" max="7952" width="14" style="25" customWidth="1"/>
    <col min="7953" max="7953" width="8.25" style="25" customWidth="1"/>
    <col min="7954" max="8193" width="9" style="25"/>
    <col min="8194" max="8206" width="15.5" style="25" customWidth="1"/>
    <col min="8207" max="8208" width="14" style="25" customWidth="1"/>
    <col min="8209" max="8209" width="8.25" style="25" customWidth="1"/>
    <col min="8210" max="8449" width="9" style="25"/>
    <col min="8450" max="8462" width="15.5" style="25" customWidth="1"/>
    <col min="8463" max="8464" width="14" style="25" customWidth="1"/>
    <col min="8465" max="8465" width="8.25" style="25" customWidth="1"/>
    <col min="8466" max="8705" width="9" style="25"/>
    <col min="8706" max="8718" width="15.5" style="25" customWidth="1"/>
    <col min="8719" max="8720" width="14" style="25" customWidth="1"/>
    <col min="8721" max="8721" width="8.25" style="25" customWidth="1"/>
    <col min="8722" max="8961" width="9" style="25"/>
    <col min="8962" max="8974" width="15.5" style="25" customWidth="1"/>
    <col min="8975" max="8976" width="14" style="25" customWidth="1"/>
    <col min="8977" max="8977" width="8.25" style="25" customWidth="1"/>
    <col min="8978" max="9217" width="9" style="25"/>
    <col min="9218" max="9230" width="15.5" style="25" customWidth="1"/>
    <col min="9231" max="9232" width="14" style="25" customWidth="1"/>
    <col min="9233" max="9233" width="8.25" style="25" customWidth="1"/>
    <col min="9234" max="9473" width="9" style="25"/>
    <col min="9474" max="9486" width="15.5" style="25" customWidth="1"/>
    <col min="9487" max="9488" width="14" style="25" customWidth="1"/>
    <col min="9489" max="9489" width="8.25" style="25" customWidth="1"/>
    <col min="9490" max="9729" width="9" style="25"/>
    <col min="9730" max="9742" width="15.5" style="25" customWidth="1"/>
    <col min="9743" max="9744" width="14" style="25" customWidth="1"/>
    <col min="9745" max="9745" width="8.25" style="25" customWidth="1"/>
    <col min="9746" max="9985" width="9" style="25"/>
    <col min="9986" max="9998" width="15.5" style="25" customWidth="1"/>
    <col min="9999" max="10000" width="14" style="25" customWidth="1"/>
    <col min="10001" max="10001" width="8.25" style="25" customWidth="1"/>
    <col min="10002" max="10241" width="9" style="25"/>
    <col min="10242" max="10254" width="15.5" style="25" customWidth="1"/>
    <col min="10255" max="10256" width="14" style="25" customWidth="1"/>
    <col min="10257" max="10257" width="8.25" style="25" customWidth="1"/>
    <col min="10258" max="10497" width="9" style="25"/>
    <col min="10498" max="10510" width="15.5" style="25" customWidth="1"/>
    <col min="10511" max="10512" width="14" style="25" customWidth="1"/>
    <col min="10513" max="10513" width="8.25" style="25" customWidth="1"/>
    <col min="10514" max="10753" width="9" style="25"/>
    <col min="10754" max="10766" width="15.5" style="25" customWidth="1"/>
    <col min="10767" max="10768" width="14" style="25" customWidth="1"/>
    <col min="10769" max="10769" width="8.25" style="25" customWidth="1"/>
    <col min="10770" max="11009" width="9" style="25"/>
    <col min="11010" max="11022" width="15.5" style="25" customWidth="1"/>
    <col min="11023" max="11024" width="14" style="25" customWidth="1"/>
    <col min="11025" max="11025" width="8.25" style="25" customWidth="1"/>
    <col min="11026" max="11265" width="9" style="25"/>
    <col min="11266" max="11278" width="15.5" style="25" customWidth="1"/>
    <col min="11279" max="11280" width="14" style="25" customWidth="1"/>
    <col min="11281" max="11281" width="8.25" style="25" customWidth="1"/>
    <col min="11282" max="11521" width="9" style="25"/>
    <col min="11522" max="11534" width="15.5" style="25" customWidth="1"/>
    <col min="11535" max="11536" width="14" style="25" customWidth="1"/>
    <col min="11537" max="11537" width="8.25" style="25" customWidth="1"/>
    <col min="11538" max="11777" width="9" style="25"/>
    <col min="11778" max="11790" width="15.5" style="25" customWidth="1"/>
    <col min="11791" max="11792" width="14" style="25" customWidth="1"/>
    <col min="11793" max="11793" width="8.25" style="25" customWidth="1"/>
    <col min="11794" max="12033" width="9" style="25"/>
    <col min="12034" max="12046" width="15.5" style="25" customWidth="1"/>
    <col min="12047" max="12048" width="14" style="25" customWidth="1"/>
    <col min="12049" max="12049" width="8.25" style="25" customWidth="1"/>
    <col min="12050" max="12289" width="9" style="25"/>
    <col min="12290" max="12302" width="15.5" style="25" customWidth="1"/>
    <col min="12303" max="12304" width="14" style="25" customWidth="1"/>
    <col min="12305" max="12305" width="8.25" style="25" customWidth="1"/>
    <col min="12306" max="12545" width="9" style="25"/>
    <col min="12546" max="12558" width="15.5" style="25" customWidth="1"/>
    <col min="12559" max="12560" width="14" style="25" customWidth="1"/>
    <col min="12561" max="12561" width="8.25" style="25" customWidth="1"/>
    <col min="12562" max="12801" width="9" style="25"/>
    <col min="12802" max="12814" width="15.5" style="25" customWidth="1"/>
    <col min="12815" max="12816" width="14" style="25" customWidth="1"/>
    <col min="12817" max="12817" width="8.25" style="25" customWidth="1"/>
    <col min="12818" max="13057" width="9" style="25"/>
    <col min="13058" max="13070" width="15.5" style="25" customWidth="1"/>
    <col min="13071" max="13072" width="14" style="25" customWidth="1"/>
    <col min="13073" max="13073" width="8.25" style="25" customWidth="1"/>
    <col min="13074" max="13313" width="9" style="25"/>
    <col min="13314" max="13326" width="15.5" style="25" customWidth="1"/>
    <col min="13327" max="13328" width="14" style="25" customWidth="1"/>
    <col min="13329" max="13329" width="8.25" style="25" customWidth="1"/>
    <col min="13330" max="13569" width="9" style="25"/>
    <col min="13570" max="13582" width="15.5" style="25" customWidth="1"/>
    <col min="13583" max="13584" width="14" style="25" customWidth="1"/>
    <col min="13585" max="13585" width="8.25" style="25" customWidth="1"/>
    <col min="13586" max="13825" width="9" style="25"/>
    <col min="13826" max="13838" width="15.5" style="25" customWidth="1"/>
    <col min="13839" max="13840" width="14" style="25" customWidth="1"/>
    <col min="13841" max="13841" width="8.25" style="25" customWidth="1"/>
    <col min="13842" max="14081" width="9" style="25"/>
    <col min="14082" max="14094" width="15.5" style="25" customWidth="1"/>
    <col min="14095" max="14096" width="14" style="25" customWidth="1"/>
    <col min="14097" max="14097" width="8.25" style="25" customWidth="1"/>
    <col min="14098" max="14337" width="9" style="25"/>
    <col min="14338" max="14350" width="15.5" style="25" customWidth="1"/>
    <col min="14351" max="14352" width="14" style="25" customWidth="1"/>
    <col min="14353" max="14353" width="8.25" style="25" customWidth="1"/>
    <col min="14354" max="14593" width="9" style="25"/>
    <col min="14594" max="14606" width="15.5" style="25" customWidth="1"/>
    <col min="14607" max="14608" width="14" style="25" customWidth="1"/>
    <col min="14609" max="14609" width="8.25" style="25" customWidth="1"/>
    <col min="14610" max="14849" width="9" style="25"/>
    <col min="14850" max="14862" width="15.5" style="25" customWidth="1"/>
    <col min="14863" max="14864" width="14" style="25" customWidth="1"/>
    <col min="14865" max="14865" width="8.25" style="25" customWidth="1"/>
    <col min="14866" max="15105" width="9" style="25"/>
    <col min="15106" max="15118" width="15.5" style="25" customWidth="1"/>
    <col min="15119" max="15120" width="14" style="25" customWidth="1"/>
    <col min="15121" max="15121" width="8.25" style="25" customWidth="1"/>
    <col min="15122" max="15361" width="9" style="25"/>
    <col min="15362" max="15374" width="15.5" style="25" customWidth="1"/>
    <col min="15375" max="15376" width="14" style="25" customWidth="1"/>
    <col min="15377" max="15377" width="8.25" style="25" customWidth="1"/>
    <col min="15378" max="15617" width="9" style="25"/>
    <col min="15618" max="15630" width="15.5" style="25" customWidth="1"/>
    <col min="15631" max="15632" width="14" style="25" customWidth="1"/>
    <col min="15633" max="15633" width="8.25" style="25" customWidth="1"/>
    <col min="15634" max="15873" width="9" style="25"/>
    <col min="15874" max="15886" width="15.5" style="25" customWidth="1"/>
    <col min="15887" max="15888" width="14" style="25" customWidth="1"/>
    <col min="15889" max="15889" width="8.25" style="25" customWidth="1"/>
    <col min="15890" max="16129" width="9" style="25"/>
    <col min="16130" max="16142" width="15.5" style="25" customWidth="1"/>
    <col min="16143" max="16144" width="14" style="25" customWidth="1"/>
    <col min="16145" max="16145" width="8.25" style="25" customWidth="1"/>
    <col min="16146" max="16384" width="9" style="25"/>
  </cols>
  <sheetData>
    <row r="2" spans="1:10" s="95" customFormat="1" ht="13" x14ac:dyDescent="0.25">
      <c r="B2" s="100" t="s">
        <v>150</v>
      </c>
      <c r="C2" s="101"/>
      <c r="D2" s="101"/>
    </row>
    <row r="3" spans="1:10" s="101" customFormat="1" ht="13" x14ac:dyDescent="0.45">
      <c r="A3" s="13"/>
    </row>
    <row r="4" spans="1:10" s="95" customFormat="1" ht="13" x14ac:dyDescent="0.3">
      <c r="B4" s="1"/>
      <c r="C4" s="1"/>
      <c r="D4" s="1"/>
      <c r="F4" s="103" t="s">
        <v>71</v>
      </c>
      <c r="I4" s="103" t="s">
        <v>71</v>
      </c>
    </row>
    <row r="5" spans="1:10" s="95" customFormat="1" ht="12.5" x14ac:dyDescent="0.25">
      <c r="B5" s="4" t="s">
        <v>151</v>
      </c>
      <c r="C5" s="4" t="s">
        <v>152</v>
      </c>
      <c r="D5" s="4" t="s">
        <v>153</v>
      </c>
    </row>
    <row r="6" spans="1:10" s="95" customFormat="1" ht="12.5" x14ac:dyDescent="0.25">
      <c r="B6" s="3">
        <v>149.19999999999999</v>
      </c>
      <c r="C6" s="3">
        <v>45.6</v>
      </c>
      <c r="D6" s="3">
        <v>1119.33</v>
      </c>
      <c r="F6" s="2" t="s">
        <v>41</v>
      </c>
      <c r="G6" s="3" t="s">
        <v>154</v>
      </c>
      <c r="I6" s="2" t="s">
        <v>41</v>
      </c>
      <c r="J6" s="3" t="s">
        <v>154</v>
      </c>
    </row>
    <row r="7" spans="1:10" s="95" customFormat="1" ht="13" x14ac:dyDescent="0.3">
      <c r="B7" s="3">
        <v>14.07</v>
      </c>
      <c r="C7" s="3">
        <v>99.65</v>
      </c>
      <c r="D7" s="3">
        <v>342.9</v>
      </c>
      <c r="F7" s="7" t="s">
        <v>43</v>
      </c>
      <c r="G7" s="8" t="s">
        <v>98</v>
      </c>
      <c r="I7" s="7" t="s">
        <v>45</v>
      </c>
      <c r="J7" s="8" t="s">
        <v>171</v>
      </c>
    </row>
    <row r="8" spans="1:10" s="95" customFormat="1" ht="13" x14ac:dyDescent="0.3">
      <c r="B8" s="3">
        <v>0</v>
      </c>
      <c r="C8" s="3">
        <v>0.55000000000000004</v>
      </c>
      <c r="D8" s="3">
        <v>1194.25</v>
      </c>
      <c r="F8" s="7" t="s">
        <v>44</v>
      </c>
      <c r="G8" s="8" t="s">
        <v>44</v>
      </c>
      <c r="I8" s="7" t="s">
        <v>44</v>
      </c>
      <c r="J8" s="8" t="s">
        <v>44</v>
      </c>
    </row>
    <row r="9" spans="1:10" s="95" customFormat="1" ht="13" x14ac:dyDescent="0.3">
      <c r="B9" s="3">
        <v>32.090000000000003</v>
      </c>
      <c r="C9" s="3">
        <v>50.1</v>
      </c>
      <c r="D9" s="3">
        <v>729.59</v>
      </c>
      <c r="F9" s="7" t="s">
        <v>155</v>
      </c>
      <c r="G9" s="8" t="s">
        <v>139</v>
      </c>
      <c r="I9" s="7" t="s">
        <v>155</v>
      </c>
      <c r="J9" s="8" t="s">
        <v>139</v>
      </c>
    </row>
    <row r="10" spans="1:10" s="95" customFormat="1" ht="12.5" x14ac:dyDescent="0.25">
      <c r="B10" s="3">
        <v>5.0599999999999996</v>
      </c>
      <c r="C10" s="3">
        <v>0</v>
      </c>
      <c r="D10" s="3">
        <v>1089.95</v>
      </c>
      <c r="F10" s="2"/>
      <c r="G10" s="3"/>
      <c r="I10" s="2"/>
      <c r="J10" s="3"/>
    </row>
    <row r="11" spans="1:10" s="95" customFormat="1" ht="12.5" x14ac:dyDescent="0.25">
      <c r="B11" s="3"/>
      <c r="C11" s="3">
        <v>1.2</v>
      </c>
      <c r="D11" s="3">
        <v>513.37</v>
      </c>
      <c r="F11" s="2" t="s">
        <v>46</v>
      </c>
      <c r="G11" s="3"/>
      <c r="I11" s="2" t="s">
        <v>46</v>
      </c>
      <c r="J11" s="3"/>
    </row>
    <row r="12" spans="1:10" s="95" customFormat="1" ht="13" x14ac:dyDescent="0.3">
      <c r="B12" s="3"/>
      <c r="C12" s="3"/>
      <c r="D12" s="3">
        <v>1017.87</v>
      </c>
      <c r="F12" s="7" t="s">
        <v>47</v>
      </c>
      <c r="G12" s="8">
        <v>6.9999999999999999E-4</v>
      </c>
      <c r="I12" s="7" t="s">
        <v>47</v>
      </c>
      <c r="J12" s="8">
        <v>2.0000000000000001E-4</v>
      </c>
    </row>
    <row r="13" spans="1:10" s="95" customFormat="1" ht="13" x14ac:dyDescent="0.3">
      <c r="B13" s="3"/>
      <c r="C13" s="3"/>
      <c r="D13" s="3">
        <v>1522.38</v>
      </c>
      <c r="F13" s="7" t="s">
        <v>49</v>
      </c>
      <c r="G13" s="8" t="s">
        <v>50</v>
      </c>
      <c r="I13" s="7" t="s">
        <v>49</v>
      </c>
      <c r="J13" s="8" t="s">
        <v>50</v>
      </c>
    </row>
    <row r="14" spans="1:10" s="95" customFormat="1" ht="12.5" x14ac:dyDescent="0.25">
      <c r="B14" s="3"/>
      <c r="C14" s="3"/>
      <c r="D14" s="3">
        <v>1910.46</v>
      </c>
      <c r="F14" s="2" t="s">
        <v>51</v>
      </c>
      <c r="G14" s="3" t="s">
        <v>52</v>
      </c>
      <c r="I14" s="2" t="s">
        <v>51</v>
      </c>
      <c r="J14" s="3" t="s">
        <v>52</v>
      </c>
    </row>
    <row r="15" spans="1:10" s="95" customFormat="1" ht="12.5" x14ac:dyDescent="0.25">
      <c r="F15" s="2" t="s">
        <v>53</v>
      </c>
      <c r="G15" s="3" t="s">
        <v>54</v>
      </c>
      <c r="I15" s="2" t="s">
        <v>53</v>
      </c>
      <c r="J15" s="3" t="s">
        <v>54</v>
      </c>
    </row>
    <row r="16" spans="1:10" s="95" customFormat="1" ht="12.5" x14ac:dyDescent="0.25">
      <c r="F16" s="2" t="s">
        <v>55</v>
      </c>
      <c r="G16" s="3" t="s">
        <v>156</v>
      </c>
      <c r="I16" s="2" t="s">
        <v>55</v>
      </c>
      <c r="J16" s="3" t="s">
        <v>164</v>
      </c>
    </row>
    <row r="17" spans="6:10" s="95" customFormat="1" ht="12.5" x14ac:dyDescent="0.25">
      <c r="F17" s="2"/>
      <c r="G17" s="3"/>
      <c r="I17" s="2"/>
      <c r="J17" s="3"/>
    </row>
    <row r="18" spans="6:10" s="95" customFormat="1" ht="12.5" x14ac:dyDescent="0.25">
      <c r="F18" s="2" t="s">
        <v>57</v>
      </c>
      <c r="G18" s="3"/>
      <c r="I18" s="2" t="s">
        <v>57</v>
      </c>
      <c r="J18" s="3"/>
    </row>
    <row r="19" spans="6:10" s="95" customFormat="1" ht="12.5" x14ac:dyDescent="0.25">
      <c r="F19" s="2" t="s">
        <v>157</v>
      </c>
      <c r="G19" s="3" t="s">
        <v>158</v>
      </c>
      <c r="I19" s="2" t="s">
        <v>60</v>
      </c>
      <c r="J19" s="3" t="s">
        <v>165</v>
      </c>
    </row>
    <row r="20" spans="6:10" s="95" customFormat="1" ht="12.5" x14ac:dyDescent="0.25">
      <c r="F20" s="2" t="s">
        <v>159</v>
      </c>
      <c r="G20" s="3" t="s">
        <v>160</v>
      </c>
      <c r="I20" s="2" t="s">
        <v>159</v>
      </c>
      <c r="J20" s="3" t="s">
        <v>166</v>
      </c>
    </row>
    <row r="21" spans="6:10" s="95" customFormat="1" ht="12.5" x14ac:dyDescent="0.25">
      <c r="F21" s="2" t="s">
        <v>62</v>
      </c>
      <c r="G21" s="3" t="s">
        <v>161</v>
      </c>
      <c r="I21" s="2" t="s">
        <v>62</v>
      </c>
      <c r="J21" s="3" t="s">
        <v>167</v>
      </c>
    </row>
    <row r="22" spans="6:10" s="95" customFormat="1" ht="12.5" x14ac:dyDescent="0.25">
      <c r="F22" s="2" t="s">
        <v>64</v>
      </c>
      <c r="G22" s="3" t="s">
        <v>162</v>
      </c>
      <c r="I22" s="2" t="s">
        <v>64</v>
      </c>
      <c r="J22" s="3" t="s">
        <v>168</v>
      </c>
    </row>
    <row r="23" spans="6:10" s="95" customFormat="1" ht="12.5" x14ac:dyDescent="0.25">
      <c r="F23" s="2" t="s">
        <v>66</v>
      </c>
      <c r="G23" s="3">
        <v>0.63280000000000003</v>
      </c>
      <c r="I23" s="2" t="s">
        <v>66</v>
      </c>
      <c r="J23" s="3">
        <v>0.66279999999999994</v>
      </c>
    </row>
    <row r="24" spans="6:10" s="95" customFormat="1" ht="12.5" x14ac:dyDescent="0.25">
      <c r="F24" s="2"/>
      <c r="G24" s="3"/>
      <c r="I24" s="2"/>
      <c r="J24" s="3"/>
    </row>
    <row r="25" spans="6:10" s="95" customFormat="1" ht="12.5" x14ac:dyDescent="0.25">
      <c r="F25" s="2" t="s">
        <v>67</v>
      </c>
      <c r="G25" s="3"/>
      <c r="I25" s="2" t="s">
        <v>67</v>
      </c>
      <c r="J25" s="3"/>
    </row>
    <row r="26" spans="6:10" s="95" customFormat="1" ht="12.5" x14ac:dyDescent="0.25">
      <c r="F26" s="2" t="s">
        <v>68</v>
      </c>
      <c r="G26" s="3" t="s">
        <v>163</v>
      </c>
      <c r="I26" s="2" t="s">
        <v>68</v>
      </c>
      <c r="J26" s="3" t="s">
        <v>169</v>
      </c>
    </row>
    <row r="27" spans="6:10" s="95" customFormat="1" ht="12.5" x14ac:dyDescent="0.25">
      <c r="F27" s="2" t="s">
        <v>47</v>
      </c>
      <c r="G27" s="3">
        <v>1.2999999999999999E-3</v>
      </c>
      <c r="I27" s="2" t="s">
        <v>47</v>
      </c>
      <c r="J27" s="3" t="s">
        <v>48</v>
      </c>
    </row>
    <row r="28" spans="6:10" s="95" customFormat="1" ht="12.5" x14ac:dyDescent="0.25">
      <c r="F28" s="2" t="s">
        <v>49</v>
      </c>
      <c r="G28" s="3" t="s">
        <v>146</v>
      </c>
      <c r="I28" s="2" t="s">
        <v>49</v>
      </c>
      <c r="J28" s="3" t="s">
        <v>50</v>
      </c>
    </row>
    <row r="29" spans="6:10" s="95" customFormat="1" ht="12.5" x14ac:dyDescent="0.25">
      <c r="F29" s="2" t="s">
        <v>70</v>
      </c>
      <c r="G29" s="3" t="s">
        <v>52</v>
      </c>
      <c r="I29" s="2" t="s">
        <v>70</v>
      </c>
      <c r="J29" s="3" t="s">
        <v>52</v>
      </c>
    </row>
    <row r="30" spans="6:10" s="95" customFormat="1" ht="12.5" x14ac:dyDescent="0.25"/>
    <row r="31" spans="6:10" s="95" customFormat="1" ht="12.5" x14ac:dyDescent="0.25"/>
    <row r="32" spans="6:10" s="95" customFormat="1" ht="12.5" x14ac:dyDescent="0.25"/>
    <row r="33" s="95" customFormat="1" ht="12.5" x14ac:dyDescent="0.25"/>
  </sheetData>
  <phoneticPr fontId="3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9A79-B781-481D-A0B1-7B5FAA8ACEDB}">
  <dimension ref="B2:R44"/>
  <sheetViews>
    <sheetView zoomScale="90" zoomScaleNormal="90" workbookViewId="0">
      <selection activeCell="N40" sqref="N40"/>
    </sheetView>
  </sheetViews>
  <sheetFormatPr defaultColWidth="9" defaultRowHeight="14" x14ac:dyDescent="0.45"/>
  <cols>
    <col min="1" max="1" width="9" style="14"/>
    <col min="2" max="2" width="9" style="23"/>
    <col min="3" max="3" width="22.25" style="23" customWidth="1"/>
    <col min="4" max="4" width="9" style="14"/>
    <col min="5" max="5" width="11.08203125" style="14" bestFit="1" customWidth="1"/>
    <col min="6" max="6" width="17.83203125" style="14" customWidth="1"/>
    <col min="7" max="7" width="25.83203125" style="14" customWidth="1"/>
    <col min="8" max="8" width="9.33203125" style="14" customWidth="1"/>
    <col min="9" max="9" width="10.5" style="14" bestFit="1" customWidth="1"/>
    <col min="10" max="10" width="6.25" style="14" customWidth="1"/>
    <col min="11" max="11" width="9" style="23"/>
    <col min="12" max="12" width="22.25" style="14" customWidth="1"/>
    <col min="13" max="13" width="9" style="14"/>
    <col min="14" max="14" width="11.08203125" style="14" customWidth="1"/>
    <col min="15" max="15" width="17.83203125" style="14" customWidth="1"/>
    <col min="16" max="16" width="25.75" style="14" customWidth="1"/>
    <col min="17" max="17" width="9.33203125" style="14" customWidth="1"/>
    <col min="18" max="18" width="10.5" style="14" customWidth="1"/>
    <col min="19" max="16384" width="9" style="14"/>
  </cols>
  <sheetData>
    <row r="2" spans="2:18" s="101" customFormat="1" ht="13" x14ac:dyDescent="0.45">
      <c r="B2" s="13"/>
      <c r="C2" s="100" t="s">
        <v>1439</v>
      </c>
    </row>
    <row r="3" spans="2:18" s="101" customFormat="1" ht="13" x14ac:dyDescent="0.45">
      <c r="B3" s="13"/>
      <c r="C3" s="13"/>
      <c r="D3" s="102"/>
    </row>
    <row r="4" spans="2:18" s="101" customFormat="1" ht="13" x14ac:dyDescent="0.45">
      <c r="B4" s="13"/>
      <c r="C4" s="13"/>
      <c r="K4" s="13"/>
    </row>
    <row r="5" spans="2:18" s="101" customFormat="1" ht="13" x14ac:dyDescent="0.45">
      <c r="B5" s="15"/>
      <c r="C5" s="17"/>
      <c r="D5" s="16" t="s">
        <v>1416</v>
      </c>
      <c r="E5" s="17" t="s">
        <v>1417</v>
      </c>
      <c r="F5" s="16" t="s">
        <v>1430</v>
      </c>
      <c r="G5" s="17" t="s">
        <v>1431</v>
      </c>
      <c r="H5" s="16" t="s">
        <v>1419</v>
      </c>
      <c r="I5" s="17" t="s">
        <v>6</v>
      </c>
      <c r="J5" s="13"/>
      <c r="K5" s="15"/>
      <c r="L5" s="17"/>
      <c r="M5" s="16" t="s">
        <v>1416</v>
      </c>
      <c r="N5" s="17" t="s">
        <v>1417</v>
      </c>
      <c r="O5" s="16" t="s">
        <v>1418</v>
      </c>
      <c r="P5" s="17" t="s">
        <v>854</v>
      </c>
      <c r="Q5" s="16" t="s">
        <v>1419</v>
      </c>
      <c r="R5" s="17" t="s">
        <v>6</v>
      </c>
    </row>
    <row r="6" spans="2:18" s="101" customFormat="1" ht="13" x14ac:dyDescent="0.45">
      <c r="B6" s="89"/>
      <c r="C6" s="68"/>
      <c r="D6" s="13"/>
      <c r="E6" s="68"/>
      <c r="F6" s="13"/>
      <c r="G6" s="68" t="s">
        <v>797</v>
      </c>
      <c r="H6" s="102"/>
      <c r="I6" s="68"/>
      <c r="J6" s="13"/>
      <c r="K6" s="89"/>
      <c r="L6" s="68"/>
      <c r="M6" s="13"/>
      <c r="N6" s="68"/>
      <c r="O6" s="13"/>
      <c r="P6" s="20" t="s">
        <v>797</v>
      </c>
      <c r="Q6" s="102"/>
      <c r="R6" s="68"/>
    </row>
    <row r="7" spans="2:18" s="101" customFormat="1" ht="16" x14ac:dyDescent="0.45">
      <c r="B7" s="15" t="s">
        <v>1420</v>
      </c>
      <c r="C7" s="17" t="s">
        <v>1429</v>
      </c>
      <c r="D7" s="285" t="s">
        <v>581</v>
      </c>
      <c r="E7" s="287">
        <v>1510</v>
      </c>
      <c r="F7" s="288">
        <v>546</v>
      </c>
      <c r="G7" s="289">
        <f t="shared" ref="G7:G21" si="0">10000*F7/E7</f>
        <v>3615.8940397350993</v>
      </c>
      <c r="H7" s="289">
        <f t="shared" ref="H7:H21" si="1">G7/5076*100</f>
        <v>71.235107165782097</v>
      </c>
      <c r="I7" s="290">
        <f t="shared" ref="I7:I21" si="2">100-G7/5076*100</f>
        <v>28.764892834217903</v>
      </c>
      <c r="J7" s="13"/>
      <c r="K7" s="15" t="s">
        <v>1420</v>
      </c>
      <c r="L7" s="17" t="s">
        <v>1421</v>
      </c>
      <c r="M7" s="276" t="s">
        <v>581</v>
      </c>
      <c r="N7" s="277">
        <v>1455</v>
      </c>
      <c r="O7" s="278">
        <v>4109</v>
      </c>
      <c r="P7" s="279">
        <f t="shared" ref="P7:P21" si="3">10000*O7/N7</f>
        <v>28240.549828178693</v>
      </c>
      <c r="Q7" s="280">
        <f t="shared" ref="Q7:Q21" si="4">P7/33506*100</f>
        <v>84.285052910459896</v>
      </c>
      <c r="R7" s="279">
        <f t="shared" ref="R7:R21" si="5">100-P7/33506*100</f>
        <v>15.714947089540104</v>
      </c>
    </row>
    <row r="8" spans="2:18" s="101" customFormat="1" ht="16" x14ac:dyDescent="0.45">
      <c r="B8" s="89"/>
      <c r="C8" s="273"/>
      <c r="D8" s="245" t="s">
        <v>582</v>
      </c>
      <c r="E8" s="246">
        <v>1508</v>
      </c>
      <c r="F8" s="243">
        <v>693</v>
      </c>
      <c r="G8" s="247">
        <f t="shared" si="0"/>
        <v>4595.4907161803712</v>
      </c>
      <c r="H8" s="247">
        <f t="shared" si="1"/>
        <v>90.533702052410774</v>
      </c>
      <c r="I8" s="249">
        <f t="shared" si="2"/>
        <v>9.4662979475892257</v>
      </c>
      <c r="J8" s="13"/>
      <c r="K8" s="89"/>
      <c r="L8" s="273"/>
      <c r="M8" s="259" t="s">
        <v>582</v>
      </c>
      <c r="N8" s="162">
        <v>1467</v>
      </c>
      <c r="O8" s="101">
        <v>4151</v>
      </c>
      <c r="P8" s="114">
        <f t="shared" si="3"/>
        <v>28295.841854124064</v>
      </c>
      <c r="Q8" s="231">
        <f t="shared" si="4"/>
        <v>84.450074178129483</v>
      </c>
      <c r="R8" s="114">
        <f t="shared" si="5"/>
        <v>15.549925821870517</v>
      </c>
    </row>
    <row r="9" spans="2:18" s="101" customFormat="1" ht="16" x14ac:dyDescent="0.45">
      <c r="B9" s="18" t="s">
        <v>1422</v>
      </c>
      <c r="C9" s="271" t="s">
        <v>568</v>
      </c>
      <c r="D9" s="283" t="s">
        <v>1423</v>
      </c>
      <c r="E9" s="246">
        <v>1505</v>
      </c>
      <c r="F9" s="243">
        <v>764</v>
      </c>
      <c r="G9" s="247">
        <f t="shared" si="0"/>
        <v>5076.4119601328903</v>
      </c>
      <c r="H9" s="247">
        <f t="shared" si="1"/>
        <v>100.00811584186151</v>
      </c>
      <c r="I9" s="249">
        <f t="shared" si="2"/>
        <v>-8.1158418615103756E-3</v>
      </c>
      <c r="J9" s="13"/>
      <c r="K9" s="18" t="s">
        <v>1422</v>
      </c>
      <c r="L9" s="271" t="s">
        <v>568</v>
      </c>
      <c r="M9" s="270" t="s">
        <v>1423</v>
      </c>
      <c r="N9" s="165">
        <v>1469</v>
      </c>
      <c r="O9" s="137">
        <v>4922</v>
      </c>
      <c r="P9" s="139">
        <f t="shared" si="3"/>
        <v>33505.786249149081</v>
      </c>
      <c r="Q9" s="234">
        <f t="shared" si="4"/>
        <v>99.999362052017787</v>
      </c>
      <c r="R9" s="139">
        <f t="shared" si="5"/>
        <v>6.3794798221294968E-4</v>
      </c>
    </row>
    <row r="10" spans="2:18" s="101" customFormat="1" ht="16" x14ac:dyDescent="0.45">
      <c r="B10" s="15" t="s">
        <v>1420</v>
      </c>
      <c r="C10" s="17" t="s">
        <v>1429</v>
      </c>
      <c r="D10" s="285" t="s">
        <v>581</v>
      </c>
      <c r="E10" s="287">
        <v>1507</v>
      </c>
      <c r="F10" s="288">
        <v>428</v>
      </c>
      <c r="G10" s="289">
        <f t="shared" si="0"/>
        <v>2840.0796284007961</v>
      </c>
      <c r="H10" s="289">
        <f t="shared" si="1"/>
        <v>55.951135311284396</v>
      </c>
      <c r="I10" s="290">
        <f t="shared" si="2"/>
        <v>44.048864688715604</v>
      </c>
      <c r="J10" s="13"/>
      <c r="K10" s="15" t="s">
        <v>1420</v>
      </c>
      <c r="L10" s="17" t="s">
        <v>1421</v>
      </c>
      <c r="M10" s="276" t="s">
        <v>581</v>
      </c>
      <c r="N10" s="277">
        <v>1472</v>
      </c>
      <c r="O10" s="278">
        <v>2384</v>
      </c>
      <c r="P10" s="279">
        <f t="shared" si="3"/>
        <v>16195.652173913044</v>
      </c>
      <c r="Q10" s="280">
        <f t="shared" si="4"/>
        <v>48.336573073219853</v>
      </c>
      <c r="R10" s="279">
        <f t="shared" si="5"/>
        <v>51.663426926780147</v>
      </c>
    </row>
    <row r="11" spans="2:18" s="101" customFormat="1" ht="16" x14ac:dyDescent="0.45">
      <c r="B11" s="89" t="s">
        <v>1424</v>
      </c>
      <c r="C11" s="274" t="s">
        <v>1425</v>
      </c>
      <c r="D11" s="245" t="s">
        <v>582</v>
      </c>
      <c r="E11" s="246">
        <v>1505</v>
      </c>
      <c r="F11" s="243">
        <v>617</v>
      </c>
      <c r="G11" s="247">
        <f t="shared" si="0"/>
        <v>4099.6677740863788</v>
      </c>
      <c r="H11" s="247">
        <f t="shared" si="1"/>
        <v>80.765716589566168</v>
      </c>
      <c r="I11" s="249">
        <f t="shared" si="2"/>
        <v>19.234283410433832</v>
      </c>
      <c r="J11" s="13"/>
      <c r="K11" s="89" t="s">
        <v>1424</v>
      </c>
      <c r="L11" s="274" t="s">
        <v>1425</v>
      </c>
      <c r="M11" s="259" t="s">
        <v>582</v>
      </c>
      <c r="N11" s="162">
        <v>1472</v>
      </c>
      <c r="O11" s="101">
        <v>3316</v>
      </c>
      <c r="P11" s="114">
        <f t="shared" si="3"/>
        <v>22527.17391304348</v>
      </c>
      <c r="Q11" s="231">
        <f t="shared" si="4"/>
        <v>67.233253486072584</v>
      </c>
      <c r="R11" s="114">
        <f t="shared" si="5"/>
        <v>32.766746513927416</v>
      </c>
    </row>
    <row r="12" spans="2:18" s="101" customFormat="1" ht="16" x14ac:dyDescent="0.45">
      <c r="B12" s="18" t="s">
        <v>1422</v>
      </c>
      <c r="C12" s="271" t="s">
        <v>568</v>
      </c>
      <c r="D12" s="284" t="s">
        <v>1423</v>
      </c>
      <c r="E12" s="253">
        <v>1505</v>
      </c>
      <c r="F12" s="254">
        <v>764</v>
      </c>
      <c r="G12" s="255">
        <f t="shared" si="0"/>
        <v>5076.4119601328903</v>
      </c>
      <c r="H12" s="255">
        <f t="shared" si="1"/>
        <v>100.00811584186151</v>
      </c>
      <c r="I12" s="257">
        <f t="shared" si="2"/>
        <v>-8.1158418615103756E-3</v>
      </c>
      <c r="J12" s="13"/>
      <c r="K12" s="18" t="s">
        <v>1422</v>
      </c>
      <c r="L12" s="271" t="s">
        <v>568</v>
      </c>
      <c r="M12" s="270" t="s">
        <v>1423</v>
      </c>
      <c r="N12" s="165">
        <v>1469</v>
      </c>
      <c r="O12" s="137">
        <v>4922</v>
      </c>
      <c r="P12" s="139">
        <f t="shared" si="3"/>
        <v>33505.786249149081</v>
      </c>
      <c r="Q12" s="234">
        <f t="shared" si="4"/>
        <v>99.999362052017787</v>
      </c>
      <c r="R12" s="139">
        <f t="shared" si="5"/>
        <v>6.3794798221294968E-4</v>
      </c>
    </row>
    <row r="13" spans="2:18" s="101" customFormat="1" ht="16" x14ac:dyDescent="0.45">
      <c r="B13" s="15" t="s">
        <v>1420</v>
      </c>
      <c r="C13" s="17" t="s">
        <v>1429</v>
      </c>
      <c r="D13" s="286" t="s">
        <v>581</v>
      </c>
      <c r="E13" s="291">
        <v>1518</v>
      </c>
      <c r="F13" s="292">
        <v>477</v>
      </c>
      <c r="G13" s="293">
        <f t="shared" si="0"/>
        <v>3142.292490118577</v>
      </c>
      <c r="H13" s="293">
        <f t="shared" si="1"/>
        <v>61.904895392406956</v>
      </c>
      <c r="I13" s="294">
        <f t="shared" si="2"/>
        <v>38.095104607593044</v>
      </c>
      <c r="J13" s="13"/>
      <c r="K13" s="15" t="s">
        <v>1420</v>
      </c>
      <c r="L13" s="17" t="s">
        <v>1421</v>
      </c>
      <c r="M13" s="276" t="s">
        <v>581</v>
      </c>
      <c r="N13" s="277">
        <v>1474</v>
      </c>
      <c r="O13" s="278">
        <v>1507</v>
      </c>
      <c r="P13" s="279">
        <f t="shared" si="3"/>
        <v>10223.880597014926</v>
      </c>
      <c r="Q13" s="280">
        <f t="shared" si="4"/>
        <v>30.513581439189775</v>
      </c>
      <c r="R13" s="279">
        <f t="shared" si="5"/>
        <v>69.486418560810222</v>
      </c>
    </row>
    <row r="14" spans="2:18" s="101" customFormat="1" ht="16" x14ac:dyDescent="0.45">
      <c r="B14" s="89" t="s">
        <v>1424</v>
      </c>
      <c r="C14" s="274" t="s">
        <v>1426</v>
      </c>
      <c r="D14" s="245" t="s">
        <v>582</v>
      </c>
      <c r="E14" s="246">
        <v>1509</v>
      </c>
      <c r="F14" s="243">
        <v>594</v>
      </c>
      <c r="G14" s="247">
        <f t="shared" si="0"/>
        <v>3936.3817097415508</v>
      </c>
      <c r="H14" s="247">
        <f t="shared" si="1"/>
        <v>77.548891050857975</v>
      </c>
      <c r="I14" s="249">
        <f t="shared" si="2"/>
        <v>22.451108949142025</v>
      </c>
      <c r="J14" s="13"/>
      <c r="K14" s="89" t="s">
        <v>1424</v>
      </c>
      <c r="L14" s="274" t="s">
        <v>1426</v>
      </c>
      <c r="M14" s="259" t="s">
        <v>582</v>
      </c>
      <c r="N14" s="162">
        <v>1479</v>
      </c>
      <c r="O14" s="101">
        <v>3394</v>
      </c>
      <c r="P14" s="114">
        <f t="shared" si="3"/>
        <v>22947.937795807979</v>
      </c>
      <c r="Q14" s="231">
        <f t="shared" si="4"/>
        <v>68.489040159398257</v>
      </c>
      <c r="R14" s="114">
        <f t="shared" si="5"/>
        <v>31.510959840601743</v>
      </c>
    </row>
    <row r="15" spans="2:18" s="101" customFormat="1" ht="16" x14ac:dyDescent="0.45">
      <c r="B15" s="18" t="s">
        <v>1422</v>
      </c>
      <c r="C15" s="271" t="s">
        <v>568</v>
      </c>
      <c r="D15" s="283" t="s">
        <v>1423</v>
      </c>
      <c r="E15" s="246">
        <v>1505</v>
      </c>
      <c r="F15" s="243">
        <v>764</v>
      </c>
      <c r="G15" s="247">
        <f t="shared" si="0"/>
        <v>5076.4119601328903</v>
      </c>
      <c r="H15" s="247">
        <f t="shared" si="1"/>
        <v>100.00811584186151</v>
      </c>
      <c r="I15" s="249">
        <f t="shared" si="2"/>
        <v>-8.1158418615103756E-3</v>
      </c>
      <c r="J15" s="13"/>
      <c r="K15" s="18" t="s">
        <v>1422</v>
      </c>
      <c r="L15" s="271" t="s">
        <v>568</v>
      </c>
      <c r="M15" s="270" t="s">
        <v>1423</v>
      </c>
      <c r="N15" s="165">
        <v>1469</v>
      </c>
      <c r="O15" s="137">
        <v>4922</v>
      </c>
      <c r="P15" s="139">
        <f t="shared" si="3"/>
        <v>33505.786249149081</v>
      </c>
      <c r="Q15" s="234">
        <f t="shared" si="4"/>
        <v>99.999362052017787</v>
      </c>
      <c r="R15" s="139">
        <f t="shared" si="5"/>
        <v>6.3794798221294968E-4</v>
      </c>
    </row>
    <row r="16" spans="2:18" s="101" customFormat="1" ht="16" x14ac:dyDescent="0.45">
      <c r="B16" s="15" t="s">
        <v>1420</v>
      </c>
      <c r="C16" s="17" t="s">
        <v>1429</v>
      </c>
      <c r="D16" s="285" t="s">
        <v>581</v>
      </c>
      <c r="E16" s="287">
        <v>1507</v>
      </c>
      <c r="F16" s="288">
        <v>382</v>
      </c>
      <c r="G16" s="289">
        <f t="shared" si="0"/>
        <v>2534.8374253483744</v>
      </c>
      <c r="H16" s="289">
        <f t="shared" si="1"/>
        <v>49.93769553483795</v>
      </c>
      <c r="I16" s="290">
        <f t="shared" si="2"/>
        <v>50.06230446516205</v>
      </c>
      <c r="J16" s="248"/>
      <c r="K16" s="15" t="s">
        <v>1420</v>
      </c>
      <c r="L16" s="17" t="s">
        <v>1421</v>
      </c>
      <c r="M16" s="276" t="s">
        <v>581</v>
      </c>
      <c r="N16" s="277">
        <v>1481</v>
      </c>
      <c r="O16" s="278">
        <v>999</v>
      </c>
      <c r="P16" s="279">
        <f t="shared" si="3"/>
        <v>6745.4422687373399</v>
      </c>
      <c r="Q16" s="280">
        <f t="shared" si="4"/>
        <v>20.13204282438172</v>
      </c>
      <c r="R16" s="279">
        <f t="shared" si="5"/>
        <v>79.867957175618272</v>
      </c>
    </row>
    <row r="17" spans="2:18" s="101" customFormat="1" ht="16" x14ac:dyDescent="0.45">
      <c r="B17" s="89" t="s">
        <v>1424</v>
      </c>
      <c r="C17" s="274" t="s">
        <v>1427</v>
      </c>
      <c r="D17" s="245" t="s">
        <v>582</v>
      </c>
      <c r="E17" s="246">
        <v>1503</v>
      </c>
      <c r="F17" s="243">
        <v>587</v>
      </c>
      <c r="G17" s="247">
        <f t="shared" si="0"/>
        <v>3905.5222887558216</v>
      </c>
      <c r="H17" s="247">
        <f t="shared" si="1"/>
        <v>76.940943434905861</v>
      </c>
      <c r="I17" s="249">
        <f t="shared" si="2"/>
        <v>23.059056565094139</v>
      </c>
      <c r="J17" s="248"/>
      <c r="K17" s="89" t="s">
        <v>1424</v>
      </c>
      <c r="L17" s="274" t="s">
        <v>1427</v>
      </c>
      <c r="M17" s="259" t="s">
        <v>582</v>
      </c>
      <c r="N17" s="162">
        <v>1485</v>
      </c>
      <c r="O17" s="101">
        <v>2830</v>
      </c>
      <c r="P17" s="114">
        <f t="shared" si="3"/>
        <v>19057.239057239058</v>
      </c>
      <c r="Q17" s="231">
        <f t="shared" si="4"/>
        <v>56.877093825700044</v>
      </c>
      <c r="R17" s="114">
        <f t="shared" si="5"/>
        <v>43.122906174299956</v>
      </c>
    </row>
    <row r="18" spans="2:18" s="101" customFormat="1" ht="16" x14ac:dyDescent="0.45">
      <c r="B18" s="18" t="s">
        <v>1422</v>
      </c>
      <c r="C18" s="271" t="s">
        <v>568</v>
      </c>
      <c r="D18" s="284" t="s">
        <v>1423</v>
      </c>
      <c r="E18" s="253">
        <v>1505</v>
      </c>
      <c r="F18" s="254">
        <v>764</v>
      </c>
      <c r="G18" s="255">
        <f t="shared" si="0"/>
        <v>5076.4119601328903</v>
      </c>
      <c r="H18" s="255">
        <f t="shared" si="1"/>
        <v>100.00811584186151</v>
      </c>
      <c r="I18" s="257">
        <f t="shared" si="2"/>
        <v>-8.1158418615103756E-3</v>
      </c>
      <c r="J18" s="248"/>
      <c r="K18" s="18" t="s">
        <v>1422</v>
      </c>
      <c r="L18" s="271" t="s">
        <v>568</v>
      </c>
      <c r="M18" s="270" t="s">
        <v>1423</v>
      </c>
      <c r="N18" s="165">
        <v>1469</v>
      </c>
      <c r="O18" s="137">
        <v>4922</v>
      </c>
      <c r="P18" s="139">
        <f t="shared" si="3"/>
        <v>33505.786249149081</v>
      </c>
      <c r="Q18" s="234">
        <f t="shared" si="4"/>
        <v>99.999362052017787</v>
      </c>
      <c r="R18" s="139">
        <f t="shared" si="5"/>
        <v>6.3794798221294968E-4</v>
      </c>
    </row>
    <row r="19" spans="2:18" s="101" customFormat="1" ht="16" x14ac:dyDescent="0.45">
      <c r="B19" s="89" t="s">
        <v>1420</v>
      </c>
      <c r="C19" s="17" t="s">
        <v>1429</v>
      </c>
      <c r="D19" s="286" t="s">
        <v>581</v>
      </c>
      <c r="E19" s="291">
        <v>1515</v>
      </c>
      <c r="F19" s="292">
        <v>64</v>
      </c>
      <c r="G19" s="293">
        <f t="shared" si="0"/>
        <v>422.44224422442244</v>
      </c>
      <c r="H19" s="293">
        <f t="shared" si="1"/>
        <v>8.3223452368877542</v>
      </c>
      <c r="I19" s="294">
        <f t="shared" si="2"/>
        <v>91.677654763112244</v>
      </c>
      <c r="J19" s="13"/>
      <c r="K19" s="89" t="s">
        <v>1420</v>
      </c>
      <c r="L19" s="68" t="s">
        <v>1421</v>
      </c>
      <c r="M19" s="281" t="s">
        <v>581</v>
      </c>
      <c r="N19" s="159">
        <v>1485</v>
      </c>
      <c r="O19" s="118">
        <v>197</v>
      </c>
      <c r="P19" s="120">
        <f t="shared" si="3"/>
        <v>1326.5993265993266</v>
      </c>
      <c r="Q19" s="282">
        <f t="shared" si="4"/>
        <v>3.9592888634851269</v>
      </c>
      <c r="R19" s="120">
        <f t="shared" si="5"/>
        <v>96.040711136514872</v>
      </c>
    </row>
    <row r="20" spans="2:18" s="101" customFormat="1" ht="16" x14ac:dyDescent="0.45">
      <c r="B20" s="89" t="s">
        <v>1424</v>
      </c>
      <c r="C20" s="275"/>
      <c r="D20" s="245" t="s">
        <v>582</v>
      </c>
      <c r="E20" s="246">
        <v>1502</v>
      </c>
      <c r="F20" s="243">
        <v>224</v>
      </c>
      <c r="G20" s="247">
        <f t="shared" si="0"/>
        <v>1491.3448735019974</v>
      </c>
      <c r="H20" s="247">
        <f t="shared" si="1"/>
        <v>29.380316656855744</v>
      </c>
      <c r="I20" s="249">
        <f t="shared" si="2"/>
        <v>70.61968334314426</v>
      </c>
      <c r="J20" s="13"/>
      <c r="K20" s="89" t="s">
        <v>1424</v>
      </c>
      <c r="L20" s="275"/>
      <c r="M20" s="259" t="s">
        <v>582</v>
      </c>
      <c r="N20" s="162">
        <v>1485</v>
      </c>
      <c r="O20" s="101">
        <v>505</v>
      </c>
      <c r="P20" s="114">
        <f t="shared" si="3"/>
        <v>3400.6734006734005</v>
      </c>
      <c r="Q20" s="231">
        <f t="shared" si="4"/>
        <v>10.149446071370502</v>
      </c>
      <c r="R20" s="114">
        <f t="shared" si="5"/>
        <v>89.850553928629495</v>
      </c>
    </row>
    <row r="21" spans="2:18" s="101" customFormat="1" ht="16" x14ac:dyDescent="0.45">
      <c r="B21" s="18" t="s">
        <v>1422</v>
      </c>
      <c r="C21" s="272" t="s">
        <v>579</v>
      </c>
      <c r="D21" s="284" t="s">
        <v>1423</v>
      </c>
      <c r="E21" s="253">
        <v>1505</v>
      </c>
      <c r="F21" s="254">
        <v>764</v>
      </c>
      <c r="G21" s="255">
        <f t="shared" si="0"/>
        <v>5076.4119601328903</v>
      </c>
      <c r="H21" s="255">
        <f t="shared" si="1"/>
        <v>100.00811584186151</v>
      </c>
      <c r="I21" s="257">
        <f t="shared" si="2"/>
        <v>-8.1158418615103756E-3</v>
      </c>
      <c r="J21" s="13"/>
      <c r="K21" s="18" t="s">
        <v>1422</v>
      </c>
      <c r="L21" s="272" t="s">
        <v>579</v>
      </c>
      <c r="M21" s="270" t="s">
        <v>1423</v>
      </c>
      <c r="N21" s="165">
        <v>1469</v>
      </c>
      <c r="O21" s="137">
        <v>4922</v>
      </c>
      <c r="P21" s="139">
        <f t="shared" si="3"/>
        <v>33505.786249149081</v>
      </c>
      <c r="Q21" s="234">
        <f t="shared" si="4"/>
        <v>99.999362052017787</v>
      </c>
      <c r="R21" s="139">
        <f t="shared" si="5"/>
        <v>6.3794798221294968E-4</v>
      </c>
    </row>
    <row r="22" spans="2:18" s="101" customFormat="1" ht="13" x14ac:dyDescent="0.45">
      <c r="B22" s="13"/>
      <c r="C22" s="13"/>
      <c r="D22" s="102"/>
      <c r="J22" s="13"/>
      <c r="K22" s="13"/>
      <c r="L22" s="13"/>
      <c r="M22" s="102"/>
    </row>
    <row r="23" spans="2:18" s="101" customFormat="1" ht="16" x14ac:dyDescent="0.45">
      <c r="B23" s="13"/>
      <c r="C23" s="13"/>
      <c r="G23" s="24" t="s">
        <v>1432</v>
      </c>
      <c r="J23" s="243"/>
      <c r="K23" s="13"/>
      <c r="P23" s="24" t="s">
        <v>1428</v>
      </c>
    </row>
    <row r="24" spans="2:18" s="101" customFormat="1" ht="13" x14ac:dyDescent="0.45">
      <c r="B24" s="13"/>
      <c r="C24" s="13"/>
      <c r="K24" s="13"/>
    </row>
    <row r="26" spans="2:18" s="101" customFormat="1" ht="13" x14ac:dyDescent="0.45">
      <c r="J26" s="13"/>
      <c r="K26" s="13"/>
    </row>
    <row r="27" spans="2:18" s="101" customFormat="1" ht="13" x14ac:dyDescent="0.45">
      <c r="J27" s="13"/>
      <c r="K27" s="13"/>
    </row>
    <row r="28" spans="2:18" s="101" customFormat="1" ht="13" x14ac:dyDescent="0.45">
      <c r="J28" s="13"/>
      <c r="K28" s="13"/>
    </row>
    <row r="29" spans="2:18" s="101" customFormat="1" ht="13" x14ac:dyDescent="0.45">
      <c r="J29" s="13"/>
      <c r="K29" s="13"/>
    </row>
    <row r="30" spans="2:18" s="101" customFormat="1" ht="13" x14ac:dyDescent="0.45">
      <c r="J30" s="13"/>
      <c r="K30" s="13"/>
    </row>
    <row r="31" spans="2:18" s="101" customFormat="1" ht="13" x14ac:dyDescent="0.45">
      <c r="J31" s="13"/>
      <c r="K31" s="13"/>
    </row>
    <row r="32" spans="2:18" s="101" customFormat="1" ht="13" x14ac:dyDescent="0.45">
      <c r="J32" s="13"/>
      <c r="K32" s="13"/>
    </row>
    <row r="33" spans="2:11" s="101" customFormat="1" ht="13" x14ac:dyDescent="0.45">
      <c r="J33" s="13"/>
      <c r="K33" s="13"/>
    </row>
    <row r="34" spans="2:11" s="101" customFormat="1" ht="13" x14ac:dyDescent="0.45">
      <c r="J34" s="13"/>
      <c r="K34" s="13"/>
    </row>
    <row r="35" spans="2:11" s="101" customFormat="1" ht="13" x14ac:dyDescent="0.45">
      <c r="J35" s="13"/>
      <c r="K35" s="13"/>
    </row>
    <row r="36" spans="2:11" s="101" customFormat="1" ht="13" x14ac:dyDescent="0.45">
      <c r="J36" s="13"/>
      <c r="K36" s="13"/>
    </row>
    <row r="37" spans="2:11" s="101" customFormat="1" ht="13" x14ac:dyDescent="0.45">
      <c r="J37" s="13"/>
      <c r="K37" s="13"/>
    </row>
    <row r="38" spans="2:11" s="101" customFormat="1" ht="13" x14ac:dyDescent="0.45">
      <c r="J38" s="13"/>
      <c r="K38" s="13"/>
    </row>
    <row r="39" spans="2:11" s="101" customFormat="1" ht="13" x14ac:dyDescent="0.45">
      <c r="J39" s="13"/>
      <c r="K39" s="13"/>
    </row>
    <row r="40" spans="2:11" s="101" customFormat="1" ht="13" x14ac:dyDescent="0.45">
      <c r="J40" s="13"/>
      <c r="K40" s="13"/>
    </row>
    <row r="41" spans="2:11" s="101" customFormat="1" ht="13" x14ac:dyDescent="0.45">
      <c r="J41" s="13"/>
      <c r="K41" s="13"/>
    </row>
    <row r="42" spans="2:11" s="101" customFormat="1" ht="13" x14ac:dyDescent="0.45">
      <c r="J42" s="13"/>
      <c r="K42" s="13"/>
    </row>
    <row r="43" spans="2:11" s="101" customFormat="1" ht="13" x14ac:dyDescent="0.45">
      <c r="J43" s="13"/>
      <c r="K43" s="13"/>
    </row>
    <row r="44" spans="2:11" s="101" customFormat="1" ht="16" x14ac:dyDescent="0.45">
      <c r="B44" s="13"/>
      <c r="C44" s="13"/>
      <c r="J44" s="243"/>
      <c r="K44" s="13"/>
    </row>
  </sheetData>
  <phoneticPr fontId="3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5EA25-0E5C-4FFD-A3BB-1ACA8176702A}">
  <dimension ref="B2:R47"/>
  <sheetViews>
    <sheetView zoomScale="90" zoomScaleNormal="90" workbookViewId="0">
      <selection activeCell="E14" sqref="E14"/>
    </sheetView>
  </sheetViews>
  <sheetFormatPr defaultColWidth="9" defaultRowHeight="14" x14ac:dyDescent="0.45"/>
  <cols>
    <col min="1" max="1" width="9" style="14"/>
    <col min="2" max="2" width="9" style="23"/>
    <col min="3" max="3" width="22.25" style="23" customWidth="1"/>
    <col min="4" max="4" width="9" style="14"/>
    <col min="5" max="5" width="11.08203125" style="14" bestFit="1" customWidth="1"/>
    <col min="6" max="6" width="17.83203125" style="14" customWidth="1"/>
    <col min="7" max="7" width="25.83203125" style="14" customWidth="1"/>
    <col min="8" max="8" width="9.33203125" style="14" customWidth="1"/>
    <col min="9" max="9" width="10.5" style="14" bestFit="1" customWidth="1"/>
    <col min="10" max="10" width="6.25" style="14" customWidth="1"/>
    <col min="11" max="11" width="9" style="23"/>
    <col min="12" max="12" width="22.25" style="14" customWidth="1"/>
    <col min="13" max="13" width="9" style="14"/>
    <col min="14" max="14" width="11.08203125" style="14" customWidth="1"/>
    <col min="15" max="15" width="17.83203125" style="14" customWidth="1"/>
    <col min="16" max="16" width="25.75" style="14" customWidth="1"/>
    <col min="17" max="17" width="9.33203125" style="14" customWidth="1"/>
    <col min="18" max="18" width="10.5" style="14" customWidth="1"/>
    <col min="19" max="16384" width="9" style="14"/>
  </cols>
  <sheetData>
    <row r="2" spans="2:18" s="101" customFormat="1" ht="13" x14ac:dyDescent="0.45">
      <c r="B2" s="13"/>
      <c r="C2" s="100" t="s">
        <v>1438</v>
      </c>
    </row>
    <row r="3" spans="2:18" s="101" customFormat="1" ht="13" x14ac:dyDescent="0.45">
      <c r="B3" s="13"/>
      <c r="C3" s="13"/>
      <c r="D3" s="102"/>
    </row>
    <row r="4" spans="2:18" s="101" customFormat="1" ht="13" x14ac:dyDescent="0.45">
      <c r="B4" s="13"/>
      <c r="C4" s="13"/>
      <c r="K4" s="13"/>
    </row>
    <row r="5" spans="2:18" s="101" customFormat="1" ht="13" x14ac:dyDescent="0.45">
      <c r="B5" s="15"/>
      <c r="C5" s="17"/>
      <c r="D5" s="16" t="s">
        <v>1416</v>
      </c>
      <c r="E5" s="17" t="s">
        <v>1417</v>
      </c>
      <c r="F5" s="16" t="s">
        <v>1435</v>
      </c>
      <c r="G5" s="17" t="s">
        <v>1436</v>
      </c>
      <c r="H5" s="16" t="s">
        <v>1419</v>
      </c>
      <c r="I5" s="17" t="s">
        <v>6</v>
      </c>
      <c r="J5" s="13"/>
      <c r="K5" s="15"/>
      <c r="L5" s="17"/>
      <c r="M5" s="16" t="s">
        <v>1416</v>
      </c>
      <c r="N5" s="17" t="s">
        <v>1417</v>
      </c>
      <c r="O5" s="16" t="s">
        <v>1418</v>
      </c>
      <c r="P5" s="17" t="s">
        <v>854</v>
      </c>
      <c r="Q5" s="16" t="s">
        <v>1419</v>
      </c>
      <c r="R5" s="17" t="s">
        <v>6</v>
      </c>
    </row>
    <row r="6" spans="2:18" s="101" customFormat="1" ht="13" x14ac:dyDescent="0.45">
      <c r="B6" s="89"/>
      <c r="C6" s="68"/>
      <c r="D6" s="13"/>
      <c r="E6" s="68"/>
      <c r="F6" s="13"/>
      <c r="G6" s="68" t="s">
        <v>797</v>
      </c>
      <c r="H6" s="102"/>
      <c r="I6" s="68"/>
      <c r="J6" s="13"/>
      <c r="K6" s="89"/>
      <c r="L6" s="68"/>
      <c r="M6" s="13"/>
      <c r="N6" s="68"/>
      <c r="O6" s="13"/>
      <c r="P6" s="68" t="s">
        <v>797</v>
      </c>
      <c r="Q6" s="102"/>
      <c r="R6" s="68"/>
    </row>
    <row r="7" spans="2:18" s="101" customFormat="1" ht="16" x14ac:dyDescent="0.45">
      <c r="B7" s="15" t="s">
        <v>1420</v>
      </c>
      <c r="C7" s="17" t="s">
        <v>1433</v>
      </c>
      <c r="D7" s="285" t="s">
        <v>581</v>
      </c>
      <c r="E7" s="287">
        <v>1991</v>
      </c>
      <c r="F7" s="288">
        <v>1066</v>
      </c>
      <c r="G7" s="289">
        <f t="shared" ref="G7:G21" si="0">10000*F7/E7</f>
        <v>5354.0934203917632</v>
      </c>
      <c r="H7" s="289">
        <f t="shared" ref="H7:H21" si="1">G7/5610*100</f>
        <v>95.438385390227509</v>
      </c>
      <c r="I7" s="290">
        <f t="shared" ref="I7:I21" si="2">100-G7/5610*100</f>
        <v>4.5616146097724908</v>
      </c>
      <c r="J7" s="13"/>
      <c r="K7" s="15" t="s">
        <v>1420</v>
      </c>
      <c r="L7" s="17" t="s">
        <v>1421</v>
      </c>
      <c r="M7" s="285" t="s">
        <v>581</v>
      </c>
      <c r="N7" s="287">
        <v>1867</v>
      </c>
      <c r="O7" s="288">
        <v>9761</v>
      </c>
      <c r="P7" s="289">
        <f t="shared" ref="P7:P21" si="3">10000*O7/N7</f>
        <v>52281.735404392071</v>
      </c>
      <c r="Q7" s="289">
        <f t="shared" ref="Q7:Q21" si="4">P7/55245*100</f>
        <v>94.636139749103222</v>
      </c>
      <c r="R7" s="290">
        <f t="shared" ref="R7:R21" si="5">100-P7/55245*100</f>
        <v>5.3638602508967779</v>
      </c>
    </row>
    <row r="8" spans="2:18" s="101" customFormat="1" ht="16" x14ac:dyDescent="0.45">
      <c r="B8" s="89"/>
      <c r="C8" s="273"/>
      <c r="D8" s="245" t="s">
        <v>582</v>
      </c>
      <c r="E8" s="246">
        <v>1988</v>
      </c>
      <c r="F8" s="243">
        <v>999</v>
      </c>
      <c r="G8" s="247">
        <f t="shared" si="0"/>
        <v>5025.1509054325952</v>
      </c>
      <c r="H8" s="247">
        <f t="shared" si="1"/>
        <v>89.574882449778883</v>
      </c>
      <c r="I8" s="249">
        <f t="shared" si="2"/>
        <v>10.425117550221117</v>
      </c>
      <c r="J8" s="13"/>
      <c r="K8" s="89"/>
      <c r="L8" s="273"/>
      <c r="M8" s="245" t="s">
        <v>582</v>
      </c>
      <c r="N8" s="246">
        <v>1818</v>
      </c>
      <c r="O8" s="243">
        <v>10029</v>
      </c>
      <c r="P8" s="247">
        <f t="shared" si="3"/>
        <v>55165.016501650163</v>
      </c>
      <c r="Q8" s="247">
        <f t="shared" si="4"/>
        <v>99.855220384922006</v>
      </c>
      <c r="R8" s="249">
        <f t="shared" si="5"/>
        <v>0.14477961507799364</v>
      </c>
    </row>
    <row r="9" spans="2:18" s="101" customFormat="1" ht="16" x14ac:dyDescent="0.45">
      <c r="B9" s="18" t="s">
        <v>1422</v>
      </c>
      <c r="C9" s="271" t="s">
        <v>568</v>
      </c>
      <c r="D9" s="283" t="s">
        <v>1423</v>
      </c>
      <c r="E9" s="246">
        <v>1993</v>
      </c>
      <c r="F9" s="243">
        <v>1118</v>
      </c>
      <c r="G9" s="247">
        <f t="shared" si="0"/>
        <v>5609.6337180130458</v>
      </c>
      <c r="H9" s="247">
        <f t="shared" si="1"/>
        <v>99.993470909323463</v>
      </c>
      <c r="I9" s="249">
        <f t="shared" si="2"/>
        <v>6.5290906765369527E-3</v>
      </c>
      <c r="J9" s="13"/>
      <c r="K9" s="18" t="s">
        <v>1422</v>
      </c>
      <c r="L9" s="271" t="s">
        <v>568</v>
      </c>
      <c r="M9" s="283" t="s">
        <v>1423</v>
      </c>
      <c r="N9" s="246">
        <v>1796</v>
      </c>
      <c r="O9" s="243">
        <v>9922</v>
      </c>
      <c r="P9" s="247">
        <f t="shared" si="3"/>
        <v>55244.988864142542</v>
      </c>
      <c r="Q9" s="247">
        <f t="shared" si="4"/>
        <v>99.999979842777705</v>
      </c>
      <c r="R9" s="249">
        <f t="shared" si="5"/>
        <v>2.0157222294869825E-5</v>
      </c>
    </row>
    <row r="10" spans="2:18" s="101" customFormat="1" ht="16" x14ac:dyDescent="0.45">
      <c r="B10" s="15" t="s">
        <v>1420</v>
      </c>
      <c r="C10" s="17" t="s">
        <v>1434</v>
      </c>
      <c r="D10" s="285" t="s">
        <v>581</v>
      </c>
      <c r="E10" s="287">
        <v>1985</v>
      </c>
      <c r="F10" s="288">
        <v>829</v>
      </c>
      <c r="G10" s="289">
        <f t="shared" si="0"/>
        <v>4176.3224181360201</v>
      </c>
      <c r="H10" s="289">
        <f t="shared" si="1"/>
        <v>74.444249877647422</v>
      </c>
      <c r="I10" s="290">
        <f t="shared" si="2"/>
        <v>25.555750122352578</v>
      </c>
      <c r="J10" s="13"/>
      <c r="K10" s="15" t="s">
        <v>1420</v>
      </c>
      <c r="L10" s="17" t="s">
        <v>1421</v>
      </c>
      <c r="M10" s="285" t="s">
        <v>581</v>
      </c>
      <c r="N10" s="287">
        <v>1962</v>
      </c>
      <c r="O10" s="288">
        <v>3400</v>
      </c>
      <c r="P10" s="289">
        <f t="shared" si="3"/>
        <v>17329.255861365953</v>
      </c>
      <c r="Q10" s="289">
        <f t="shared" si="4"/>
        <v>31.368007713577619</v>
      </c>
      <c r="R10" s="290">
        <f t="shared" si="5"/>
        <v>68.631992286422388</v>
      </c>
    </row>
    <row r="11" spans="2:18" s="101" customFormat="1" ht="16" x14ac:dyDescent="0.45">
      <c r="B11" s="89" t="s">
        <v>1424</v>
      </c>
      <c r="C11" s="274" t="s">
        <v>1425</v>
      </c>
      <c r="D11" s="245" t="s">
        <v>582</v>
      </c>
      <c r="E11" s="246">
        <v>1991</v>
      </c>
      <c r="F11" s="243">
        <v>955</v>
      </c>
      <c r="G11" s="247">
        <f t="shared" si="0"/>
        <v>4796.5846308387745</v>
      </c>
      <c r="H11" s="247">
        <f t="shared" si="1"/>
        <v>85.500617305503994</v>
      </c>
      <c r="I11" s="249">
        <f t="shared" si="2"/>
        <v>14.499382694496006</v>
      </c>
      <c r="J11" s="13"/>
      <c r="K11" s="89" t="s">
        <v>1424</v>
      </c>
      <c r="L11" s="274" t="s">
        <v>1425</v>
      </c>
      <c r="M11" s="245" t="s">
        <v>582</v>
      </c>
      <c r="N11" s="246">
        <v>1957</v>
      </c>
      <c r="O11" s="243">
        <v>7189</v>
      </c>
      <c r="P11" s="247">
        <f t="shared" si="3"/>
        <v>36734.798160449667</v>
      </c>
      <c r="Q11" s="247">
        <f t="shared" si="4"/>
        <v>66.494340049687153</v>
      </c>
      <c r="R11" s="249">
        <f t="shared" si="5"/>
        <v>33.505659950312847</v>
      </c>
    </row>
    <row r="12" spans="2:18" s="101" customFormat="1" ht="16" x14ac:dyDescent="0.45">
      <c r="B12" s="18" t="s">
        <v>1422</v>
      </c>
      <c r="C12" s="271" t="s">
        <v>568</v>
      </c>
      <c r="D12" s="284" t="s">
        <v>1423</v>
      </c>
      <c r="E12" s="253">
        <v>1993</v>
      </c>
      <c r="F12" s="254">
        <v>1118</v>
      </c>
      <c r="G12" s="255">
        <f t="shared" si="0"/>
        <v>5609.6337180130458</v>
      </c>
      <c r="H12" s="255">
        <f t="shared" si="1"/>
        <v>99.993470909323463</v>
      </c>
      <c r="I12" s="257">
        <f t="shared" si="2"/>
        <v>6.5290906765369527E-3</v>
      </c>
      <c r="J12" s="13"/>
      <c r="K12" s="18" t="s">
        <v>1422</v>
      </c>
      <c r="L12" s="271" t="s">
        <v>568</v>
      </c>
      <c r="M12" s="284" t="s">
        <v>1423</v>
      </c>
      <c r="N12" s="253">
        <v>1796</v>
      </c>
      <c r="O12" s="254">
        <v>9922</v>
      </c>
      <c r="P12" s="255">
        <f t="shared" si="3"/>
        <v>55244.988864142542</v>
      </c>
      <c r="Q12" s="255">
        <f t="shared" si="4"/>
        <v>99.999979842777705</v>
      </c>
      <c r="R12" s="257">
        <f t="shared" si="5"/>
        <v>2.0157222294869825E-5</v>
      </c>
    </row>
    <row r="13" spans="2:18" s="101" customFormat="1" ht="16" x14ac:dyDescent="0.45">
      <c r="B13" s="15" t="s">
        <v>1420</v>
      </c>
      <c r="C13" s="17" t="s">
        <v>1434</v>
      </c>
      <c r="D13" s="286" t="s">
        <v>581</v>
      </c>
      <c r="E13" s="291">
        <v>1982</v>
      </c>
      <c r="F13" s="292">
        <v>913</v>
      </c>
      <c r="G13" s="293">
        <f t="shared" si="0"/>
        <v>4606.4581231079719</v>
      </c>
      <c r="H13" s="293">
        <f t="shared" si="1"/>
        <v>82.111552996577046</v>
      </c>
      <c r="I13" s="294">
        <f t="shared" si="2"/>
        <v>17.888447003422954</v>
      </c>
      <c r="J13" s="13"/>
      <c r="K13" s="15" t="s">
        <v>1420</v>
      </c>
      <c r="L13" s="17" t="s">
        <v>1421</v>
      </c>
      <c r="M13" s="286" t="s">
        <v>581</v>
      </c>
      <c r="N13" s="291">
        <v>1976</v>
      </c>
      <c r="O13" s="292">
        <v>3089</v>
      </c>
      <c r="P13" s="293">
        <f t="shared" si="3"/>
        <v>15632.591093117409</v>
      </c>
      <c r="Q13" s="293">
        <f t="shared" si="4"/>
        <v>28.296843321780084</v>
      </c>
      <c r="R13" s="294">
        <f t="shared" si="5"/>
        <v>71.703156678219912</v>
      </c>
    </row>
    <row r="14" spans="2:18" s="101" customFormat="1" ht="16" x14ac:dyDescent="0.45">
      <c r="B14" s="89" t="s">
        <v>1424</v>
      </c>
      <c r="C14" s="274" t="s">
        <v>1426</v>
      </c>
      <c r="D14" s="245" t="s">
        <v>582</v>
      </c>
      <c r="E14" s="246">
        <v>1989</v>
      </c>
      <c r="F14" s="243">
        <v>913</v>
      </c>
      <c r="G14" s="247">
        <f t="shared" si="0"/>
        <v>4590.2463549522372</v>
      </c>
      <c r="H14" s="247">
        <f t="shared" si="1"/>
        <v>81.822573172054135</v>
      </c>
      <c r="I14" s="249">
        <f t="shared" si="2"/>
        <v>18.177426827945865</v>
      </c>
      <c r="J14" s="13"/>
      <c r="K14" s="89" t="s">
        <v>1424</v>
      </c>
      <c r="L14" s="274" t="s">
        <v>1426</v>
      </c>
      <c r="M14" s="245" t="s">
        <v>582</v>
      </c>
      <c r="N14" s="246">
        <v>1932</v>
      </c>
      <c r="O14" s="243">
        <v>7215</v>
      </c>
      <c r="P14" s="247">
        <f t="shared" si="3"/>
        <v>37344.720496894413</v>
      </c>
      <c r="Q14" s="247">
        <f t="shared" si="4"/>
        <v>67.598371792731314</v>
      </c>
      <c r="R14" s="249">
        <f t="shared" si="5"/>
        <v>32.401628207268686</v>
      </c>
    </row>
    <row r="15" spans="2:18" s="101" customFormat="1" ht="16" x14ac:dyDescent="0.45">
      <c r="B15" s="18" t="s">
        <v>1422</v>
      </c>
      <c r="C15" s="271" t="s">
        <v>568</v>
      </c>
      <c r="D15" s="283" t="s">
        <v>1423</v>
      </c>
      <c r="E15" s="246">
        <v>1993</v>
      </c>
      <c r="F15" s="243">
        <v>1118</v>
      </c>
      <c r="G15" s="247">
        <f t="shared" si="0"/>
        <v>5609.6337180130458</v>
      </c>
      <c r="H15" s="247">
        <f t="shared" si="1"/>
        <v>99.993470909323463</v>
      </c>
      <c r="I15" s="249">
        <f t="shared" si="2"/>
        <v>6.5290906765369527E-3</v>
      </c>
      <c r="J15" s="13"/>
      <c r="K15" s="18" t="s">
        <v>1422</v>
      </c>
      <c r="L15" s="271" t="s">
        <v>568</v>
      </c>
      <c r="M15" s="283" t="s">
        <v>1423</v>
      </c>
      <c r="N15" s="246">
        <v>1796</v>
      </c>
      <c r="O15" s="243">
        <v>9922</v>
      </c>
      <c r="P15" s="247">
        <f t="shared" si="3"/>
        <v>55244.988864142542</v>
      </c>
      <c r="Q15" s="247">
        <f t="shared" si="4"/>
        <v>99.999979842777705</v>
      </c>
      <c r="R15" s="249">
        <f t="shared" si="5"/>
        <v>2.0157222294869825E-5</v>
      </c>
    </row>
    <row r="16" spans="2:18" s="101" customFormat="1" ht="16" x14ac:dyDescent="0.45">
      <c r="B16" s="15" t="s">
        <v>1420</v>
      </c>
      <c r="C16" s="17" t="s">
        <v>1434</v>
      </c>
      <c r="D16" s="285" t="s">
        <v>581</v>
      </c>
      <c r="E16" s="287">
        <v>1983</v>
      </c>
      <c r="F16" s="288">
        <v>586</v>
      </c>
      <c r="G16" s="289">
        <f t="shared" si="0"/>
        <v>2955.1185073121533</v>
      </c>
      <c r="H16" s="289">
        <f t="shared" si="1"/>
        <v>52.675909221250507</v>
      </c>
      <c r="I16" s="290">
        <f t="shared" si="2"/>
        <v>47.324090778749493</v>
      </c>
      <c r="J16" s="248"/>
      <c r="K16" s="15" t="s">
        <v>1420</v>
      </c>
      <c r="L16" s="17" t="s">
        <v>1421</v>
      </c>
      <c r="M16" s="285" t="s">
        <v>581</v>
      </c>
      <c r="N16" s="287">
        <v>1965</v>
      </c>
      <c r="O16" s="288">
        <v>2858</v>
      </c>
      <c r="P16" s="289">
        <f t="shared" si="3"/>
        <v>14544.529262086515</v>
      </c>
      <c r="Q16" s="289">
        <f t="shared" si="4"/>
        <v>26.327322403994053</v>
      </c>
      <c r="R16" s="290">
        <f t="shared" si="5"/>
        <v>73.67267759600594</v>
      </c>
    </row>
    <row r="17" spans="2:18" s="101" customFormat="1" ht="16" x14ac:dyDescent="0.45">
      <c r="B17" s="89" t="s">
        <v>1424</v>
      </c>
      <c r="C17" s="274" t="s">
        <v>1427</v>
      </c>
      <c r="D17" s="245" t="s">
        <v>582</v>
      </c>
      <c r="E17" s="246">
        <v>1988</v>
      </c>
      <c r="F17" s="243">
        <v>784</v>
      </c>
      <c r="G17" s="247">
        <f t="shared" si="0"/>
        <v>3943.6619718309857</v>
      </c>
      <c r="H17" s="247">
        <f t="shared" si="1"/>
        <v>70.297004845472117</v>
      </c>
      <c r="I17" s="249">
        <f t="shared" si="2"/>
        <v>29.702995154527883</v>
      </c>
      <c r="J17" s="248"/>
      <c r="K17" s="89" t="s">
        <v>1424</v>
      </c>
      <c r="L17" s="274" t="s">
        <v>1427</v>
      </c>
      <c r="M17" s="245" t="s">
        <v>582</v>
      </c>
      <c r="N17" s="246">
        <v>1938</v>
      </c>
      <c r="O17" s="243">
        <v>5669</v>
      </c>
      <c r="P17" s="247">
        <f t="shared" si="3"/>
        <v>29251.805985552117</v>
      </c>
      <c r="Q17" s="247">
        <f t="shared" si="4"/>
        <v>52.949237008873418</v>
      </c>
      <c r="R17" s="249">
        <f t="shared" si="5"/>
        <v>47.050762991126582</v>
      </c>
    </row>
    <row r="18" spans="2:18" s="101" customFormat="1" ht="16" x14ac:dyDescent="0.45">
      <c r="B18" s="18" t="s">
        <v>1422</v>
      </c>
      <c r="C18" s="271" t="s">
        <v>568</v>
      </c>
      <c r="D18" s="284" t="s">
        <v>1423</v>
      </c>
      <c r="E18" s="253">
        <v>1993</v>
      </c>
      <c r="F18" s="254">
        <v>1118</v>
      </c>
      <c r="G18" s="255">
        <f t="shared" si="0"/>
        <v>5609.6337180130458</v>
      </c>
      <c r="H18" s="255">
        <f t="shared" si="1"/>
        <v>99.993470909323463</v>
      </c>
      <c r="I18" s="257">
        <f t="shared" si="2"/>
        <v>6.5290906765369527E-3</v>
      </c>
      <c r="J18" s="248"/>
      <c r="K18" s="18" t="s">
        <v>1422</v>
      </c>
      <c r="L18" s="271" t="s">
        <v>568</v>
      </c>
      <c r="M18" s="284" t="s">
        <v>1423</v>
      </c>
      <c r="N18" s="253">
        <v>1796</v>
      </c>
      <c r="O18" s="254">
        <v>9922</v>
      </c>
      <c r="P18" s="255">
        <f t="shared" si="3"/>
        <v>55244.988864142542</v>
      </c>
      <c r="Q18" s="255">
        <f t="shared" si="4"/>
        <v>99.999979842777705</v>
      </c>
      <c r="R18" s="257">
        <f t="shared" si="5"/>
        <v>2.0157222294869825E-5</v>
      </c>
    </row>
    <row r="19" spans="2:18" s="101" customFormat="1" ht="16" x14ac:dyDescent="0.45">
      <c r="B19" s="89" t="s">
        <v>1420</v>
      </c>
      <c r="C19" s="17" t="s">
        <v>1434</v>
      </c>
      <c r="D19" s="286" t="s">
        <v>581</v>
      </c>
      <c r="E19" s="291">
        <v>1987</v>
      </c>
      <c r="F19" s="292">
        <v>198</v>
      </c>
      <c r="G19" s="293">
        <f t="shared" si="0"/>
        <v>996.47710115752386</v>
      </c>
      <c r="H19" s="293">
        <f t="shared" si="1"/>
        <v>17.762515172148376</v>
      </c>
      <c r="I19" s="294">
        <f t="shared" si="2"/>
        <v>82.237484827851631</v>
      </c>
      <c r="J19" s="13"/>
      <c r="K19" s="89" t="s">
        <v>1420</v>
      </c>
      <c r="L19" s="68" t="s">
        <v>1421</v>
      </c>
      <c r="M19" s="286" t="s">
        <v>581</v>
      </c>
      <c r="N19" s="291">
        <v>1983</v>
      </c>
      <c r="O19" s="292">
        <v>186</v>
      </c>
      <c r="P19" s="293">
        <f t="shared" si="3"/>
        <v>937.97276853252652</v>
      </c>
      <c r="Q19" s="293">
        <f t="shared" si="4"/>
        <v>1.6978419196896126</v>
      </c>
      <c r="R19" s="294">
        <f t="shared" si="5"/>
        <v>98.302158080310392</v>
      </c>
    </row>
    <row r="20" spans="2:18" s="101" customFormat="1" ht="16" x14ac:dyDescent="0.45">
      <c r="B20" s="89" t="s">
        <v>1424</v>
      </c>
      <c r="C20" s="275"/>
      <c r="D20" s="245" t="s">
        <v>582</v>
      </c>
      <c r="E20" s="246">
        <v>1988</v>
      </c>
      <c r="F20" s="243">
        <v>269</v>
      </c>
      <c r="G20" s="247">
        <f t="shared" si="0"/>
        <v>1353.1187122736419</v>
      </c>
      <c r="H20" s="247">
        <f t="shared" si="1"/>
        <v>24.119763142132655</v>
      </c>
      <c r="I20" s="249">
        <f t="shared" si="2"/>
        <v>75.880236857867345</v>
      </c>
      <c r="J20" s="13"/>
      <c r="K20" s="89" t="s">
        <v>1424</v>
      </c>
      <c r="L20" s="275"/>
      <c r="M20" s="245" t="s">
        <v>582</v>
      </c>
      <c r="N20" s="246">
        <v>1980</v>
      </c>
      <c r="O20" s="243">
        <v>705</v>
      </c>
      <c r="P20" s="247">
        <f t="shared" si="3"/>
        <v>3560.6060606060605</v>
      </c>
      <c r="Q20" s="247">
        <f t="shared" si="4"/>
        <v>6.4451191249996569</v>
      </c>
      <c r="R20" s="249">
        <f t="shared" si="5"/>
        <v>93.55488087500035</v>
      </c>
    </row>
    <row r="21" spans="2:18" s="101" customFormat="1" ht="16" x14ac:dyDescent="0.45">
      <c r="B21" s="18" t="s">
        <v>1422</v>
      </c>
      <c r="C21" s="272" t="s">
        <v>579</v>
      </c>
      <c r="D21" s="284" t="s">
        <v>1423</v>
      </c>
      <c r="E21" s="253">
        <v>1993</v>
      </c>
      <c r="F21" s="254">
        <v>1118</v>
      </c>
      <c r="G21" s="255">
        <f t="shared" si="0"/>
        <v>5609.6337180130458</v>
      </c>
      <c r="H21" s="255">
        <f t="shared" si="1"/>
        <v>99.993470909323463</v>
      </c>
      <c r="I21" s="257">
        <f t="shared" si="2"/>
        <v>6.5290906765369527E-3</v>
      </c>
      <c r="J21" s="13"/>
      <c r="K21" s="18" t="s">
        <v>1422</v>
      </c>
      <c r="L21" s="272" t="s">
        <v>579</v>
      </c>
      <c r="M21" s="284" t="s">
        <v>1423</v>
      </c>
      <c r="N21" s="253">
        <v>1796</v>
      </c>
      <c r="O21" s="254">
        <v>9922</v>
      </c>
      <c r="P21" s="255">
        <f t="shared" si="3"/>
        <v>55244.988864142542</v>
      </c>
      <c r="Q21" s="255">
        <f t="shared" si="4"/>
        <v>99.999979842777705</v>
      </c>
      <c r="R21" s="257">
        <f t="shared" si="5"/>
        <v>2.0157222294869825E-5</v>
      </c>
    </row>
    <row r="22" spans="2:18" s="101" customFormat="1" ht="13" x14ac:dyDescent="0.45">
      <c r="B22" s="13"/>
      <c r="C22" s="13"/>
      <c r="D22" s="102"/>
      <c r="J22" s="13"/>
      <c r="K22" s="13"/>
      <c r="L22" s="13"/>
      <c r="M22" s="102"/>
    </row>
    <row r="23" spans="2:18" s="101" customFormat="1" ht="16" x14ac:dyDescent="0.45">
      <c r="B23" s="13"/>
      <c r="C23" s="13"/>
      <c r="G23" s="24" t="s">
        <v>1437</v>
      </c>
      <c r="J23" s="243"/>
      <c r="K23" s="13"/>
      <c r="P23" s="24" t="s">
        <v>1428</v>
      </c>
    </row>
    <row r="24" spans="2:18" s="101" customFormat="1" ht="13" x14ac:dyDescent="0.45">
      <c r="B24" s="13"/>
      <c r="C24" s="13"/>
      <c r="K24" s="13"/>
    </row>
    <row r="25" spans="2:18" s="101" customFormat="1" ht="13" x14ac:dyDescent="0.45">
      <c r="B25" s="13"/>
      <c r="C25" s="13" t="s">
        <v>20</v>
      </c>
      <c r="K25" s="13"/>
    </row>
    <row r="26" spans="2:18" s="101" customFormat="1" ht="13" x14ac:dyDescent="0.45">
      <c r="B26" s="13"/>
      <c r="C26" s="13"/>
      <c r="K26" s="13"/>
    </row>
    <row r="27" spans="2:18" s="101" customFormat="1" ht="13" x14ac:dyDescent="0.45">
      <c r="B27" s="15"/>
      <c r="C27" s="17"/>
      <c r="D27" s="16" t="s">
        <v>1416</v>
      </c>
      <c r="E27" s="17" t="s">
        <v>1417</v>
      </c>
      <c r="F27" s="16" t="s">
        <v>1435</v>
      </c>
      <c r="G27" s="17" t="s">
        <v>1436</v>
      </c>
      <c r="H27" s="16" t="s">
        <v>1419</v>
      </c>
      <c r="I27" s="17" t="s">
        <v>6</v>
      </c>
      <c r="J27" s="13"/>
      <c r="K27" s="15"/>
      <c r="L27" s="17"/>
      <c r="M27" s="16" t="s">
        <v>1416</v>
      </c>
      <c r="N27" s="17" t="s">
        <v>1417</v>
      </c>
      <c r="O27" s="16" t="s">
        <v>1418</v>
      </c>
      <c r="P27" s="17" t="s">
        <v>854</v>
      </c>
      <c r="Q27" s="16" t="s">
        <v>1419</v>
      </c>
      <c r="R27" s="17" t="s">
        <v>6</v>
      </c>
    </row>
    <row r="28" spans="2:18" s="101" customFormat="1" ht="13" x14ac:dyDescent="0.45">
      <c r="B28" s="89"/>
      <c r="C28" s="68"/>
      <c r="D28" s="13"/>
      <c r="E28" s="68"/>
      <c r="F28" s="13"/>
      <c r="G28" s="68" t="s">
        <v>797</v>
      </c>
      <c r="H28" s="102"/>
      <c r="I28" s="68"/>
      <c r="J28" s="13"/>
      <c r="K28" s="89"/>
      <c r="L28" s="68"/>
      <c r="M28" s="13"/>
      <c r="N28" s="68"/>
      <c r="O28" s="13"/>
      <c r="P28" s="68" t="s">
        <v>797</v>
      </c>
      <c r="Q28" s="102"/>
      <c r="R28" s="68"/>
    </row>
    <row r="29" spans="2:18" s="101" customFormat="1" ht="16" x14ac:dyDescent="0.45">
      <c r="B29" s="15" t="s">
        <v>1420</v>
      </c>
      <c r="C29" s="17" t="s">
        <v>1433</v>
      </c>
      <c r="D29" s="285" t="s">
        <v>581</v>
      </c>
      <c r="E29" s="287">
        <v>1492</v>
      </c>
      <c r="F29" s="288">
        <v>1082</v>
      </c>
      <c r="G29" s="289">
        <f t="shared" ref="G29:G43" si="6">10000*F29/E29</f>
        <v>7252.0107238605897</v>
      </c>
      <c r="H29" s="289">
        <f t="shared" ref="H29:H43" si="7">G29/7534*100</f>
        <v>96.257110749410529</v>
      </c>
      <c r="I29" s="290">
        <f t="shared" ref="I29:I43" si="8">100-G29/7534*100</f>
        <v>3.7428892505894709</v>
      </c>
      <c r="J29" s="13"/>
      <c r="K29" s="15" t="s">
        <v>1420</v>
      </c>
      <c r="L29" s="17" t="s">
        <v>1421</v>
      </c>
      <c r="M29" s="285" t="s">
        <v>581</v>
      </c>
      <c r="N29" s="287">
        <v>1412</v>
      </c>
      <c r="O29" s="288">
        <v>7699</v>
      </c>
      <c r="P29" s="289">
        <f t="shared" ref="P29:P43" si="9">10000*O29/N29</f>
        <v>54525.495750708214</v>
      </c>
      <c r="Q29" s="289">
        <f t="shared" ref="Q29:Q43" si="10">P29/63557*100</f>
        <v>85.789914172645368</v>
      </c>
      <c r="R29" s="290">
        <f t="shared" ref="R29:R43" si="11">100-P29/63557*100</f>
        <v>14.210085827354632</v>
      </c>
    </row>
    <row r="30" spans="2:18" s="101" customFormat="1" ht="16" x14ac:dyDescent="0.45">
      <c r="B30" s="89"/>
      <c r="C30" s="273"/>
      <c r="D30" s="245" t="s">
        <v>582</v>
      </c>
      <c r="E30" s="246">
        <v>1496</v>
      </c>
      <c r="F30" s="243">
        <v>1113</v>
      </c>
      <c r="G30" s="247">
        <f t="shared" si="6"/>
        <v>7439.8395721925135</v>
      </c>
      <c r="H30" s="247">
        <f t="shared" si="7"/>
        <v>98.750193419067074</v>
      </c>
      <c r="I30" s="249">
        <f t="shared" si="8"/>
        <v>1.2498065809329262</v>
      </c>
      <c r="J30" s="13"/>
      <c r="K30" s="89"/>
      <c r="L30" s="273"/>
      <c r="M30" s="245" t="s">
        <v>582</v>
      </c>
      <c r="N30" s="246">
        <v>1406</v>
      </c>
      <c r="O30" s="243">
        <v>8520</v>
      </c>
      <c r="P30" s="247">
        <f t="shared" si="9"/>
        <v>60597.439544807967</v>
      </c>
      <c r="Q30" s="247">
        <f t="shared" si="10"/>
        <v>95.34345476471195</v>
      </c>
      <c r="R30" s="249">
        <f t="shared" si="11"/>
        <v>4.6565452352880499</v>
      </c>
    </row>
    <row r="31" spans="2:18" s="101" customFormat="1" ht="16" x14ac:dyDescent="0.45">
      <c r="B31" s="18" t="s">
        <v>1422</v>
      </c>
      <c r="C31" s="271" t="s">
        <v>568</v>
      </c>
      <c r="D31" s="283" t="s">
        <v>1423</v>
      </c>
      <c r="E31" s="246">
        <v>1492</v>
      </c>
      <c r="F31" s="243">
        <v>1124</v>
      </c>
      <c r="G31" s="247">
        <f t="shared" si="6"/>
        <v>7533.5120643431637</v>
      </c>
      <c r="H31" s="247">
        <f t="shared" si="7"/>
        <v>99.993523551143667</v>
      </c>
      <c r="I31" s="249">
        <f t="shared" si="8"/>
        <v>6.476448856332695E-3</v>
      </c>
      <c r="J31" s="13"/>
      <c r="K31" s="18" t="s">
        <v>1422</v>
      </c>
      <c r="L31" s="271" t="s">
        <v>568</v>
      </c>
      <c r="M31" s="283" t="s">
        <v>1423</v>
      </c>
      <c r="N31" s="246">
        <v>1414</v>
      </c>
      <c r="O31" s="243">
        <v>8987</v>
      </c>
      <c r="P31" s="247">
        <f t="shared" si="9"/>
        <v>63557.284299858555</v>
      </c>
      <c r="Q31" s="247">
        <f t="shared" si="10"/>
        <v>100.00044731478603</v>
      </c>
      <c r="R31" s="249">
        <f t="shared" si="11"/>
        <v>-4.4731478602955121E-4</v>
      </c>
    </row>
    <row r="32" spans="2:18" s="101" customFormat="1" ht="16" x14ac:dyDescent="0.45">
      <c r="B32" s="15" t="s">
        <v>1420</v>
      </c>
      <c r="C32" s="17" t="s">
        <v>1434</v>
      </c>
      <c r="D32" s="285" t="s">
        <v>581</v>
      </c>
      <c r="E32" s="287">
        <v>1488</v>
      </c>
      <c r="F32" s="288">
        <v>663</v>
      </c>
      <c r="G32" s="289">
        <f t="shared" si="6"/>
        <v>4455.6451612903229</v>
      </c>
      <c r="H32" s="289">
        <f t="shared" si="7"/>
        <v>59.140498557078878</v>
      </c>
      <c r="I32" s="290">
        <f t="shared" si="8"/>
        <v>40.859501442921122</v>
      </c>
      <c r="J32" s="13"/>
      <c r="K32" s="15" t="s">
        <v>1420</v>
      </c>
      <c r="L32" s="17" t="s">
        <v>1421</v>
      </c>
      <c r="M32" s="285" t="s">
        <v>581</v>
      </c>
      <c r="N32" s="287">
        <v>1456</v>
      </c>
      <c r="O32" s="288">
        <v>3411</v>
      </c>
      <c r="P32" s="289">
        <f t="shared" si="9"/>
        <v>23427.197802197803</v>
      </c>
      <c r="Q32" s="289">
        <f t="shared" si="10"/>
        <v>36.860137832493358</v>
      </c>
      <c r="R32" s="290">
        <f t="shared" si="11"/>
        <v>63.139862167506642</v>
      </c>
    </row>
    <row r="33" spans="2:18" s="101" customFormat="1" ht="16" x14ac:dyDescent="0.45">
      <c r="B33" s="89" t="s">
        <v>1424</v>
      </c>
      <c r="C33" s="274" t="s">
        <v>1425</v>
      </c>
      <c r="D33" s="245" t="s">
        <v>582</v>
      </c>
      <c r="E33" s="246">
        <v>1492</v>
      </c>
      <c r="F33" s="243">
        <v>822</v>
      </c>
      <c r="G33" s="247">
        <f t="shared" si="6"/>
        <v>5509.3833780160858</v>
      </c>
      <c r="H33" s="247">
        <f t="shared" si="7"/>
        <v>73.126936262491185</v>
      </c>
      <c r="I33" s="249">
        <f t="shared" si="8"/>
        <v>26.873063737508815</v>
      </c>
      <c r="J33" s="13"/>
      <c r="K33" s="89" t="s">
        <v>1424</v>
      </c>
      <c r="L33" s="274" t="s">
        <v>1425</v>
      </c>
      <c r="M33" s="245" t="s">
        <v>582</v>
      </c>
      <c r="N33" s="246">
        <v>1442</v>
      </c>
      <c r="O33" s="243">
        <v>6104</v>
      </c>
      <c r="P33" s="247">
        <f t="shared" si="9"/>
        <v>42330.097087378643</v>
      </c>
      <c r="Q33" s="247">
        <f t="shared" si="10"/>
        <v>66.601785936055251</v>
      </c>
      <c r="R33" s="249">
        <f t="shared" si="11"/>
        <v>33.398214063944749</v>
      </c>
    </row>
    <row r="34" spans="2:18" s="101" customFormat="1" ht="16" x14ac:dyDescent="0.45">
      <c r="B34" s="18" t="s">
        <v>1422</v>
      </c>
      <c r="C34" s="271" t="s">
        <v>568</v>
      </c>
      <c r="D34" s="284" t="s">
        <v>1423</v>
      </c>
      <c r="E34" s="253">
        <v>1492</v>
      </c>
      <c r="F34" s="254">
        <v>1124</v>
      </c>
      <c r="G34" s="255">
        <f t="shared" si="6"/>
        <v>7533.5120643431637</v>
      </c>
      <c r="H34" s="255">
        <f t="shared" si="7"/>
        <v>99.993523551143667</v>
      </c>
      <c r="I34" s="257">
        <f t="shared" si="8"/>
        <v>6.476448856332695E-3</v>
      </c>
      <c r="J34" s="13"/>
      <c r="K34" s="18" t="s">
        <v>1422</v>
      </c>
      <c r="L34" s="271" t="s">
        <v>568</v>
      </c>
      <c r="M34" s="284" t="s">
        <v>1423</v>
      </c>
      <c r="N34" s="253">
        <v>1414</v>
      </c>
      <c r="O34" s="254">
        <v>8987</v>
      </c>
      <c r="P34" s="255">
        <f t="shared" si="9"/>
        <v>63557.284299858555</v>
      </c>
      <c r="Q34" s="255">
        <f t="shared" si="10"/>
        <v>100.00044731478603</v>
      </c>
      <c r="R34" s="257">
        <f t="shared" si="11"/>
        <v>-4.4731478602955121E-4</v>
      </c>
    </row>
    <row r="35" spans="2:18" s="101" customFormat="1" ht="16" x14ac:dyDescent="0.45">
      <c r="B35" s="15" t="s">
        <v>1420</v>
      </c>
      <c r="C35" s="17" t="s">
        <v>1434</v>
      </c>
      <c r="D35" s="286" t="s">
        <v>581</v>
      </c>
      <c r="E35" s="291">
        <v>1487</v>
      </c>
      <c r="F35" s="292">
        <v>785</v>
      </c>
      <c r="G35" s="293">
        <f t="shared" si="6"/>
        <v>5279.085406859449</v>
      </c>
      <c r="H35" s="293">
        <f t="shared" si="7"/>
        <v>70.070154059721915</v>
      </c>
      <c r="I35" s="294">
        <f t="shared" si="8"/>
        <v>29.929845940278085</v>
      </c>
      <c r="J35" s="13"/>
      <c r="K35" s="15" t="s">
        <v>1420</v>
      </c>
      <c r="L35" s="17" t="s">
        <v>1421</v>
      </c>
      <c r="M35" s="286" t="s">
        <v>581</v>
      </c>
      <c r="N35" s="291">
        <v>1457</v>
      </c>
      <c r="O35" s="292">
        <v>2966</v>
      </c>
      <c r="P35" s="293">
        <f t="shared" si="9"/>
        <v>20356.897735072067</v>
      </c>
      <c r="Q35" s="293">
        <f t="shared" si="10"/>
        <v>32.029355908982595</v>
      </c>
      <c r="R35" s="294">
        <f t="shared" si="11"/>
        <v>67.970644091017405</v>
      </c>
    </row>
    <row r="36" spans="2:18" s="101" customFormat="1" ht="16" x14ac:dyDescent="0.45">
      <c r="B36" s="89" t="s">
        <v>1424</v>
      </c>
      <c r="C36" s="274" t="s">
        <v>1426</v>
      </c>
      <c r="D36" s="245" t="s">
        <v>582</v>
      </c>
      <c r="E36" s="246">
        <v>1481</v>
      </c>
      <c r="F36" s="243">
        <v>908</v>
      </c>
      <c r="G36" s="247">
        <f t="shared" si="6"/>
        <v>6130.9925725860903</v>
      </c>
      <c r="H36" s="247">
        <f t="shared" si="7"/>
        <v>81.377655595780325</v>
      </c>
      <c r="I36" s="249">
        <f t="shared" si="8"/>
        <v>18.622344404219675</v>
      </c>
      <c r="J36" s="13"/>
      <c r="K36" s="89" t="s">
        <v>1424</v>
      </c>
      <c r="L36" s="274" t="s">
        <v>1426</v>
      </c>
      <c r="M36" s="245" t="s">
        <v>582</v>
      </c>
      <c r="N36" s="246">
        <v>1459</v>
      </c>
      <c r="O36" s="243">
        <v>6618</v>
      </c>
      <c r="P36" s="247">
        <f t="shared" si="9"/>
        <v>45359.835503769704</v>
      </c>
      <c r="Q36" s="247">
        <f t="shared" si="10"/>
        <v>71.368748530877326</v>
      </c>
      <c r="R36" s="249">
        <f t="shared" si="11"/>
        <v>28.631251469122674</v>
      </c>
    </row>
    <row r="37" spans="2:18" s="101" customFormat="1" ht="16" x14ac:dyDescent="0.45">
      <c r="B37" s="18" t="s">
        <v>1422</v>
      </c>
      <c r="C37" s="271" t="s">
        <v>568</v>
      </c>
      <c r="D37" s="283" t="s">
        <v>1423</v>
      </c>
      <c r="E37" s="246">
        <v>1492</v>
      </c>
      <c r="F37" s="243">
        <v>1124</v>
      </c>
      <c r="G37" s="247">
        <f t="shared" si="6"/>
        <v>7533.5120643431637</v>
      </c>
      <c r="H37" s="247">
        <f t="shared" si="7"/>
        <v>99.993523551143667</v>
      </c>
      <c r="I37" s="249">
        <f t="shared" si="8"/>
        <v>6.476448856332695E-3</v>
      </c>
      <c r="J37" s="13"/>
      <c r="K37" s="18" t="s">
        <v>1422</v>
      </c>
      <c r="L37" s="271" t="s">
        <v>568</v>
      </c>
      <c r="M37" s="283" t="s">
        <v>1423</v>
      </c>
      <c r="N37" s="246">
        <v>1414</v>
      </c>
      <c r="O37" s="243">
        <v>8987</v>
      </c>
      <c r="P37" s="247">
        <f t="shared" si="9"/>
        <v>63557.284299858555</v>
      </c>
      <c r="Q37" s="247">
        <f t="shared" si="10"/>
        <v>100.00044731478603</v>
      </c>
      <c r="R37" s="249">
        <f t="shared" si="11"/>
        <v>-4.4731478602955121E-4</v>
      </c>
    </row>
    <row r="38" spans="2:18" s="101" customFormat="1" ht="16" x14ac:dyDescent="0.45">
      <c r="B38" s="15" t="s">
        <v>1420</v>
      </c>
      <c r="C38" s="17" t="s">
        <v>1434</v>
      </c>
      <c r="D38" s="285" t="s">
        <v>581</v>
      </c>
      <c r="E38" s="287">
        <v>1486</v>
      </c>
      <c r="F38" s="288">
        <v>573</v>
      </c>
      <c r="G38" s="289">
        <f t="shared" si="6"/>
        <v>3855.9892328398387</v>
      </c>
      <c r="H38" s="289">
        <f t="shared" si="7"/>
        <v>51.181168474115189</v>
      </c>
      <c r="I38" s="290">
        <f t="shared" si="8"/>
        <v>48.818831525884811</v>
      </c>
      <c r="J38" s="248"/>
      <c r="K38" s="15" t="s">
        <v>1420</v>
      </c>
      <c r="L38" s="17" t="s">
        <v>1421</v>
      </c>
      <c r="M38" s="285" t="s">
        <v>581</v>
      </c>
      <c r="N38" s="287">
        <v>1474</v>
      </c>
      <c r="O38" s="288">
        <v>1810</v>
      </c>
      <c r="P38" s="289">
        <f t="shared" si="9"/>
        <v>12279.511533242876</v>
      </c>
      <c r="Q38" s="289">
        <f t="shared" si="10"/>
        <v>19.320470653496667</v>
      </c>
      <c r="R38" s="290">
        <f t="shared" si="11"/>
        <v>80.67952934650333</v>
      </c>
    </row>
    <row r="39" spans="2:18" s="101" customFormat="1" ht="16" x14ac:dyDescent="0.45">
      <c r="B39" s="89" t="s">
        <v>1424</v>
      </c>
      <c r="C39" s="274" t="s">
        <v>1427</v>
      </c>
      <c r="D39" s="245" t="s">
        <v>582</v>
      </c>
      <c r="E39" s="246">
        <v>1491</v>
      </c>
      <c r="F39" s="243">
        <v>712</v>
      </c>
      <c r="G39" s="247">
        <f t="shared" si="6"/>
        <v>4775.3185781354796</v>
      </c>
      <c r="H39" s="247">
        <f t="shared" si="7"/>
        <v>63.383575499541799</v>
      </c>
      <c r="I39" s="249">
        <f t="shared" si="8"/>
        <v>36.616424500458201</v>
      </c>
      <c r="J39" s="248"/>
      <c r="K39" s="89" t="s">
        <v>1424</v>
      </c>
      <c r="L39" s="274" t="s">
        <v>1427</v>
      </c>
      <c r="M39" s="245" t="s">
        <v>582</v>
      </c>
      <c r="N39" s="246">
        <v>1456</v>
      </c>
      <c r="O39" s="243">
        <v>4810</v>
      </c>
      <c r="P39" s="247">
        <f t="shared" si="9"/>
        <v>33035.714285714283</v>
      </c>
      <c r="Q39" s="247">
        <f t="shared" si="10"/>
        <v>51.978089409056885</v>
      </c>
      <c r="R39" s="249">
        <f t="shared" si="11"/>
        <v>48.021910590943115</v>
      </c>
    </row>
    <row r="40" spans="2:18" s="101" customFormat="1" ht="16" x14ac:dyDescent="0.45">
      <c r="B40" s="18" t="s">
        <v>1422</v>
      </c>
      <c r="C40" s="271" t="s">
        <v>568</v>
      </c>
      <c r="D40" s="284" t="s">
        <v>1423</v>
      </c>
      <c r="E40" s="253">
        <v>1492</v>
      </c>
      <c r="F40" s="254">
        <v>1124</v>
      </c>
      <c r="G40" s="255">
        <f t="shared" si="6"/>
        <v>7533.5120643431637</v>
      </c>
      <c r="H40" s="255">
        <f t="shared" si="7"/>
        <v>99.993523551143667</v>
      </c>
      <c r="I40" s="257">
        <f t="shared" si="8"/>
        <v>6.476448856332695E-3</v>
      </c>
      <c r="J40" s="248"/>
      <c r="K40" s="18" t="s">
        <v>1422</v>
      </c>
      <c r="L40" s="271" t="s">
        <v>568</v>
      </c>
      <c r="M40" s="284" t="s">
        <v>1423</v>
      </c>
      <c r="N40" s="253">
        <v>1414</v>
      </c>
      <c r="O40" s="254">
        <v>8987</v>
      </c>
      <c r="P40" s="255">
        <f t="shared" si="9"/>
        <v>63557.284299858555</v>
      </c>
      <c r="Q40" s="255">
        <f t="shared" si="10"/>
        <v>100.00044731478603</v>
      </c>
      <c r="R40" s="257">
        <f t="shared" si="11"/>
        <v>-4.4731478602955121E-4</v>
      </c>
    </row>
    <row r="41" spans="2:18" s="101" customFormat="1" ht="16" x14ac:dyDescent="0.45">
      <c r="B41" s="89" t="s">
        <v>1420</v>
      </c>
      <c r="C41" s="17" t="s">
        <v>1434</v>
      </c>
      <c r="D41" s="286" t="s">
        <v>581</v>
      </c>
      <c r="E41" s="291">
        <v>1488</v>
      </c>
      <c r="F41" s="292">
        <v>133</v>
      </c>
      <c r="G41" s="293">
        <f t="shared" si="6"/>
        <v>893.81720430107532</v>
      </c>
      <c r="H41" s="293">
        <f t="shared" si="7"/>
        <v>11.863780253531662</v>
      </c>
      <c r="I41" s="294">
        <f t="shared" si="8"/>
        <v>88.136219746468342</v>
      </c>
      <c r="J41" s="13"/>
      <c r="K41" s="89" t="s">
        <v>1420</v>
      </c>
      <c r="L41" s="68" t="s">
        <v>1421</v>
      </c>
      <c r="M41" s="286" t="s">
        <v>581</v>
      </c>
      <c r="N41" s="291">
        <v>1480</v>
      </c>
      <c r="O41" s="292">
        <v>134</v>
      </c>
      <c r="P41" s="293">
        <f t="shared" si="9"/>
        <v>905.40540540540542</v>
      </c>
      <c r="Q41" s="293">
        <f t="shared" si="10"/>
        <v>1.4245565483037359</v>
      </c>
      <c r="R41" s="294">
        <f t="shared" si="11"/>
        <v>98.575443451696259</v>
      </c>
    </row>
    <row r="42" spans="2:18" s="101" customFormat="1" ht="16" x14ac:dyDescent="0.45">
      <c r="B42" s="89" t="s">
        <v>1424</v>
      </c>
      <c r="C42" s="275"/>
      <c r="D42" s="245" t="s">
        <v>582</v>
      </c>
      <c r="E42" s="246">
        <v>1489</v>
      </c>
      <c r="F42" s="243">
        <v>213</v>
      </c>
      <c r="G42" s="247">
        <f t="shared" si="6"/>
        <v>1430.4902619207521</v>
      </c>
      <c r="H42" s="247">
        <f t="shared" si="7"/>
        <v>18.987128509699392</v>
      </c>
      <c r="I42" s="249">
        <f t="shared" si="8"/>
        <v>81.012871490300611</v>
      </c>
      <c r="J42" s="13"/>
      <c r="K42" s="89" t="s">
        <v>1424</v>
      </c>
      <c r="L42" s="275"/>
      <c r="M42" s="245" t="s">
        <v>582</v>
      </c>
      <c r="N42" s="246">
        <v>1491</v>
      </c>
      <c r="O42" s="243">
        <v>492</v>
      </c>
      <c r="P42" s="247">
        <f t="shared" si="9"/>
        <v>3299.7987927565391</v>
      </c>
      <c r="Q42" s="247">
        <f t="shared" si="10"/>
        <v>5.1918731103679203</v>
      </c>
      <c r="R42" s="249">
        <f t="shared" si="11"/>
        <v>94.808126889632078</v>
      </c>
    </row>
    <row r="43" spans="2:18" s="101" customFormat="1" ht="16" x14ac:dyDescent="0.45">
      <c r="B43" s="18" t="s">
        <v>1422</v>
      </c>
      <c r="C43" s="272" t="s">
        <v>579</v>
      </c>
      <c r="D43" s="284" t="s">
        <v>1423</v>
      </c>
      <c r="E43" s="253">
        <v>1492</v>
      </c>
      <c r="F43" s="254">
        <v>1124</v>
      </c>
      <c r="G43" s="255">
        <f t="shared" si="6"/>
        <v>7533.5120643431637</v>
      </c>
      <c r="H43" s="255">
        <f t="shared" si="7"/>
        <v>99.993523551143667</v>
      </c>
      <c r="I43" s="257">
        <f t="shared" si="8"/>
        <v>6.476448856332695E-3</v>
      </c>
      <c r="J43" s="13"/>
      <c r="K43" s="18" t="s">
        <v>1422</v>
      </c>
      <c r="L43" s="272" t="s">
        <v>579</v>
      </c>
      <c r="M43" s="284" t="s">
        <v>1423</v>
      </c>
      <c r="N43" s="253">
        <v>1414</v>
      </c>
      <c r="O43" s="254">
        <v>8987</v>
      </c>
      <c r="P43" s="255">
        <f t="shared" si="9"/>
        <v>63557.284299858555</v>
      </c>
      <c r="Q43" s="255">
        <f t="shared" si="10"/>
        <v>100.00044731478603</v>
      </c>
      <c r="R43" s="257">
        <f t="shared" si="11"/>
        <v>-4.4731478602955121E-4</v>
      </c>
    </row>
    <row r="44" spans="2:18" s="101" customFormat="1" ht="13" x14ac:dyDescent="0.45">
      <c r="B44" s="13"/>
      <c r="C44" s="13"/>
      <c r="D44" s="102"/>
      <c r="J44" s="13"/>
      <c r="K44" s="13"/>
      <c r="L44" s="13"/>
      <c r="M44" s="102"/>
    </row>
    <row r="45" spans="2:18" s="101" customFormat="1" ht="16" x14ac:dyDescent="0.45">
      <c r="B45" s="13"/>
      <c r="C45" s="13"/>
      <c r="G45" s="24" t="s">
        <v>1437</v>
      </c>
      <c r="J45" s="243"/>
      <c r="K45" s="13"/>
      <c r="P45" s="24" t="s">
        <v>1428</v>
      </c>
    </row>
    <row r="46" spans="2:18" s="101" customFormat="1" ht="13" x14ac:dyDescent="0.45">
      <c r="B46" s="13"/>
      <c r="C46" s="13"/>
      <c r="K46" s="13"/>
    </row>
    <row r="47" spans="2:18" s="101" customFormat="1" ht="13" x14ac:dyDescent="0.45">
      <c r="B47" s="13"/>
      <c r="C47" s="13"/>
      <c r="K47" s="13"/>
    </row>
  </sheetData>
  <phoneticPr fontId="3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9A0A-81FF-4A1A-BBE0-CA4C4991FC40}">
  <dimension ref="B2:R143"/>
  <sheetViews>
    <sheetView zoomScale="90" zoomScaleNormal="90" workbookViewId="0">
      <selection activeCell="H26" sqref="H26"/>
    </sheetView>
  </sheetViews>
  <sheetFormatPr defaultColWidth="8.58203125" defaultRowHeight="14" x14ac:dyDescent="0.3"/>
  <cols>
    <col min="1" max="1" width="8.58203125" style="73"/>
    <col min="2" max="2" width="18.08203125" style="73" customWidth="1"/>
    <col min="3" max="3" width="7.08203125" style="73" customWidth="1"/>
    <col min="4" max="4" width="22.83203125" style="73" customWidth="1"/>
    <col min="5" max="5" width="6.25" style="73" bestFit="1" customWidth="1"/>
    <col min="6" max="6" width="12.33203125" style="73" customWidth="1"/>
    <col min="7" max="7" width="13.33203125" style="73" customWidth="1"/>
    <col min="8" max="8" width="23.5" style="73" customWidth="1"/>
    <col min="9" max="9" width="13.83203125" style="73" customWidth="1"/>
    <col min="10" max="10" width="13" style="73" customWidth="1"/>
    <col min="11" max="11" width="13.08203125" style="73" customWidth="1"/>
    <col min="12" max="12" width="9.33203125" style="73" customWidth="1"/>
    <col min="13" max="13" width="30.25" style="73" customWidth="1"/>
    <col min="14" max="14" width="34.08203125" style="73" customWidth="1"/>
    <col min="15" max="15" width="6.08203125" style="73" customWidth="1"/>
    <col min="16" max="16" width="30.25" style="73" customWidth="1"/>
    <col min="17" max="17" width="33.83203125" style="73" customWidth="1"/>
    <col min="18" max="16384" width="8.58203125" style="73"/>
  </cols>
  <sheetData>
    <row r="2" spans="2:18" s="322" customFormat="1" ht="16" x14ac:dyDescent="0.25">
      <c r="B2" s="321" t="s">
        <v>1440</v>
      </c>
    </row>
    <row r="3" spans="2:18" s="322" customFormat="1" ht="12.5" x14ac:dyDescent="0.25"/>
    <row r="4" spans="2:18" s="322" customFormat="1" ht="12.75" customHeight="1" x14ac:dyDescent="0.25">
      <c r="B4" s="322" t="s">
        <v>672</v>
      </c>
      <c r="M4" s="325" t="s">
        <v>71</v>
      </c>
    </row>
    <row r="5" spans="2:18" s="322" customFormat="1" ht="12.75" customHeight="1" x14ac:dyDescent="0.45">
      <c r="B5" s="299"/>
      <c r="C5" s="299" t="s">
        <v>649</v>
      </c>
      <c r="D5" s="183" t="s">
        <v>1441</v>
      </c>
      <c r="E5" s="183" t="s">
        <v>651</v>
      </c>
      <c r="F5" s="183" t="s">
        <v>1442</v>
      </c>
      <c r="G5" s="183" t="s">
        <v>1443</v>
      </c>
      <c r="H5" s="183" t="s">
        <v>1444</v>
      </c>
      <c r="I5" s="183" t="s">
        <v>1445</v>
      </c>
      <c r="J5" s="183" t="s">
        <v>1446</v>
      </c>
      <c r="K5" s="183" t="s">
        <v>1447</v>
      </c>
      <c r="L5" s="344"/>
    </row>
    <row r="6" spans="2:18" s="322" customFormat="1" ht="12.75" customHeight="1" x14ac:dyDescent="0.45">
      <c r="B6" s="370" t="s">
        <v>1451</v>
      </c>
      <c r="C6" s="298" t="s">
        <v>1452</v>
      </c>
      <c r="D6" s="183" t="s">
        <v>1448</v>
      </c>
      <c r="E6" s="183" t="s">
        <v>654</v>
      </c>
      <c r="F6" s="183" t="s">
        <v>1449</v>
      </c>
      <c r="G6" s="345">
        <v>860700</v>
      </c>
      <c r="H6" s="345">
        <v>2936</v>
      </c>
      <c r="I6" s="345">
        <v>15150</v>
      </c>
      <c r="J6" s="345">
        <v>-44550</v>
      </c>
      <c r="K6" s="345">
        <v>66110</v>
      </c>
      <c r="L6" s="346"/>
      <c r="M6" s="2" t="s">
        <v>41</v>
      </c>
      <c r="N6" s="8" t="s">
        <v>1476</v>
      </c>
      <c r="P6" s="2" t="s">
        <v>41</v>
      </c>
      <c r="Q6" s="8" t="s">
        <v>1492</v>
      </c>
      <c r="R6" s="250"/>
    </row>
    <row r="7" spans="2:18" s="322" customFormat="1" ht="12.75" customHeight="1" x14ac:dyDescent="0.45">
      <c r="B7" s="370"/>
      <c r="C7" s="299" t="s">
        <v>1453</v>
      </c>
      <c r="D7" s="183" t="s">
        <v>1448</v>
      </c>
      <c r="E7" s="183" t="s">
        <v>655</v>
      </c>
      <c r="F7" s="183" t="s">
        <v>1449</v>
      </c>
      <c r="G7" s="345">
        <v>9314000</v>
      </c>
      <c r="H7" s="345">
        <v>31710</v>
      </c>
      <c r="I7" s="345">
        <v>71650</v>
      </c>
      <c r="J7" s="345">
        <v>-40000</v>
      </c>
      <c r="K7" s="345">
        <v>697300</v>
      </c>
      <c r="L7" s="346"/>
      <c r="M7" s="7" t="s">
        <v>43</v>
      </c>
      <c r="N7" s="8" t="s">
        <v>1477</v>
      </c>
      <c r="P7" s="7" t="s">
        <v>43</v>
      </c>
      <c r="Q7" s="8" t="s">
        <v>1477</v>
      </c>
      <c r="R7" s="250"/>
    </row>
    <row r="8" spans="2:18" s="322" customFormat="1" ht="12.75" customHeight="1" x14ac:dyDescent="0.45">
      <c r="B8" s="370"/>
      <c r="C8" s="299" t="s">
        <v>1454</v>
      </c>
      <c r="D8" s="183" t="s">
        <v>1448</v>
      </c>
      <c r="E8" s="183" t="s">
        <v>656</v>
      </c>
      <c r="F8" s="183" t="s">
        <v>1449</v>
      </c>
      <c r="G8" s="345">
        <v>1019000</v>
      </c>
      <c r="H8" s="345">
        <v>3473</v>
      </c>
      <c r="I8" s="345">
        <v>13710</v>
      </c>
      <c r="J8" s="345">
        <v>-39680</v>
      </c>
      <c r="K8" s="345">
        <v>57900</v>
      </c>
      <c r="L8" s="346"/>
      <c r="M8" s="7" t="s">
        <v>44</v>
      </c>
      <c r="N8" s="8" t="s">
        <v>44</v>
      </c>
      <c r="P8" s="7" t="s">
        <v>44</v>
      </c>
      <c r="Q8" s="8" t="s">
        <v>44</v>
      </c>
      <c r="R8" s="250"/>
    </row>
    <row r="9" spans="2:18" s="322" customFormat="1" ht="12.75" customHeight="1" x14ac:dyDescent="0.45">
      <c r="B9" s="370"/>
      <c r="C9" s="299" t="s">
        <v>1455</v>
      </c>
      <c r="D9" s="183" t="s">
        <v>1448</v>
      </c>
      <c r="E9" s="183" t="s">
        <v>657</v>
      </c>
      <c r="F9" s="183" t="s">
        <v>1449</v>
      </c>
      <c r="G9" s="345">
        <v>1511000</v>
      </c>
      <c r="H9" s="345">
        <v>5146</v>
      </c>
      <c r="I9" s="345">
        <v>16610</v>
      </c>
      <c r="J9" s="345">
        <v>-46490</v>
      </c>
      <c r="K9" s="345">
        <v>95780</v>
      </c>
      <c r="L9" s="346"/>
      <c r="M9" s="7" t="s">
        <v>45</v>
      </c>
      <c r="N9" s="8" t="s">
        <v>1478</v>
      </c>
      <c r="P9" s="7" t="s">
        <v>45</v>
      </c>
      <c r="Q9" s="8" t="s">
        <v>1478</v>
      </c>
      <c r="R9" s="250"/>
    </row>
    <row r="10" spans="2:18" s="322" customFormat="1" ht="12.75" customHeight="1" x14ac:dyDescent="0.45">
      <c r="B10" s="370"/>
      <c r="C10" s="299" t="s">
        <v>1456</v>
      </c>
      <c r="D10" s="183" t="s">
        <v>1448</v>
      </c>
      <c r="E10" s="183" t="s">
        <v>658</v>
      </c>
      <c r="F10" s="183" t="s">
        <v>1449</v>
      </c>
      <c r="G10" s="345">
        <v>125900000</v>
      </c>
      <c r="H10" s="345">
        <v>429100</v>
      </c>
      <c r="I10" s="345">
        <v>1259000</v>
      </c>
      <c r="J10" s="345">
        <v>-50080</v>
      </c>
      <c r="K10" s="345">
        <v>15550000</v>
      </c>
      <c r="L10" s="346"/>
      <c r="M10" s="2"/>
      <c r="N10" s="3"/>
      <c r="P10" s="2"/>
      <c r="Q10" s="3"/>
      <c r="R10" s="250"/>
    </row>
    <row r="11" spans="2:18" s="322" customFormat="1" ht="12.75" customHeight="1" x14ac:dyDescent="0.45">
      <c r="B11" s="370" t="s">
        <v>1532</v>
      </c>
      <c r="C11" s="299" t="s">
        <v>1457</v>
      </c>
      <c r="D11" s="183" t="s">
        <v>1450</v>
      </c>
      <c r="E11" s="183" t="s">
        <v>654</v>
      </c>
      <c r="F11" s="183" t="s">
        <v>1449</v>
      </c>
      <c r="G11" s="345">
        <v>45230000</v>
      </c>
      <c r="H11" s="345">
        <v>154300</v>
      </c>
      <c r="I11" s="345">
        <v>461300</v>
      </c>
      <c r="J11" s="345">
        <v>-11320</v>
      </c>
      <c r="K11" s="345">
        <v>4246000</v>
      </c>
      <c r="L11" s="346"/>
      <c r="M11" s="2" t="s">
        <v>46</v>
      </c>
      <c r="N11" s="3"/>
      <c r="P11" s="2" t="s">
        <v>46</v>
      </c>
      <c r="Q11" s="3"/>
      <c r="R11" s="250"/>
    </row>
    <row r="12" spans="2:18" s="322" customFormat="1" ht="12.75" customHeight="1" x14ac:dyDescent="0.45">
      <c r="B12" s="370"/>
      <c r="C12" s="299" t="s">
        <v>1458</v>
      </c>
      <c r="D12" s="183" t="s">
        <v>1450</v>
      </c>
      <c r="E12" s="183" t="s">
        <v>655</v>
      </c>
      <c r="F12" s="183" t="s">
        <v>1449</v>
      </c>
      <c r="G12" s="345">
        <v>12420000</v>
      </c>
      <c r="H12" s="345">
        <v>42180</v>
      </c>
      <c r="I12" s="345">
        <v>119400</v>
      </c>
      <c r="J12" s="345">
        <v>-10760</v>
      </c>
      <c r="K12" s="345">
        <v>1676000</v>
      </c>
      <c r="L12" s="346"/>
      <c r="M12" s="7" t="s">
        <v>47</v>
      </c>
      <c r="N12" s="8">
        <v>0.67810000000000004</v>
      </c>
      <c r="P12" s="7" t="s">
        <v>47</v>
      </c>
      <c r="Q12" s="8">
        <v>0.70450000000000002</v>
      </c>
      <c r="R12" s="250"/>
    </row>
    <row r="13" spans="2:18" s="322" customFormat="1" ht="12.75" customHeight="1" x14ac:dyDescent="0.45">
      <c r="B13" s="370"/>
      <c r="C13" s="299" t="s">
        <v>1459</v>
      </c>
      <c r="D13" s="183" t="s">
        <v>1450</v>
      </c>
      <c r="E13" s="183" t="s">
        <v>656</v>
      </c>
      <c r="F13" s="183" t="s">
        <v>1449</v>
      </c>
      <c r="G13" s="345">
        <v>2068000</v>
      </c>
      <c r="H13" s="345">
        <v>7042</v>
      </c>
      <c r="I13" s="345">
        <v>10080</v>
      </c>
      <c r="J13" s="345">
        <v>-12600</v>
      </c>
      <c r="K13" s="345">
        <v>49770</v>
      </c>
      <c r="L13" s="346"/>
      <c r="M13" s="7" t="s">
        <v>49</v>
      </c>
      <c r="N13" s="8" t="s">
        <v>203</v>
      </c>
      <c r="P13" s="7" t="s">
        <v>49</v>
      </c>
      <c r="Q13" s="8" t="s">
        <v>203</v>
      </c>
      <c r="R13" s="250"/>
    </row>
    <row r="14" spans="2:18" s="322" customFormat="1" ht="12.75" customHeight="1" x14ac:dyDescent="0.45">
      <c r="B14" s="370"/>
      <c r="C14" s="299" t="s">
        <v>1460</v>
      </c>
      <c r="D14" s="183" t="s">
        <v>1450</v>
      </c>
      <c r="E14" s="183" t="s">
        <v>657</v>
      </c>
      <c r="F14" s="183" t="s">
        <v>1449</v>
      </c>
      <c r="G14" s="345">
        <v>407500</v>
      </c>
      <c r="H14" s="345">
        <v>1389</v>
      </c>
      <c r="I14" s="345">
        <v>4181</v>
      </c>
      <c r="J14" s="345">
        <v>-14040</v>
      </c>
      <c r="K14" s="345">
        <v>16550</v>
      </c>
      <c r="L14" s="346"/>
      <c r="M14" s="2" t="s">
        <v>51</v>
      </c>
      <c r="N14" s="3" t="s">
        <v>204</v>
      </c>
      <c r="P14" s="2" t="s">
        <v>51</v>
      </c>
      <c r="Q14" s="3" t="s">
        <v>204</v>
      </c>
      <c r="R14" s="250"/>
    </row>
    <row r="15" spans="2:18" s="322" customFormat="1" ht="12.75" customHeight="1" x14ac:dyDescent="0.45">
      <c r="L15" s="346"/>
      <c r="M15" s="2" t="s">
        <v>53</v>
      </c>
      <c r="N15" s="3" t="s">
        <v>54</v>
      </c>
      <c r="P15" s="2" t="s">
        <v>53</v>
      </c>
      <c r="Q15" s="3" t="s">
        <v>54</v>
      </c>
      <c r="R15" s="250"/>
    </row>
    <row r="16" spans="2:18" s="322" customFormat="1" ht="12.75" customHeight="1" x14ac:dyDescent="0.45">
      <c r="L16" s="346"/>
      <c r="M16" s="2" t="s">
        <v>55</v>
      </c>
      <c r="N16" s="3" t="s">
        <v>1470</v>
      </c>
      <c r="P16" s="2" t="s">
        <v>55</v>
      </c>
      <c r="Q16" s="3" t="s">
        <v>1486</v>
      </c>
      <c r="R16" s="250"/>
    </row>
    <row r="17" spans="2:18" s="322" customFormat="1" ht="12.75" customHeight="1" x14ac:dyDescent="0.45">
      <c r="B17" s="322" t="s">
        <v>1461</v>
      </c>
      <c r="L17" s="346"/>
      <c r="M17" s="2"/>
      <c r="N17" s="3"/>
      <c r="P17" s="2"/>
      <c r="Q17" s="3"/>
      <c r="R17" s="250"/>
    </row>
    <row r="18" spans="2:18" s="322" customFormat="1" ht="12.75" customHeight="1" x14ac:dyDescent="0.45">
      <c r="B18" s="299"/>
      <c r="C18" s="299" t="s">
        <v>649</v>
      </c>
      <c r="D18" s="183" t="s">
        <v>1441</v>
      </c>
      <c r="E18" s="183" t="s">
        <v>651</v>
      </c>
      <c r="F18" s="183" t="s">
        <v>1442</v>
      </c>
      <c r="G18" s="183" t="s">
        <v>1443</v>
      </c>
      <c r="H18" s="183" t="s">
        <v>1444</v>
      </c>
      <c r="I18" s="183" t="s">
        <v>1445</v>
      </c>
      <c r="J18" s="183" t="s">
        <v>1446</v>
      </c>
      <c r="K18" s="183" t="s">
        <v>1447</v>
      </c>
      <c r="L18" s="346"/>
      <c r="M18" s="2" t="s">
        <v>57</v>
      </c>
      <c r="N18" s="3"/>
      <c r="P18" s="2" t="s">
        <v>57</v>
      </c>
      <c r="Q18" s="3"/>
      <c r="R18" s="250"/>
    </row>
    <row r="19" spans="2:18" s="322" customFormat="1" ht="12.75" customHeight="1" x14ac:dyDescent="0.45">
      <c r="B19" s="370" t="s">
        <v>1451</v>
      </c>
      <c r="C19" s="298" t="s">
        <v>1452</v>
      </c>
      <c r="D19" s="183" t="s">
        <v>1464</v>
      </c>
      <c r="E19" s="183" t="s">
        <v>654</v>
      </c>
      <c r="F19" s="183" t="s">
        <v>1449</v>
      </c>
      <c r="G19" s="345">
        <v>113200000</v>
      </c>
      <c r="H19" s="345">
        <v>386400</v>
      </c>
      <c r="I19" s="345">
        <v>1641000</v>
      </c>
      <c r="J19" s="345">
        <v>-41110</v>
      </c>
      <c r="K19" s="345">
        <v>20460000</v>
      </c>
      <c r="L19" s="346"/>
      <c r="M19" s="2" t="s">
        <v>157</v>
      </c>
      <c r="N19" s="3" t="s">
        <v>1471</v>
      </c>
      <c r="P19" s="2" t="s">
        <v>157</v>
      </c>
      <c r="Q19" s="3" t="s">
        <v>1487</v>
      </c>
      <c r="R19" s="250"/>
    </row>
    <row r="20" spans="2:18" s="322" customFormat="1" ht="12.75" customHeight="1" x14ac:dyDescent="0.45">
      <c r="B20" s="370"/>
      <c r="C20" s="299" t="s">
        <v>1453</v>
      </c>
      <c r="D20" s="183" t="s">
        <v>1464</v>
      </c>
      <c r="E20" s="183" t="s">
        <v>655</v>
      </c>
      <c r="F20" s="183" t="s">
        <v>1449</v>
      </c>
      <c r="G20" s="345">
        <v>58760000</v>
      </c>
      <c r="H20" s="345">
        <v>200500</v>
      </c>
      <c r="I20" s="345">
        <v>310200</v>
      </c>
      <c r="J20" s="345">
        <v>-47700</v>
      </c>
      <c r="K20" s="345">
        <v>2285000</v>
      </c>
      <c r="L20" s="346"/>
      <c r="M20" s="2" t="s">
        <v>497</v>
      </c>
      <c r="N20" s="3" t="s">
        <v>1472</v>
      </c>
      <c r="P20" s="2" t="s">
        <v>60</v>
      </c>
      <c r="Q20" s="3" t="s">
        <v>1488</v>
      </c>
      <c r="R20" s="250"/>
    </row>
    <row r="21" spans="2:18" s="322" customFormat="1" ht="12.75" customHeight="1" x14ac:dyDescent="0.45">
      <c r="B21" s="370"/>
      <c r="C21" s="299" t="s">
        <v>1454</v>
      </c>
      <c r="D21" s="183" t="s">
        <v>1464</v>
      </c>
      <c r="E21" s="183" t="s">
        <v>656</v>
      </c>
      <c r="F21" s="183" t="s">
        <v>1449</v>
      </c>
      <c r="G21" s="345">
        <v>3112000</v>
      </c>
      <c r="H21" s="345">
        <v>10570</v>
      </c>
      <c r="I21" s="345">
        <v>21540</v>
      </c>
      <c r="J21" s="345">
        <v>-40870</v>
      </c>
      <c r="K21" s="345">
        <v>115400</v>
      </c>
      <c r="L21" s="346"/>
      <c r="M21" s="2" t="s">
        <v>62</v>
      </c>
      <c r="N21" s="3" t="s">
        <v>1473</v>
      </c>
      <c r="O21" s="250"/>
      <c r="P21" s="2" t="s">
        <v>62</v>
      </c>
      <c r="Q21" s="3" t="s">
        <v>1489</v>
      </c>
      <c r="R21" s="250"/>
    </row>
    <row r="22" spans="2:18" s="322" customFormat="1" ht="12.75" customHeight="1" x14ac:dyDescent="0.45">
      <c r="B22" s="370"/>
      <c r="C22" s="299" t="s">
        <v>1455</v>
      </c>
      <c r="D22" s="183" t="s">
        <v>1464</v>
      </c>
      <c r="E22" s="183" t="s">
        <v>657</v>
      </c>
      <c r="F22" s="183" t="s">
        <v>1449</v>
      </c>
      <c r="G22" s="345">
        <v>5549000</v>
      </c>
      <c r="H22" s="345">
        <v>18950</v>
      </c>
      <c r="I22" s="345">
        <v>36480</v>
      </c>
      <c r="J22" s="345">
        <v>-39370</v>
      </c>
      <c r="K22" s="345">
        <v>193100</v>
      </c>
      <c r="L22" s="346"/>
      <c r="M22" s="2" t="s">
        <v>64</v>
      </c>
      <c r="N22" s="3" t="s">
        <v>1474</v>
      </c>
      <c r="O22" s="250"/>
      <c r="P22" s="2" t="s">
        <v>64</v>
      </c>
      <c r="Q22" s="3" t="s">
        <v>1490</v>
      </c>
      <c r="R22" s="250"/>
    </row>
    <row r="23" spans="2:18" s="322" customFormat="1" ht="12.75" customHeight="1" x14ac:dyDescent="0.45">
      <c r="B23" s="370"/>
      <c r="C23" s="299" t="s">
        <v>1456</v>
      </c>
      <c r="D23" s="183" t="s">
        <v>1464</v>
      </c>
      <c r="E23" s="183" t="s">
        <v>658</v>
      </c>
      <c r="F23" s="183" t="s">
        <v>1449</v>
      </c>
      <c r="G23" s="345">
        <v>195100000</v>
      </c>
      <c r="H23" s="345">
        <v>662500</v>
      </c>
      <c r="I23" s="345">
        <v>1078000</v>
      </c>
      <c r="J23" s="345">
        <v>-48670</v>
      </c>
      <c r="K23" s="345">
        <v>8589000</v>
      </c>
      <c r="L23" s="346"/>
      <c r="M23" s="2" t="s">
        <v>66</v>
      </c>
      <c r="N23" s="3">
        <v>2.6079999999999999E-2</v>
      </c>
      <c r="O23" s="250"/>
      <c r="P23" s="2" t="s">
        <v>66</v>
      </c>
      <c r="Q23" s="3">
        <v>2.1819999999999999E-2</v>
      </c>
      <c r="R23" s="250"/>
    </row>
    <row r="24" spans="2:18" s="322" customFormat="1" ht="12.75" customHeight="1" x14ac:dyDescent="0.45">
      <c r="B24" s="370" t="s">
        <v>1532</v>
      </c>
      <c r="C24" s="299" t="s">
        <v>1457</v>
      </c>
      <c r="D24" s="183" t="s">
        <v>1465</v>
      </c>
      <c r="E24" s="183" t="s">
        <v>654</v>
      </c>
      <c r="F24" s="183" t="s">
        <v>1449</v>
      </c>
      <c r="G24" s="345">
        <v>418300000</v>
      </c>
      <c r="H24" s="345">
        <v>1427000</v>
      </c>
      <c r="I24" s="345">
        <v>3756000</v>
      </c>
      <c r="J24" s="345">
        <v>-91400</v>
      </c>
      <c r="K24" s="345">
        <v>29490000</v>
      </c>
      <c r="L24" s="346"/>
      <c r="M24" s="2"/>
      <c r="N24" s="3"/>
      <c r="O24" s="250"/>
      <c r="P24" s="2"/>
      <c r="Q24" s="3"/>
      <c r="R24" s="250"/>
    </row>
    <row r="25" spans="2:18" s="322" customFormat="1" ht="12.75" customHeight="1" x14ac:dyDescent="0.45">
      <c r="B25" s="370"/>
      <c r="C25" s="299" t="s">
        <v>1458</v>
      </c>
      <c r="D25" s="183" t="s">
        <v>1465</v>
      </c>
      <c r="E25" s="183" t="s">
        <v>655</v>
      </c>
      <c r="F25" s="183" t="s">
        <v>1449</v>
      </c>
      <c r="G25" s="345">
        <v>97370000</v>
      </c>
      <c r="H25" s="345">
        <v>331700</v>
      </c>
      <c r="I25" s="345">
        <v>557400</v>
      </c>
      <c r="J25" s="345">
        <v>-78810</v>
      </c>
      <c r="K25" s="345">
        <v>5673000</v>
      </c>
      <c r="M25" s="2" t="s">
        <v>67</v>
      </c>
      <c r="N25" s="3"/>
      <c r="O25" s="250"/>
      <c r="P25" s="2" t="s">
        <v>67</v>
      </c>
      <c r="Q25" s="3"/>
      <c r="R25" s="250"/>
    </row>
    <row r="26" spans="2:18" s="322" customFormat="1" ht="12.75" customHeight="1" x14ac:dyDescent="0.45">
      <c r="B26" s="370"/>
      <c r="C26" s="299" t="s">
        <v>1459</v>
      </c>
      <c r="D26" s="183" t="s">
        <v>1465</v>
      </c>
      <c r="E26" s="183" t="s">
        <v>656</v>
      </c>
      <c r="F26" s="183" t="s">
        <v>1449</v>
      </c>
      <c r="G26" s="345">
        <v>15890000</v>
      </c>
      <c r="H26" s="345">
        <v>54110</v>
      </c>
      <c r="I26" s="345">
        <v>77620</v>
      </c>
      <c r="J26" s="345">
        <v>-88600</v>
      </c>
      <c r="K26" s="345">
        <v>573700</v>
      </c>
      <c r="M26" s="2" t="s">
        <v>68</v>
      </c>
      <c r="N26" s="3" t="s">
        <v>1475</v>
      </c>
      <c r="O26" s="250"/>
      <c r="P26" s="2" t="s">
        <v>68</v>
      </c>
      <c r="Q26" s="3" t="s">
        <v>1491</v>
      </c>
      <c r="R26" s="250"/>
    </row>
    <row r="27" spans="2:18" s="322" customFormat="1" ht="12.75" customHeight="1" x14ac:dyDescent="0.45">
      <c r="B27" s="370"/>
      <c r="C27" s="299" t="s">
        <v>1460</v>
      </c>
      <c r="D27" s="183" t="s">
        <v>1465</v>
      </c>
      <c r="E27" s="183" t="s">
        <v>657</v>
      </c>
      <c r="F27" s="183" t="s">
        <v>1449</v>
      </c>
      <c r="G27" s="345">
        <v>920700</v>
      </c>
      <c r="H27" s="345">
        <v>3135</v>
      </c>
      <c r="I27" s="345">
        <v>30800</v>
      </c>
      <c r="J27" s="345">
        <v>-102100</v>
      </c>
      <c r="K27" s="345">
        <v>128700</v>
      </c>
      <c r="L27" s="344"/>
      <c r="M27" s="2" t="s">
        <v>47</v>
      </c>
      <c r="N27" s="3">
        <v>0.1421</v>
      </c>
      <c r="O27" s="250"/>
      <c r="P27" s="2" t="s">
        <v>47</v>
      </c>
      <c r="Q27" s="3">
        <v>0.39090000000000003</v>
      </c>
      <c r="R27" s="250"/>
    </row>
    <row r="28" spans="2:18" s="322" customFormat="1" ht="12.75" customHeight="1" x14ac:dyDescent="0.45">
      <c r="L28" s="346"/>
      <c r="M28" s="2" t="s">
        <v>49</v>
      </c>
      <c r="N28" s="3" t="s">
        <v>203</v>
      </c>
      <c r="O28" s="250"/>
      <c r="P28" s="2" t="s">
        <v>49</v>
      </c>
      <c r="Q28" s="3" t="s">
        <v>203</v>
      </c>
      <c r="R28" s="250"/>
    </row>
    <row r="29" spans="2:18" s="322" customFormat="1" ht="12.75" customHeight="1" x14ac:dyDescent="0.45">
      <c r="L29" s="346"/>
      <c r="M29" s="2" t="s">
        <v>70</v>
      </c>
      <c r="N29" s="3" t="s">
        <v>204</v>
      </c>
      <c r="O29" s="250"/>
      <c r="P29" s="2" t="s">
        <v>70</v>
      </c>
      <c r="Q29" s="3" t="s">
        <v>204</v>
      </c>
      <c r="R29" s="250"/>
    </row>
    <row r="30" spans="2:18" s="322" customFormat="1" ht="12.75" customHeight="1" x14ac:dyDescent="0.45">
      <c r="B30" s="322" t="s">
        <v>1462</v>
      </c>
      <c r="L30" s="346"/>
      <c r="O30" s="250"/>
    </row>
    <row r="31" spans="2:18" s="322" customFormat="1" ht="12.75" customHeight="1" x14ac:dyDescent="0.45">
      <c r="B31" s="299"/>
      <c r="C31" s="299" t="s">
        <v>649</v>
      </c>
      <c r="D31" s="183" t="s">
        <v>1441</v>
      </c>
      <c r="E31" s="183" t="s">
        <v>651</v>
      </c>
      <c r="F31" s="183" t="s">
        <v>1442</v>
      </c>
      <c r="G31" s="183" t="s">
        <v>1443</v>
      </c>
      <c r="H31" s="183" t="s">
        <v>1444</v>
      </c>
      <c r="I31" s="183" t="s">
        <v>1445</v>
      </c>
      <c r="J31" s="183" t="s">
        <v>1446</v>
      </c>
      <c r="K31" s="183" t="s">
        <v>1447</v>
      </c>
      <c r="L31" s="346"/>
    </row>
    <row r="32" spans="2:18" s="322" customFormat="1" ht="12.75" customHeight="1" x14ac:dyDescent="0.45">
      <c r="B32" s="370" t="s">
        <v>1451</v>
      </c>
      <c r="C32" s="298" t="s">
        <v>1452</v>
      </c>
      <c r="D32" s="183" t="s">
        <v>1466</v>
      </c>
      <c r="E32" s="183" t="s">
        <v>654</v>
      </c>
      <c r="F32" s="183" t="s">
        <v>1449</v>
      </c>
      <c r="G32" s="345">
        <v>121600000</v>
      </c>
      <c r="H32" s="345">
        <v>414400</v>
      </c>
      <c r="I32" s="345">
        <v>573900</v>
      </c>
      <c r="J32" s="345">
        <v>-90450</v>
      </c>
      <c r="K32" s="345">
        <v>2829000</v>
      </c>
      <c r="L32" s="346"/>
      <c r="M32" s="2" t="s">
        <v>41</v>
      </c>
      <c r="N32" s="8" t="s">
        <v>1485</v>
      </c>
      <c r="P32" s="2" t="s">
        <v>41</v>
      </c>
      <c r="Q32" s="8" t="s">
        <v>1499</v>
      </c>
      <c r="R32" s="250"/>
    </row>
    <row r="33" spans="2:18" s="322" customFormat="1" ht="12.75" customHeight="1" x14ac:dyDescent="0.45">
      <c r="B33" s="370"/>
      <c r="C33" s="299" t="s">
        <v>1453</v>
      </c>
      <c r="D33" s="183" t="s">
        <v>1466</v>
      </c>
      <c r="E33" s="183" t="s">
        <v>655</v>
      </c>
      <c r="F33" s="183" t="s">
        <v>1449</v>
      </c>
      <c r="G33" s="345">
        <v>916000000</v>
      </c>
      <c r="H33" s="345">
        <v>3125000</v>
      </c>
      <c r="I33" s="345">
        <v>4582000</v>
      </c>
      <c r="J33" s="345">
        <v>-52070</v>
      </c>
      <c r="K33" s="345">
        <v>29320000</v>
      </c>
      <c r="L33" s="346"/>
      <c r="M33" s="7" t="s">
        <v>43</v>
      </c>
      <c r="N33" s="8" t="s">
        <v>1477</v>
      </c>
      <c r="P33" s="7" t="s">
        <v>43</v>
      </c>
      <c r="Q33" s="8" t="s">
        <v>1477</v>
      </c>
      <c r="R33" s="250"/>
    </row>
    <row r="34" spans="2:18" s="322" customFormat="1" ht="12.75" customHeight="1" x14ac:dyDescent="0.45">
      <c r="B34" s="370"/>
      <c r="C34" s="299" t="s">
        <v>1454</v>
      </c>
      <c r="D34" s="183" t="s">
        <v>1466</v>
      </c>
      <c r="E34" s="183" t="s">
        <v>656</v>
      </c>
      <c r="F34" s="183" t="s">
        <v>1449</v>
      </c>
      <c r="G34" s="345">
        <v>50940000</v>
      </c>
      <c r="H34" s="345">
        <v>173500</v>
      </c>
      <c r="I34" s="345">
        <v>351700</v>
      </c>
      <c r="J34" s="345">
        <v>-88220</v>
      </c>
      <c r="K34" s="345">
        <v>2024000</v>
      </c>
      <c r="L34" s="346"/>
      <c r="M34" s="7" t="s">
        <v>44</v>
      </c>
      <c r="N34" s="8" t="s">
        <v>44</v>
      </c>
      <c r="P34" s="7" t="s">
        <v>44</v>
      </c>
      <c r="Q34" s="8" t="s">
        <v>44</v>
      </c>
      <c r="R34" s="250"/>
    </row>
    <row r="35" spans="2:18" s="322" customFormat="1" ht="12.75" customHeight="1" x14ac:dyDescent="0.45">
      <c r="B35" s="370"/>
      <c r="C35" s="299" t="s">
        <v>1455</v>
      </c>
      <c r="D35" s="183" t="s">
        <v>1466</v>
      </c>
      <c r="E35" s="183" t="s">
        <v>657</v>
      </c>
      <c r="F35" s="183" t="s">
        <v>1449</v>
      </c>
      <c r="G35" s="345">
        <v>7877000</v>
      </c>
      <c r="H35" s="345">
        <v>26910</v>
      </c>
      <c r="I35" s="345">
        <v>63920</v>
      </c>
      <c r="J35" s="345">
        <v>-100100</v>
      </c>
      <c r="K35" s="345">
        <v>429500</v>
      </c>
      <c r="L35" s="346"/>
      <c r="M35" s="7" t="s">
        <v>45</v>
      </c>
      <c r="N35" s="8" t="s">
        <v>1478</v>
      </c>
      <c r="P35" s="7" t="s">
        <v>45</v>
      </c>
      <c r="Q35" s="8" t="s">
        <v>1478</v>
      </c>
      <c r="R35" s="250"/>
    </row>
    <row r="36" spans="2:18" s="322" customFormat="1" ht="12.75" customHeight="1" x14ac:dyDescent="0.45">
      <c r="B36" s="370"/>
      <c r="C36" s="299" t="s">
        <v>1456</v>
      </c>
      <c r="D36" s="183" t="s">
        <v>1466</v>
      </c>
      <c r="E36" s="183" t="s">
        <v>658</v>
      </c>
      <c r="F36" s="183" t="s">
        <v>1449</v>
      </c>
      <c r="G36" s="345">
        <v>326000000</v>
      </c>
      <c r="H36" s="345">
        <v>1111000</v>
      </c>
      <c r="I36" s="345">
        <v>1911000</v>
      </c>
      <c r="J36" s="345">
        <v>-5756000</v>
      </c>
      <c r="K36" s="345">
        <v>13940000</v>
      </c>
      <c r="L36" s="346"/>
      <c r="M36" s="2"/>
      <c r="N36" s="3"/>
      <c r="P36" s="2"/>
      <c r="Q36" s="3"/>
      <c r="R36" s="250"/>
    </row>
    <row r="37" spans="2:18" s="322" customFormat="1" ht="12.75" customHeight="1" x14ac:dyDescent="0.45">
      <c r="B37" s="370" t="s">
        <v>1532</v>
      </c>
      <c r="C37" s="299" t="s">
        <v>1457</v>
      </c>
      <c r="D37" s="183" t="s">
        <v>1467</v>
      </c>
      <c r="E37" s="183" t="s">
        <v>654</v>
      </c>
      <c r="F37" s="183" t="s">
        <v>1449</v>
      </c>
      <c r="G37" s="345">
        <v>1298000000</v>
      </c>
      <c r="H37" s="345">
        <v>4417000</v>
      </c>
      <c r="I37" s="345">
        <v>11050000</v>
      </c>
      <c r="J37" s="345">
        <v>-212600</v>
      </c>
      <c r="K37" s="345">
        <v>82600000</v>
      </c>
      <c r="L37" s="346"/>
      <c r="M37" s="2" t="s">
        <v>46</v>
      </c>
      <c r="N37" s="3"/>
      <c r="P37" s="2" t="s">
        <v>46</v>
      </c>
      <c r="Q37" s="3"/>
      <c r="R37" s="250"/>
    </row>
    <row r="38" spans="2:18" s="322" customFormat="1" ht="12.75" customHeight="1" x14ac:dyDescent="0.45">
      <c r="B38" s="370"/>
      <c r="C38" s="299" t="s">
        <v>1458</v>
      </c>
      <c r="D38" s="183" t="s">
        <v>1467</v>
      </c>
      <c r="E38" s="183" t="s">
        <v>655</v>
      </c>
      <c r="F38" s="183" t="s">
        <v>1449</v>
      </c>
      <c r="G38" s="345">
        <v>225300000</v>
      </c>
      <c r="H38" s="345">
        <v>768300</v>
      </c>
      <c r="I38" s="345">
        <v>1285000</v>
      </c>
      <c r="J38" s="345">
        <v>-227900</v>
      </c>
      <c r="K38" s="345">
        <v>15070000</v>
      </c>
      <c r="L38" s="346"/>
      <c r="M38" s="7" t="s">
        <v>47</v>
      </c>
      <c r="N38" s="8">
        <v>0.55869999999999997</v>
      </c>
      <c r="P38" s="7" t="s">
        <v>47</v>
      </c>
      <c r="Q38" s="8">
        <v>0.41560000000000002</v>
      </c>
      <c r="R38" s="250"/>
    </row>
    <row r="39" spans="2:18" s="322" customFormat="1" ht="12.75" customHeight="1" x14ac:dyDescent="0.45">
      <c r="B39" s="370"/>
      <c r="C39" s="299" t="s">
        <v>1459</v>
      </c>
      <c r="D39" s="183" t="s">
        <v>1467</v>
      </c>
      <c r="E39" s="183" t="s">
        <v>656</v>
      </c>
      <c r="F39" s="183" t="s">
        <v>1449</v>
      </c>
      <c r="G39" s="345">
        <v>118600000</v>
      </c>
      <c r="H39" s="345">
        <v>404700</v>
      </c>
      <c r="I39" s="345">
        <v>584400</v>
      </c>
      <c r="J39" s="345">
        <v>-198100</v>
      </c>
      <c r="K39" s="345">
        <v>5190000</v>
      </c>
      <c r="L39" s="346"/>
      <c r="M39" s="7" t="s">
        <v>49</v>
      </c>
      <c r="N39" s="8" t="s">
        <v>203</v>
      </c>
      <c r="P39" s="7" t="s">
        <v>49</v>
      </c>
      <c r="Q39" s="8" t="s">
        <v>203</v>
      </c>
      <c r="R39" s="250"/>
    </row>
    <row r="40" spans="2:18" s="322" customFormat="1" ht="12.75" customHeight="1" x14ac:dyDescent="0.45">
      <c r="B40" s="370"/>
      <c r="C40" s="299" t="s">
        <v>1460</v>
      </c>
      <c r="D40" s="183" t="s">
        <v>1467</v>
      </c>
      <c r="E40" s="183" t="s">
        <v>657</v>
      </c>
      <c r="F40" s="183" t="s">
        <v>1449</v>
      </c>
      <c r="G40" s="345">
        <v>9717000</v>
      </c>
      <c r="H40" s="345">
        <v>33040</v>
      </c>
      <c r="I40" s="345">
        <v>98610</v>
      </c>
      <c r="J40" s="345">
        <v>-266900</v>
      </c>
      <c r="K40" s="345">
        <v>457500</v>
      </c>
      <c r="L40" s="346"/>
      <c r="M40" s="2" t="s">
        <v>51</v>
      </c>
      <c r="N40" s="3" t="s">
        <v>204</v>
      </c>
      <c r="P40" s="2" t="s">
        <v>51</v>
      </c>
      <c r="Q40" s="3" t="s">
        <v>204</v>
      </c>
      <c r="R40" s="250"/>
    </row>
    <row r="41" spans="2:18" s="322" customFormat="1" ht="12.75" customHeight="1" x14ac:dyDescent="0.45">
      <c r="L41" s="346"/>
      <c r="M41" s="2" t="s">
        <v>53</v>
      </c>
      <c r="N41" s="3" t="s">
        <v>54</v>
      </c>
      <c r="P41" s="2" t="s">
        <v>53</v>
      </c>
      <c r="Q41" s="3" t="s">
        <v>54</v>
      </c>
      <c r="R41" s="250"/>
    </row>
    <row r="42" spans="2:18" s="322" customFormat="1" ht="12.75" customHeight="1" x14ac:dyDescent="0.45">
      <c r="L42" s="346"/>
      <c r="M42" s="2" t="s">
        <v>55</v>
      </c>
      <c r="N42" s="3" t="s">
        <v>1479</v>
      </c>
      <c r="P42" s="2" t="s">
        <v>55</v>
      </c>
      <c r="Q42" s="3" t="s">
        <v>1493</v>
      </c>
      <c r="R42" s="250"/>
    </row>
    <row r="43" spans="2:18" s="322" customFormat="1" ht="12.75" customHeight="1" x14ac:dyDescent="0.45">
      <c r="B43" s="322" t="s">
        <v>1463</v>
      </c>
      <c r="L43" s="346"/>
      <c r="M43" s="2"/>
      <c r="N43" s="3"/>
      <c r="P43" s="2"/>
      <c r="Q43" s="3"/>
      <c r="R43" s="250"/>
    </row>
    <row r="44" spans="2:18" s="322" customFormat="1" ht="12.75" customHeight="1" x14ac:dyDescent="0.45">
      <c r="B44" s="299"/>
      <c r="C44" s="299" t="s">
        <v>649</v>
      </c>
      <c r="D44" s="183" t="s">
        <v>1441</v>
      </c>
      <c r="E44" s="183" t="s">
        <v>651</v>
      </c>
      <c r="F44" s="183" t="s">
        <v>1442</v>
      </c>
      <c r="G44" s="183" t="s">
        <v>1443</v>
      </c>
      <c r="H44" s="183" t="s">
        <v>1444</v>
      </c>
      <c r="I44" s="183" t="s">
        <v>1445</v>
      </c>
      <c r="J44" s="183" t="s">
        <v>1446</v>
      </c>
      <c r="K44" s="183" t="s">
        <v>1447</v>
      </c>
      <c r="L44" s="346"/>
      <c r="M44" s="2" t="s">
        <v>57</v>
      </c>
      <c r="N44" s="3"/>
      <c r="P44" s="2" t="s">
        <v>57</v>
      </c>
      <c r="Q44" s="3"/>
      <c r="R44" s="250"/>
    </row>
    <row r="45" spans="2:18" s="322" customFormat="1" ht="12.75" customHeight="1" x14ac:dyDescent="0.45">
      <c r="B45" s="370" t="s">
        <v>1451</v>
      </c>
      <c r="C45" s="298" t="s">
        <v>1452</v>
      </c>
      <c r="D45" s="183" t="s">
        <v>1468</v>
      </c>
      <c r="E45" s="183" t="s">
        <v>654</v>
      </c>
      <c r="F45" s="183" t="s">
        <v>1449</v>
      </c>
      <c r="G45" s="345">
        <v>503700000</v>
      </c>
      <c r="H45" s="345">
        <v>1716000</v>
      </c>
      <c r="I45" s="345">
        <v>3532000</v>
      </c>
      <c r="J45" s="345">
        <v>-212600</v>
      </c>
      <c r="K45" s="345">
        <v>28020000</v>
      </c>
      <c r="L45" s="346"/>
      <c r="M45" s="2" t="s">
        <v>157</v>
      </c>
      <c r="N45" s="3" t="s">
        <v>1480</v>
      </c>
      <c r="P45" s="2" t="s">
        <v>157</v>
      </c>
      <c r="Q45" s="3" t="s">
        <v>1494</v>
      </c>
      <c r="R45" s="250"/>
    </row>
    <row r="46" spans="2:18" s="322" customFormat="1" ht="12.75" customHeight="1" x14ac:dyDescent="0.45">
      <c r="B46" s="370"/>
      <c r="C46" s="299" t="s">
        <v>1453</v>
      </c>
      <c r="D46" s="183" t="s">
        <v>1468</v>
      </c>
      <c r="E46" s="183" t="s">
        <v>655</v>
      </c>
      <c r="F46" s="183" t="s">
        <v>1449</v>
      </c>
      <c r="G46" s="345">
        <v>2521000000</v>
      </c>
      <c r="H46" s="345">
        <v>8595000</v>
      </c>
      <c r="I46" s="345">
        <v>9607000</v>
      </c>
      <c r="J46" s="345">
        <v>-155700</v>
      </c>
      <c r="K46" s="345">
        <v>65510000</v>
      </c>
      <c r="L46" s="346"/>
      <c r="M46" s="2" t="s">
        <v>60</v>
      </c>
      <c r="N46" s="3" t="s">
        <v>1481</v>
      </c>
      <c r="P46" s="2" t="s">
        <v>497</v>
      </c>
      <c r="Q46" s="3" t="s">
        <v>1495</v>
      </c>
      <c r="R46" s="250"/>
    </row>
    <row r="47" spans="2:18" s="322" customFormat="1" ht="12.75" customHeight="1" x14ac:dyDescent="0.45">
      <c r="B47" s="370"/>
      <c r="C47" s="299" t="s">
        <v>1454</v>
      </c>
      <c r="D47" s="183" t="s">
        <v>1468</v>
      </c>
      <c r="E47" s="183" t="s">
        <v>656</v>
      </c>
      <c r="F47" s="183" t="s">
        <v>1449</v>
      </c>
      <c r="G47" s="345">
        <v>115300000</v>
      </c>
      <c r="H47" s="345">
        <v>391600</v>
      </c>
      <c r="I47" s="345">
        <v>725900</v>
      </c>
      <c r="J47" s="345">
        <v>-230700</v>
      </c>
      <c r="K47" s="345">
        <v>3785000</v>
      </c>
      <c r="L47" s="346"/>
      <c r="M47" s="2" t="s">
        <v>62</v>
      </c>
      <c r="N47" s="3" t="s">
        <v>1482</v>
      </c>
      <c r="P47" s="2" t="s">
        <v>62</v>
      </c>
      <c r="Q47" s="3" t="s">
        <v>1496</v>
      </c>
      <c r="R47" s="250"/>
    </row>
    <row r="48" spans="2:18" s="322" customFormat="1" ht="12.75" customHeight="1" x14ac:dyDescent="0.45">
      <c r="B48" s="370"/>
      <c r="C48" s="299" t="s">
        <v>1455</v>
      </c>
      <c r="D48" s="183" t="s">
        <v>1468</v>
      </c>
      <c r="E48" s="183" t="s">
        <v>657</v>
      </c>
      <c r="F48" s="183" t="s">
        <v>1449</v>
      </c>
      <c r="G48" s="345">
        <v>77950000</v>
      </c>
      <c r="H48" s="345">
        <v>265200</v>
      </c>
      <c r="I48" s="345">
        <v>590300</v>
      </c>
      <c r="J48" s="345">
        <v>-217700</v>
      </c>
      <c r="K48" s="345">
        <v>4100000</v>
      </c>
      <c r="M48" s="2" t="s">
        <v>64</v>
      </c>
      <c r="N48" s="3" t="s">
        <v>1483</v>
      </c>
      <c r="P48" s="2" t="s">
        <v>64</v>
      </c>
      <c r="Q48" s="3" t="s">
        <v>1497</v>
      </c>
      <c r="R48" s="250"/>
    </row>
    <row r="49" spans="2:18" s="322" customFormat="1" ht="12.75" customHeight="1" x14ac:dyDescent="0.45">
      <c r="B49" s="370"/>
      <c r="C49" s="299" t="s">
        <v>1456</v>
      </c>
      <c r="D49" s="183" t="s">
        <v>1468</v>
      </c>
      <c r="E49" s="183" t="s">
        <v>658</v>
      </c>
      <c r="F49" s="183" t="s">
        <v>1449</v>
      </c>
      <c r="G49" s="345">
        <v>3766000000</v>
      </c>
      <c r="H49" s="345">
        <v>12810000</v>
      </c>
      <c r="I49" s="345">
        <v>18020000</v>
      </c>
      <c r="J49" s="345">
        <v>-206400</v>
      </c>
      <c r="K49" s="345">
        <v>115900000</v>
      </c>
      <c r="M49" s="2" t="s">
        <v>66</v>
      </c>
      <c r="N49" s="3">
        <v>5.1090000000000003E-2</v>
      </c>
      <c r="P49" s="2" t="s">
        <v>66</v>
      </c>
      <c r="Q49" s="3">
        <v>9.6600000000000005E-2</v>
      </c>
      <c r="R49" s="250"/>
    </row>
    <row r="50" spans="2:18" s="322" customFormat="1" ht="12.75" customHeight="1" x14ac:dyDescent="0.45">
      <c r="B50" s="370" t="s">
        <v>1532</v>
      </c>
      <c r="C50" s="299" t="s">
        <v>1457</v>
      </c>
      <c r="D50" s="183" t="s">
        <v>1469</v>
      </c>
      <c r="E50" s="183" t="s">
        <v>654</v>
      </c>
      <c r="F50" s="183" t="s">
        <v>1449</v>
      </c>
      <c r="G50" s="345">
        <v>1654000000</v>
      </c>
      <c r="H50" s="345">
        <v>5624000</v>
      </c>
      <c r="I50" s="345">
        <v>11820000</v>
      </c>
      <c r="J50" s="345">
        <v>-179500</v>
      </c>
      <c r="K50" s="345">
        <v>76170000</v>
      </c>
      <c r="L50" s="344"/>
      <c r="M50" s="2"/>
      <c r="N50" s="3"/>
      <c r="P50" s="2"/>
      <c r="Q50" s="3"/>
      <c r="R50" s="250"/>
    </row>
    <row r="51" spans="2:18" s="322" customFormat="1" ht="12.75" customHeight="1" x14ac:dyDescent="0.45">
      <c r="B51" s="370"/>
      <c r="C51" s="299" t="s">
        <v>1458</v>
      </c>
      <c r="D51" s="183" t="s">
        <v>1469</v>
      </c>
      <c r="E51" s="183" t="s">
        <v>655</v>
      </c>
      <c r="F51" s="183" t="s">
        <v>1449</v>
      </c>
      <c r="G51" s="345">
        <v>302600000</v>
      </c>
      <c r="H51" s="345">
        <v>1030000</v>
      </c>
      <c r="I51" s="345">
        <v>1815000</v>
      </c>
      <c r="J51" s="345">
        <v>-172200</v>
      </c>
      <c r="K51" s="345">
        <v>18590000</v>
      </c>
      <c r="L51" s="346"/>
      <c r="M51" s="2" t="s">
        <v>67</v>
      </c>
      <c r="N51" s="3"/>
      <c r="P51" s="2" t="s">
        <v>67</v>
      </c>
      <c r="Q51" s="3"/>
      <c r="R51" s="250"/>
    </row>
    <row r="52" spans="2:18" s="322" customFormat="1" ht="12.75" customHeight="1" x14ac:dyDescent="0.45">
      <c r="B52" s="370"/>
      <c r="C52" s="299" t="s">
        <v>1459</v>
      </c>
      <c r="D52" s="183" t="s">
        <v>1469</v>
      </c>
      <c r="E52" s="183" t="s">
        <v>656</v>
      </c>
      <c r="F52" s="183" t="s">
        <v>1449</v>
      </c>
      <c r="G52" s="345">
        <v>488600000</v>
      </c>
      <c r="H52" s="345">
        <v>1664000</v>
      </c>
      <c r="I52" s="345">
        <v>3193000</v>
      </c>
      <c r="J52" s="345">
        <v>-211700</v>
      </c>
      <c r="K52" s="345">
        <v>26900000</v>
      </c>
      <c r="L52" s="346"/>
      <c r="M52" s="2" t="s">
        <v>68</v>
      </c>
      <c r="N52" s="3" t="s">
        <v>1484</v>
      </c>
      <c r="P52" s="2" t="s">
        <v>68</v>
      </c>
      <c r="Q52" s="3" t="s">
        <v>1498</v>
      </c>
      <c r="R52" s="250"/>
    </row>
    <row r="53" spans="2:18" s="322" customFormat="1" ht="12.75" customHeight="1" x14ac:dyDescent="0.45">
      <c r="B53" s="370"/>
      <c r="C53" s="299" t="s">
        <v>1460</v>
      </c>
      <c r="D53" s="183" t="s">
        <v>1469</v>
      </c>
      <c r="E53" s="183" t="s">
        <v>657</v>
      </c>
      <c r="F53" s="183" t="s">
        <v>1449</v>
      </c>
      <c r="G53" s="345">
        <v>36940000</v>
      </c>
      <c r="H53" s="345">
        <v>125500</v>
      </c>
      <c r="I53" s="345">
        <v>285900</v>
      </c>
      <c r="J53" s="345">
        <v>-283700</v>
      </c>
      <c r="K53" s="345">
        <v>1935000</v>
      </c>
      <c r="L53" s="346"/>
      <c r="M53" s="2" t="s">
        <v>47</v>
      </c>
      <c r="N53" s="3">
        <v>0.1201</v>
      </c>
      <c r="P53" s="2" t="s">
        <v>47</v>
      </c>
      <c r="Q53" s="3">
        <v>0.19539999999999999</v>
      </c>
      <c r="R53" s="250"/>
    </row>
    <row r="54" spans="2:18" s="322" customFormat="1" ht="12.75" customHeight="1" x14ac:dyDescent="0.45">
      <c r="L54" s="346"/>
      <c r="M54" s="2" t="s">
        <v>49</v>
      </c>
      <c r="N54" s="3" t="s">
        <v>203</v>
      </c>
      <c r="P54" s="2" t="s">
        <v>49</v>
      </c>
      <c r="Q54" s="3" t="s">
        <v>203</v>
      </c>
      <c r="R54" s="250"/>
    </row>
    <row r="55" spans="2:18" s="322" customFormat="1" ht="12.75" customHeight="1" x14ac:dyDescent="0.45">
      <c r="L55" s="346"/>
      <c r="M55" s="2" t="s">
        <v>70</v>
      </c>
      <c r="N55" s="3" t="s">
        <v>204</v>
      </c>
      <c r="P55" s="2" t="s">
        <v>70</v>
      </c>
      <c r="Q55" s="3" t="s">
        <v>204</v>
      </c>
      <c r="R55" s="250"/>
    </row>
    <row r="56" spans="2:18" s="322" customFormat="1" ht="16" x14ac:dyDescent="0.25">
      <c r="L56" s="346"/>
    </row>
    <row r="57" spans="2:18" s="322" customFormat="1" ht="16" x14ac:dyDescent="0.25">
      <c r="L57" s="346"/>
    </row>
    <row r="58" spans="2:18" s="322" customFormat="1" ht="16" x14ac:dyDescent="0.25">
      <c r="L58" s="346"/>
    </row>
    <row r="59" spans="2:18" s="322" customFormat="1" ht="16" x14ac:dyDescent="0.25">
      <c r="L59" s="346"/>
    </row>
    <row r="60" spans="2:18" ht="17" x14ac:dyDescent="0.3">
      <c r="L60" s="296"/>
    </row>
    <row r="61" spans="2:18" ht="17" x14ac:dyDescent="0.3">
      <c r="L61" s="296"/>
    </row>
    <row r="62" spans="2:18" ht="17" x14ac:dyDescent="0.3">
      <c r="L62" s="296"/>
    </row>
    <row r="63" spans="2:18" ht="17" x14ac:dyDescent="0.3">
      <c r="L63" s="296"/>
    </row>
    <row r="64" spans="2:18" ht="17" x14ac:dyDescent="0.3">
      <c r="L64" s="296"/>
    </row>
    <row r="65" spans="12:12" ht="17" x14ac:dyDescent="0.3">
      <c r="L65" s="296"/>
    </row>
    <row r="66" spans="12:12" ht="17" x14ac:dyDescent="0.3">
      <c r="L66" s="296"/>
    </row>
    <row r="67" spans="12:12" ht="17" x14ac:dyDescent="0.3">
      <c r="L67" s="296"/>
    </row>
    <row r="68" spans="12:12" ht="17" x14ac:dyDescent="0.3">
      <c r="L68" s="296"/>
    </row>
    <row r="69" spans="12:12" ht="17" x14ac:dyDescent="0.3">
      <c r="L69" s="296"/>
    </row>
    <row r="70" spans="12:12" ht="17" x14ac:dyDescent="0.3">
      <c r="L70" s="296"/>
    </row>
    <row r="77" spans="12:12" ht="17" x14ac:dyDescent="0.3">
      <c r="L77" s="295"/>
    </row>
    <row r="78" spans="12:12" ht="17" x14ac:dyDescent="0.3">
      <c r="L78" s="297"/>
    </row>
    <row r="79" spans="12:12" ht="17" x14ac:dyDescent="0.3">
      <c r="L79" s="297"/>
    </row>
    <row r="80" spans="12:12" ht="17" x14ac:dyDescent="0.3">
      <c r="L80" s="297"/>
    </row>
    <row r="81" spans="12:12" ht="17" x14ac:dyDescent="0.3">
      <c r="L81" s="297"/>
    </row>
    <row r="82" spans="12:12" ht="17" x14ac:dyDescent="0.3">
      <c r="L82" s="297"/>
    </row>
    <row r="83" spans="12:12" ht="17" x14ac:dyDescent="0.3">
      <c r="L83" s="297"/>
    </row>
    <row r="84" spans="12:12" ht="17" x14ac:dyDescent="0.3">
      <c r="L84" s="297"/>
    </row>
    <row r="85" spans="12:12" ht="17" x14ac:dyDescent="0.3">
      <c r="L85" s="297"/>
    </row>
    <row r="86" spans="12:12" ht="17" x14ac:dyDescent="0.3">
      <c r="L86" s="297"/>
    </row>
    <row r="87" spans="12:12" ht="17" x14ac:dyDescent="0.3">
      <c r="L87" s="297"/>
    </row>
    <row r="88" spans="12:12" ht="17" x14ac:dyDescent="0.3">
      <c r="L88" s="297"/>
    </row>
    <row r="89" spans="12:12" ht="17" x14ac:dyDescent="0.3">
      <c r="L89" s="297"/>
    </row>
    <row r="90" spans="12:12" ht="17" x14ac:dyDescent="0.3">
      <c r="L90" s="297"/>
    </row>
    <row r="91" spans="12:12" ht="17" x14ac:dyDescent="0.3">
      <c r="L91" s="297"/>
    </row>
    <row r="92" spans="12:12" ht="17" x14ac:dyDescent="0.3">
      <c r="L92" s="297"/>
    </row>
    <row r="93" spans="12:12" ht="17" x14ac:dyDescent="0.3">
      <c r="L93" s="297"/>
    </row>
    <row r="94" spans="12:12" ht="17" x14ac:dyDescent="0.3">
      <c r="L94" s="297"/>
    </row>
    <row r="95" spans="12:12" ht="17" x14ac:dyDescent="0.3">
      <c r="L95" s="297"/>
    </row>
    <row r="96" spans="12:12" ht="17" x14ac:dyDescent="0.3">
      <c r="L96" s="297"/>
    </row>
    <row r="97" spans="12:12" ht="17" x14ac:dyDescent="0.3">
      <c r="L97" s="297"/>
    </row>
    <row r="100" spans="12:12" ht="17" x14ac:dyDescent="0.3">
      <c r="L100" s="295"/>
    </row>
    <row r="101" spans="12:12" ht="17" x14ac:dyDescent="0.3">
      <c r="L101" s="297"/>
    </row>
    <row r="102" spans="12:12" ht="17" x14ac:dyDescent="0.3">
      <c r="L102" s="297"/>
    </row>
    <row r="103" spans="12:12" ht="17" x14ac:dyDescent="0.3">
      <c r="L103" s="297"/>
    </row>
    <row r="104" spans="12:12" ht="17" x14ac:dyDescent="0.3">
      <c r="L104" s="297"/>
    </row>
    <row r="105" spans="12:12" ht="17" x14ac:dyDescent="0.3">
      <c r="L105" s="297"/>
    </row>
    <row r="106" spans="12:12" ht="17" x14ac:dyDescent="0.3">
      <c r="L106" s="297"/>
    </row>
    <row r="107" spans="12:12" ht="17" x14ac:dyDescent="0.3">
      <c r="L107" s="297"/>
    </row>
    <row r="108" spans="12:12" ht="17" x14ac:dyDescent="0.3">
      <c r="L108" s="297"/>
    </row>
    <row r="109" spans="12:12" ht="17" x14ac:dyDescent="0.3">
      <c r="L109" s="297"/>
    </row>
    <row r="110" spans="12:12" ht="17" x14ac:dyDescent="0.3">
      <c r="L110" s="297"/>
    </row>
    <row r="111" spans="12:12" ht="17" x14ac:dyDescent="0.3">
      <c r="L111" s="297"/>
    </row>
    <row r="112" spans="12:12" ht="17" x14ac:dyDescent="0.3">
      <c r="L112" s="297"/>
    </row>
    <row r="113" spans="12:12" ht="17" x14ac:dyDescent="0.3">
      <c r="L113" s="297"/>
    </row>
    <row r="114" spans="12:12" ht="17" x14ac:dyDescent="0.3">
      <c r="L114" s="297"/>
    </row>
    <row r="115" spans="12:12" ht="17" x14ac:dyDescent="0.3">
      <c r="L115" s="297"/>
    </row>
    <row r="116" spans="12:12" ht="17" x14ac:dyDescent="0.3">
      <c r="L116" s="297"/>
    </row>
    <row r="117" spans="12:12" ht="17" x14ac:dyDescent="0.3">
      <c r="L117" s="297"/>
    </row>
    <row r="118" spans="12:12" ht="17" x14ac:dyDescent="0.3">
      <c r="L118" s="297"/>
    </row>
    <row r="119" spans="12:12" ht="17" x14ac:dyDescent="0.3">
      <c r="L119" s="297"/>
    </row>
    <row r="120" spans="12:12" ht="17" x14ac:dyDescent="0.3">
      <c r="L120" s="297"/>
    </row>
    <row r="123" spans="12:12" ht="17" x14ac:dyDescent="0.3">
      <c r="L123" s="295"/>
    </row>
    <row r="124" spans="12:12" ht="17" x14ac:dyDescent="0.3">
      <c r="L124" s="297"/>
    </row>
    <row r="125" spans="12:12" ht="17" x14ac:dyDescent="0.3">
      <c r="L125" s="297"/>
    </row>
    <row r="126" spans="12:12" ht="17" x14ac:dyDescent="0.3">
      <c r="L126" s="297"/>
    </row>
    <row r="127" spans="12:12" ht="17" x14ac:dyDescent="0.3">
      <c r="L127" s="297"/>
    </row>
    <row r="128" spans="12:12" ht="17" x14ac:dyDescent="0.3">
      <c r="L128" s="297"/>
    </row>
    <row r="129" spans="12:12" ht="17" x14ac:dyDescent="0.3">
      <c r="L129" s="297"/>
    </row>
    <row r="130" spans="12:12" ht="17" x14ac:dyDescent="0.3">
      <c r="L130" s="297"/>
    </row>
    <row r="131" spans="12:12" ht="17" x14ac:dyDescent="0.3">
      <c r="L131" s="297"/>
    </row>
    <row r="132" spans="12:12" ht="17" x14ac:dyDescent="0.3">
      <c r="L132" s="297"/>
    </row>
    <row r="133" spans="12:12" ht="17" x14ac:dyDescent="0.3">
      <c r="L133" s="297"/>
    </row>
    <row r="134" spans="12:12" ht="17" x14ac:dyDescent="0.3">
      <c r="L134" s="297"/>
    </row>
    <row r="135" spans="12:12" ht="17" x14ac:dyDescent="0.3">
      <c r="L135" s="297"/>
    </row>
    <row r="136" spans="12:12" ht="17" x14ac:dyDescent="0.3">
      <c r="L136" s="297"/>
    </row>
    <row r="137" spans="12:12" ht="17" x14ac:dyDescent="0.3">
      <c r="L137" s="297"/>
    </row>
    <row r="138" spans="12:12" ht="17" x14ac:dyDescent="0.3">
      <c r="L138" s="297"/>
    </row>
    <row r="139" spans="12:12" ht="17" x14ac:dyDescent="0.3">
      <c r="L139" s="297"/>
    </row>
    <row r="140" spans="12:12" ht="17" x14ac:dyDescent="0.3">
      <c r="L140" s="297"/>
    </row>
    <row r="141" spans="12:12" ht="17" x14ac:dyDescent="0.3">
      <c r="L141" s="297"/>
    </row>
    <row r="142" spans="12:12" ht="17" x14ac:dyDescent="0.3">
      <c r="L142" s="297"/>
    </row>
    <row r="143" spans="12:12" ht="17" x14ac:dyDescent="0.3">
      <c r="L143" s="297"/>
    </row>
  </sheetData>
  <mergeCells count="8">
    <mergeCell ref="B50:B53"/>
    <mergeCell ref="B6:B10"/>
    <mergeCell ref="B11:B14"/>
    <mergeCell ref="B19:B23"/>
    <mergeCell ref="B24:B27"/>
    <mergeCell ref="B32:B36"/>
    <mergeCell ref="B37:B40"/>
    <mergeCell ref="B45:B49"/>
  </mergeCells>
  <phoneticPr fontId="3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34CD-3F14-4E64-B613-B5263C4C6ABB}">
  <dimension ref="B2:N24"/>
  <sheetViews>
    <sheetView workbookViewId="0">
      <selection activeCell="E30" sqref="E30"/>
    </sheetView>
  </sheetViews>
  <sheetFormatPr defaultColWidth="9" defaultRowHeight="14" x14ac:dyDescent="0.3"/>
  <cols>
    <col min="1" max="1" width="9" style="25"/>
    <col min="2" max="2" width="17.83203125" style="37" customWidth="1"/>
    <col min="3" max="3" width="6.33203125" style="35" customWidth="1"/>
    <col min="4" max="5" width="6.5" style="36" customWidth="1"/>
    <col min="6" max="6" width="6.75" style="36" bestFit="1" customWidth="1"/>
    <col min="7" max="7" width="6.08203125" style="25" bestFit="1" customWidth="1"/>
    <col min="8" max="8" width="6.75" style="25" customWidth="1"/>
    <col min="9" max="9" width="6.08203125" style="25" bestFit="1" customWidth="1"/>
    <col min="10" max="10" width="6.75" style="25" customWidth="1"/>
    <col min="11" max="11" width="6.08203125" style="25" bestFit="1" customWidth="1"/>
    <col min="12" max="12" width="6.75" style="25" customWidth="1"/>
    <col min="13" max="13" width="6.08203125" style="25" bestFit="1" customWidth="1"/>
    <col min="14" max="14" width="6.75" style="25" customWidth="1"/>
    <col min="15" max="16384" width="9" style="25"/>
  </cols>
  <sheetData>
    <row r="2" spans="2:14" s="95" customFormat="1" ht="13" x14ac:dyDescent="0.25">
      <c r="C2" s="100" t="s">
        <v>1304</v>
      </c>
      <c r="D2" s="101"/>
      <c r="E2" s="101"/>
    </row>
    <row r="3" spans="2:14" s="95" customFormat="1" ht="12.75" customHeight="1" x14ac:dyDescent="0.25">
      <c r="C3" s="100"/>
      <c r="D3" s="101"/>
      <c r="E3" s="101"/>
    </row>
    <row r="4" spans="2:14" s="95" customFormat="1" ht="12.75" customHeight="1" x14ac:dyDescent="0.25">
      <c r="B4" s="4"/>
      <c r="C4" s="263" t="s">
        <v>72</v>
      </c>
      <c r="D4" s="263" t="s">
        <v>172</v>
      </c>
      <c r="E4" s="358" t="s">
        <v>1323</v>
      </c>
      <c r="F4" s="359"/>
      <c r="G4" s="358" t="s">
        <v>1568</v>
      </c>
      <c r="H4" s="359"/>
      <c r="I4" s="358" t="s">
        <v>1569</v>
      </c>
      <c r="J4" s="359"/>
      <c r="K4" s="358" t="s">
        <v>1570</v>
      </c>
      <c r="L4" s="359"/>
      <c r="M4" s="358" t="s">
        <v>1571</v>
      </c>
      <c r="N4" s="359"/>
    </row>
    <row r="5" spans="2:14" s="95" customFormat="1" ht="12.75" customHeight="1" x14ac:dyDescent="0.25">
      <c r="B5" s="4"/>
      <c r="C5" s="263"/>
      <c r="D5" s="263"/>
      <c r="E5" s="263"/>
      <c r="F5" s="27"/>
      <c r="G5" s="263"/>
      <c r="H5" s="27"/>
      <c r="I5" s="263"/>
      <c r="J5" s="27"/>
      <c r="K5" s="263"/>
      <c r="L5" s="27"/>
      <c r="M5" s="263"/>
      <c r="N5" s="27"/>
    </row>
    <row r="6" spans="2:14" s="95" customFormat="1" ht="12.75" customHeight="1" x14ac:dyDescent="0.25">
      <c r="B6" s="370" t="s">
        <v>1565</v>
      </c>
      <c r="C6" s="58" t="s">
        <v>1558</v>
      </c>
      <c r="D6" s="92">
        <v>21.26</v>
      </c>
      <c r="E6" s="40">
        <v>20.47</v>
      </c>
      <c r="F6" s="47">
        <f>E6/D6*100</f>
        <v>96.284101599247393</v>
      </c>
      <c r="G6" s="40">
        <v>21.11</v>
      </c>
      <c r="H6" s="47">
        <f>G6/D6*100</f>
        <v>99.294449670743163</v>
      </c>
      <c r="I6" s="40">
        <v>22.09</v>
      </c>
      <c r="J6" s="47">
        <f>I6/D6*100</f>
        <v>103.90404515522107</v>
      </c>
      <c r="K6" s="40">
        <v>19.95</v>
      </c>
      <c r="L6" s="47">
        <f>K6/D6*100</f>
        <v>93.838193791157082</v>
      </c>
      <c r="M6" s="40">
        <v>18.22</v>
      </c>
      <c r="N6" s="47">
        <f>M6/D6*100</f>
        <v>85.700846660395086</v>
      </c>
    </row>
    <row r="7" spans="2:14" s="95" customFormat="1" ht="12.75" customHeight="1" x14ac:dyDescent="0.25">
      <c r="B7" s="370"/>
      <c r="C7" s="58" t="s">
        <v>732</v>
      </c>
      <c r="D7" s="92">
        <v>18.7</v>
      </c>
      <c r="E7" s="40">
        <v>18.53</v>
      </c>
      <c r="F7" s="47">
        <f t="shared" ref="F7:F19" si="0">E7/D7*100</f>
        <v>99.090909090909093</v>
      </c>
      <c r="G7" s="40">
        <v>18.87</v>
      </c>
      <c r="H7" s="47">
        <f t="shared" ref="H7:H19" si="1">G7/D7*100</f>
        <v>100.90909090909092</v>
      </c>
      <c r="I7" s="40">
        <v>19.62</v>
      </c>
      <c r="J7" s="47">
        <f t="shared" ref="J7:J19" si="2">I7/D7*100</f>
        <v>104.9197860962567</v>
      </c>
      <c r="K7" s="40">
        <v>19.36</v>
      </c>
      <c r="L7" s="47">
        <f t="shared" ref="L7:L19" si="3">K7/D7*100</f>
        <v>103.5294117647059</v>
      </c>
      <c r="M7" s="40">
        <v>20.8</v>
      </c>
      <c r="N7" s="47">
        <f t="shared" ref="N7:N19" si="4">M7/D7*100</f>
        <v>111.22994652406418</v>
      </c>
    </row>
    <row r="8" spans="2:14" s="95" customFormat="1" ht="12.75" customHeight="1" x14ac:dyDescent="0.25">
      <c r="B8" s="370"/>
      <c r="C8" s="58" t="s">
        <v>733</v>
      </c>
      <c r="D8" s="92">
        <v>19.739999999999998</v>
      </c>
      <c r="E8" s="40">
        <v>19.43</v>
      </c>
      <c r="F8" s="47">
        <f t="shared" si="0"/>
        <v>98.429584599797366</v>
      </c>
      <c r="G8" s="40">
        <v>19.739999999999998</v>
      </c>
      <c r="H8" s="47">
        <f t="shared" si="1"/>
        <v>100</v>
      </c>
      <c r="I8" s="40">
        <v>20.239999999999998</v>
      </c>
      <c r="J8" s="47">
        <f t="shared" si="2"/>
        <v>102.53292806484295</v>
      </c>
      <c r="K8" s="40">
        <v>19.82</v>
      </c>
      <c r="L8" s="47">
        <f t="shared" si="3"/>
        <v>100.40526849037488</v>
      </c>
      <c r="M8" s="40">
        <v>20.53</v>
      </c>
      <c r="N8" s="47">
        <f t="shared" si="4"/>
        <v>104.00202634245188</v>
      </c>
    </row>
    <row r="9" spans="2:14" s="95" customFormat="1" ht="12.75" customHeight="1" x14ac:dyDescent="0.25">
      <c r="B9" s="370"/>
      <c r="C9" s="58" t="s">
        <v>734</v>
      </c>
      <c r="D9" s="92">
        <v>19.399999999999999</v>
      </c>
      <c r="E9" s="40">
        <v>18.8</v>
      </c>
      <c r="F9" s="47">
        <f t="shared" si="0"/>
        <v>96.907216494845372</v>
      </c>
      <c r="G9" s="40">
        <v>19.43</v>
      </c>
      <c r="H9" s="47">
        <f t="shared" si="1"/>
        <v>100.15463917525773</v>
      </c>
      <c r="I9" s="40">
        <v>19.8</v>
      </c>
      <c r="J9" s="47">
        <f t="shared" si="2"/>
        <v>102.06185567010311</v>
      </c>
      <c r="K9" s="40">
        <v>19.55</v>
      </c>
      <c r="L9" s="47">
        <f t="shared" si="3"/>
        <v>100.77319587628868</v>
      </c>
      <c r="M9" s="40">
        <v>19.98</v>
      </c>
      <c r="N9" s="47">
        <f t="shared" si="4"/>
        <v>102.9896907216495</v>
      </c>
    </row>
    <row r="10" spans="2:14" s="95" customFormat="1" ht="12.75" customHeight="1" x14ac:dyDescent="0.25">
      <c r="B10" s="370"/>
      <c r="C10" s="58" t="s">
        <v>735</v>
      </c>
      <c r="D10" s="92">
        <v>19.59</v>
      </c>
      <c r="E10" s="40">
        <v>18.88</v>
      </c>
      <c r="F10" s="47">
        <f t="shared" si="0"/>
        <v>96.375701888718737</v>
      </c>
      <c r="G10" s="40">
        <v>19.77</v>
      </c>
      <c r="H10" s="47">
        <f t="shared" si="1"/>
        <v>100.91883614088822</v>
      </c>
      <c r="I10" s="40">
        <v>19.809999999999999</v>
      </c>
      <c r="J10" s="47">
        <f t="shared" si="2"/>
        <v>101.12302194997447</v>
      </c>
      <c r="K10" s="40">
        <v>18.989999999999998</v>
      </c>
      <c r="L10" s="47">
        <f t="shared" si="3"/>
        <v>96.937212863705966</v>
      </c>
      <c r="M10" s="40">
        <v>19.27</v>
      </c>
      <c r="N10" s="47">
        <f t="shared" si="4"/>
        <v>98.366513527309849</v>
      </c>
    </row>
    <row r="11" spans="2:14" s="95" customFormat="1" ht="12.75" customHeight="1" x14ac:dyDescent="0.25">
      <c r="B11" s="398" t="s">
        <v>1566</v>
      </c>
      <c r="C11" s="58" t="s">
        <v>1559</v>
      </c>
      <c r="D11" s="92">
        <v>20.2</v>
      </c>
      <c r="E11" s="40">
        <v>19.88</v>
      </c>
      <c r="F11" s="47">
        <f t="shared" si="0"/>
        <v>98.415841584158414</v>
      </c>
      <c r="G11" s="40">
        <v>19.510000000000002</v>
      </c>
      <c r="H11" s="47">
        <f t="shared" si="1"/>
        <v>96.584158415841586</v>
      </c>
      <c r="I11" s="40">
        <v>20.45</v>
      </c>
      <c r="J11" s="47">
        <f t="shared" si="2"/>
        <v>101.23762376237624</v>
      </c>
      <c r="K11" s="40">
        <v>20.23</v>
      </c>
      <c r="L11" s="47">
        <f t="shared" si="3"/>
        <v>100.14851485148515</v>
      </c>
      <c r="M11" s="40">
        <v>21.27</v>
      </c>
      <c r="N11" s="47">
        <f t="shared" si="4"/>
        <v>105.29702970297031</v>
      </c>
    </row>
    <row r="12" spans="2:14" s="95" customFormat="1" ht="12.75" customHeight="1" x14ac:dyDescent="0.25">
      <c r="B12" s="370"/>
      <c r="C12" s="58" t="s">
        <v>738</v>
      </c>
      <c r="D12" s="92">
        <v>20.75</v>
      </c>
      <c r="E12" s="40">
        <v>20.11</v>
      </c>
      <c r="F12" s="47">
        <f t="shared" si="0"/>
        <v>96.915662650602414</v>
      </c>
      <c r="G12" s="40">
        <v>20.81</v>
      </c>
      <c r="H12" s="47">
        <f t="shared" si="1"/>
        <v>100.28915662650601</v>
      </c>
      <c r="I12" s="40">
        <v>19.809999999999999</v>
      </c>
      <c r="J12" s="47">
        <f t="shared" si="2"/>
        <v>95.46987951807229</v>
      </c>
      <c r="K12" s="40">
        <v>18.78</v>
      </c>
      <c r="L12" s="47">
        <f t="shared" si="3"/>
        <v>90.506024096385545</v>
      </c>
      <c r="M12" s="40">
        <v>16.62</v>
      </c>
      <c r="N12" s="47">
        <f t="shared" si="4"/>
        <v>80.096385542168676</v>
      </c>
    </row>
    <row r="13" spans="2:14" s="95" customFormat="1" ht="12.75" customHeight="1" x14ac:dyDescent="0.25">
      <c r="B13" s="370"/>
      <c r="C13" s="58" t="s">
        <v>739</v>
      </c>
      <c r="D13" s="92">
        <v>20.79</v>
      </c>
      <c r="E13" s="40">
        <v>20.21</v>
      </c>
      <c r="F13" s="47">
        <f t="shared" si="0"/>
        <v>97.210197210197208</v>
      </c>
      <c r="G13" s="40">
        <v>20.66</v>
      </c>
      <c r="H13" s="47">
        <f t="shared" si="1"/>
        <v>99.374699374699389</v>
      </c>
      <c r="I13" s="40">
        <v>21.02</v>
      </c>
      <c r="J13" s="47">
        <f t="shared" si="2"/>
        <v>101.1063011063011</v>
      </c>
      <c r="K13" s="40">
        <v>20.23</v>
      </c>
      <c r="L13" s="47">
        <f t="shared" si="3"/>
        <v>97.306397306397301</v>
      </c>
      <c r="M13" s="40">
        <v>20.77</v>
      </c>
      <c r="N13" s="47">
        <f t="shared" si="4"/>
        <v>99.903799903799907</v>
      </c>
    </row>
    <row r="14" spans="2:14" s="95" customFormat="1" ht="12.75" customHeight="1" x14ac:dyDescent="0.25">
      <c r="B14" s="370"/>
      <c r="C14" s="58" t="s">
        <v>1560</v>
      </c>
      <c r="D14" s="92">
        <v>21.28</v>
      </c>
      <c r="E14" s="40">
        <v>20.170000000000002</v>
      </c>
      <c r="F14" s="47">
        <f t="shared" si="0"/>
        <v>94.78383458646617</v>
      </c>
      <c r="G14" s="40">
        <v>20.66</v>
      </c>
      <c r="H14" s="47">
        <f t="shared" si="1"/>
        <v>97.086466165413526</v>
      </c>
      <c r="I14" s="40">
        <v>21.19</v>
      </c>
      <c r="J14" s="47">
        <f t="shared" si="2"/>
        <v>99.577067669172934</v>
      </c>
      <c r="K14" s="40">
        <v>19</v>
      </c>
      <c r="L14" s="47">
        <f t="shared" si="3"/>
        <v>89.285714285714278</v>
      </c>
      <c r="M14" s="40">
        <v>17.45</v>
      </c>
      <c r="N14" s="47">
        <f t="shared" si="4"/>
        <v>82.001879699248121</v>
      </c>
    </row>
    <row r="15" spans="2:14" s="95" customFormat="1" ht="12.75" customHeight="1" x14ac:dyDescent="0.25">
      <c r="B15" s="398" t="s">
        <v>1567</v>
      </c>
      <c r="C15" s="58" t="s">
        <v>372</v>
      </c>
      <c r="D15" s="92">
        <v>26.87</v>
      </c>
      <c r="E15" s="40">
        <v>26.21</v>
      </c>
      <c r="F15" s="47">
        <f t="shared" si="0"/>
        <v>97.543729065872725</v>
      </c>
      <c r="G15" s="40">
        <v>26.13</v>
      </c>
      <c r="H15" s="47">
        <f t="shared" si="1"/>
        <v>97.245999255675457</v>
      </c>
      <c r="I15" s="40">
        <v>26.05</v>
      </c>
      <c r="J15" s="47">
        <f t="shared" si="2"/>
        <v>96.948269445478232</v>
      </c>
      <c r="K15" s="40">
        <v>25.49</v>
      </c>
      <c r="L15" s="47">
        <f t="shared" si="3"/>
        <v>94.864160774097499</v>
      </c>
      <c r="M15" s="40">
        <v>25.16</v>
      </c>
      <c r="N15" s="47">
        <f t="shared" si="4"/>
        <v>93.636025307033862</v>
      </c>
    </row>
    <row r="16" spans="2:14" s="95" customFormat="1" ht="12.75" customHeight="1" x14ac:dyDescent="0.25">
      <c r="B16" s="370"/>
      <c r="C16" s="58" t="s">
        <v>1561</v>
      </c>
      <c r="D16" s="92">
        <v>24.18</v>
      </c>
      <c r="E16" s="40">
        <v>23.48</v>
      </c>
      <c r="F16" s="47">
        <f t="shared" si="0"/>
        <v>97.105045492142267</v>
      </c>
      <c r="G16" s="40">
        <v>23.22</v>
      </c>
      <c r="H16" s="47">
        <f t="shared" si="1"/>
        <v>96.029776674937963</v>
      </c>
      <c r="I16" s="40">
        <v>23.67</v>
      </c>
      <c r="J16" s="47">
        <f t="shared" si="2"/>
        <v>97.890818858560806</v>
      </c>
      <c r="K16" s="40">
        <v>22.04</v>
      </c>
      <c r="L16" s="47">
        <f t="shared" si="3"/>
        <v>91.149710504549205</v>
      </c>
      <c r="M16" s="40">
        <v>22.14</v>
      </c>
      <c r="N16" s="47">
        <f t="shared" si="4"/>
        <v>91.563275434243181</v>
      </c>
    </row>
    <row r="17" spans="2:14" s="95" customFormat="1" ht="12.75" customHeight="1" x14ac:dyDescent="0.25">
      <c r="B17" s="370"/>
      <c r="C17" s="58" t="s">
        <v>1562</v>
      </c>
      <c r="D17" s="92">
        <v>24.96</v>
      </c>
      <c r="E17" s="40">
        <v>23.82</v>
      </c>
      <c r="F17" s="47">
        <f t="shared" si="0"/>
        <v>95.432692307692307</v>
      </c>
      <c r="G17" s="40">
        <v>23.96</v>
      </c>
      <c r="H17" s="47">
        <f t="shared" si="1"/>
        <v>95.993589743589752</v>
      </c>
      <c r="I17" s="40">
        <v>24.62</v>
      </c>
      <c r="J17" s="47">
        <f t="shared" si="2"/>
        <v>98.637820512820511</v>
      </c>
      <c r="K17" s="40">
        <v>24.12</v>
      </c>
      <c r="L17" s="47">
        <f t="shared" si="3"/>
        <v>96.634615384615387</v>
      </c>
      <c r="M17" s="40">
        <v>24.25</v>
      </c>
      <c r="N17" s="47">
        <f t="shared" si="4"/>
        <v>97.155448717948715</v>
      </c>
    </row>
    <row r="18" spans="2:14" s="95" customFormat="1" ht="12.75" customHeight="1" x14ac:dyDescent="0.25">
      <c r="B18" s="370"/>
      <c r="C18" s="58" t="s">
        <v>1563</v>
      </c>
      <c r="D18" s="92">
        <v>26.96</v>
      </c>
      <c r="E18" s="40">
        <v>26.33</v>
      </c>
      <c r="F18" s="47">
        <f t="shared" si="0"/>
        <v>97.663204747774472</v>
      </c>
      <c r="G18" s="40">
        <v>26.35</v>
      </c>
      <c r="H18" s="47">
        <f t="shared" si="1"/>
        <v>97.737388724035611</v>
      </c>
      <c r="I18" s="40">
        <v>26.57</v>
      </c>
      <c r="J18" s="47">
        <f t="shared" si="2"/>
        <v>98.553412462908014</v>
      </c>
      <c r="K18" s="40">
        <v>25.69</v>
      </c>
      <c r="L18" s="47">
        <f t="shared" si="3"/>
        <v>95.289317507418403</v>
      </c>
      <c r="M18" s="40">
        <v>26.62</v>
      </c>
      <c r="N18" s="47">
        <f t="shared" si="4"/>
        <v>98.738872403560833</v>
      </c>
    </row>
    <row r="19" spans="2:14" s="95" customFormat="1" ht="12.75" customHeight="1" x14ac:dyDescent="0.25">
      <c r="B19" s="370"/>
      <c r="C19" s="58" t="s">
        <v>1564</v>
      </c>
      <c r="D19" s="92">
        <v>23.12</v>
      </c>
      <c r="E19" s="40">
        <v>22.2</v>
      </c>
      <c r="F19" s="47">
        <f t="shared" si="0"/>
        <v>96.020761245674734</v>
      </c>
      <c r="G19" s="40">
        <v>22.08</v>
      </c>
      <c r="H19" s="47">
        <f t="shared" si="1"/>
        <v>95.50173010380621</v>
      </c>
      <c r="I19" s="40">
        <v>22.32</v>
      </c>
      <c r="J19" s="47">
        <f t="shared" si="2"/>
        <v>96.539792387543258</v>
      </c>
      <c r="K19" s="40">
        <v>22.45</v>
      </c>
      <c r="L19" s="47">
        <f t="shared" si="3"/>
        <v>97.102076124567475</v>
      </c>
      <c r="M19" s="40">
        <v>22.45</v>
      </c>
      <c r="N19" s="47">
        <f t="shared" si="4"/>
        <v>97.102076124567475</v>
      </c>
    </row>
    <row r="20" spans="2:14" s="95" customFormat="1" ht="12.75" customHeight="1" x14ac:dyDescent="0.3">
      <c r="B20" s="5"/>
      <c r="C20" s="264"/>
      <c r="D20" s="265" t="s">
        <v>13</v>
      </c>
      <c r="E20" s="264"/>
      <c r="F20" s="264"/>
    </row>
    <row r="21" spans="2:14" s="95" customFormat="1" ht="13" x14ac:dyDescent="0.3">
      <c r="B21" s="5"/>
      <c r="C21" s="264"/>
      <c r="D21" s="266" t="s">
        <v>107</v>
      </c>
      <c r="E21" s="264"/>
      <c r="F21" s="264"/>
    </row>
    <row r="22" spans="2:14" s="95" customFormat="1" ht="12.5" x14ac:dyDescent="0.25">
      <c r="B22" s="5"/>
      <c r="C22" s="96"/>
      <c r="D22" s="98"/>
      <c r="E22" s="98"/>
      <c r="F22" s="98"/>
    </row>
    <row r="23" spans="2:14" s="95" customFormat="1" ht="12.5" x14ac:dyDescent="0.25">
      <c r="B23" s="5"/>
      <c r="C23" s="96"/>
      <c r="D23" s="98"/>
      <c r="E23" s="98"/>
      <c r="F23" s="98"/>
    </row>
    <row r="24" spans="2:14" s="95" customFormat="1" ht="12.5" x14ac:dyDescent="0.25">
      <c r="B24" s="5"/>
      <c r="C24" s="96"/>
      <c r="D24" s="98"/>
      <c r="E24" s="98"/>
      <c r="F24" s="98"/>
    </row>
  </sheetData>
  <mergeCells count="8">
    <mergeCell ref="B15:B19"/>
    <mergeCell ref="E4:F4"/>
    <mergeCell ref="G4:H4"/>
    <mergeCell ref="I4:J4"/>
    <mergeCell ref="K4:L4"/>
    <mergeCell ref="M4:N4"/>
    <mergeCell ref="B6:B10"/>
    <mergeCell ref="B11:B14"/>
  </mergeCells>
  <phoneticPr fontId="3" type="noConversion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FA11-EDE9-48E2-B41D-29C076228A39}">
  <dimension ref="B2:Q143"/>
  <sheetViews>
    <sheetView workbookViewId="0">
      <selection activeCell="N32" sqref="N32"/>
    </sheetView>
  </sheetViews>
  <sheetFormatPr defaultColWidth="8.58203125" defaultRowHeight="14" x14ac:dyDescent="0.3"/>
  <cols>
    <col min="1" max="1" width="8.58203125" style="73"/>
    <col min="2" max="2" width="18.08203125" style="73" customWidth="1"/>
    <col min="3" max="3" width="7.08203125" style="73" customWidth="1"/>
    <col min="4" max="4" width="22.83203125" style="73" customWidth="1"/>
    <col min="5" max="5" width="6.25" style="73" bestFit="1" customWidth="1"/>
    <col min="6" max="6" width="12.33203125" style="73" customWidth="1"/>
    <col min="7" max="7" width="13.33203125" style="73" customWidth="1"/>
    <col min="8" max="8" width="23.5" style="73" customWidth="1"/>
    <col min="9" max="9" width="13.83203125" style="73" customWidth="1"/>
    <col min="10" max="10" width="13" style="73" customWidth="1"/>
    <col min="11" max="11" width="13.08203125" style="73" customWidth="1"/>
    <col min="12" max="12" width="9.33203125" style="73" customWidth="1"/>
    <col min="13" max="13" width="30.25" style="73" customWidth="1"/>
    <col min="14" max="14" width="34.08203125" style="73" customWidth="1"/>
    <col min="15" max="15" width="6.08203125" style="73" customWidth="1"/>
    <col min="16" max="16384" width="8.58203125" style="73"/>
  </cols>
  <sheetData>
    <row r="2" spans="2:17" s="322" customFormat="1" ht="12.75" customHeight="1" x14ac:dyDescent="0.25">
      <c r="B2" s="321" t="s">
        <v>1440</v>
      </c>
    </row>
    <row r="3" spans="2:17" s="322" customFormat="1" ht="12.75" customHeight="1" x14ac:dyDescent="0.25"/>
    <row r="4" spans="2:17" s="322" customFormat="1" ht="12.75" customHeight="1" x14ac:dyDescent="0.25">
      <c r="B4" s="322" t="s">
        <v>1576</v>
      </c>
      <c r="M4" s="325" t="s">
        <v>71</v>
      </c>
    </row>
    <row r="5" spans="2:17" s="322" customFormat="1" ht="12.75" customHeight="1" x14ac:dyDescent="0.45">
      <c r="B5" s="299"/>
      <c r="C5" s="299" t="s">
        <v>649</v>
      </c>
      <c r="D5" s="183" t="s">
        <v>1441</v>
      </c>
      <c r="E5" s="183" t="s">
        <v>651</v>
      </c>
      <c r="F5" s="183" t="s">
        <v>1442</v>
      </c>
      <c r="G5" s="183" t="s">
        <v>1443</v>
      </c>
      <c r="H5" s="183" t="s">
        <v>1444</v>
      </c>
      <c r="I5" s="183" t="s">
        <v>1445</v>
      </c>
      <c r="J5" s="183" t="s">
        <v>1446</v>
      </c>
      <c r="K5" s="183" t="s">
        <v>1447</v>
      </c>
      <c r="L5" s="344"/>
    </row>
    <row r="6" spans="2:17" s="322" customFormat="1" ht="12.75" customHeight="1" x14ac:dyDescent="0.45">
      <c r="B6" s="370" t="s">
        <v>1565</v>
      </c>
      <c r="C6" s="58" t="s">
        <v>1558</v>
      </c>
      <c r="D6" s="235" t="s">
        <v>1572</v>
      </c>
      <c r="E6" s="235" t="s">
        <v>654</v>
      </c>
      <c r="F6" s="235" t="s">
        <v>1449</v>
      </c>
      <c r="G6" s="347">
        <v>126700000</v>
      </c>
      <c r="H6" s="347">
        <v>387400</v>
      </c>
      <c r="I6" s="347">
        <v>785700</v>
      </c>
      <c r="J6" s="347">
        <v>-28720</v>
      </c>
      <c r="K6" s="347">
        <v>11930000</v>
      </c>
      <c r="L6" s="346"/>
      <c r="M6" s="2" t="s">
        <v>41</v>
      </c>
      <c r="N6" s="8" t="s">
        <v>1585</v>
      </c>
      <c r="O6" s="3"/>
      <c r="P6" s="3"/>
      <c r="Q6"/>
    </row>
    <row r="7" spans="2:17" s="322" customFormat="1" ht="12.75" customHeight="1" x14ac:dyDescent="0.45">
      <c r="B7" s="370"/>
      <c r="C7" s="58" t="s">
        <v>732</v>
      </c>
      <c r="D7" s="235" t="s">
        <v>1572</v>
      </c>
      <c r="E7" s="235" t="s">
        <v>655</v>
      </c>
      <c r="F7" s="235" t="s">
        <v>1449</v>
      </c>
      <c r="G7" s="347">
        <v>119800000</v>
      </c>
      <c r="H7" s="347">
        <v>366400</v>
      </c>
      <c r="I7" s="347">
        <v>622800</v>
      </c>
      <c r="J7" s="347">
        <v>-36010</v>
      </c>
      <c r="K7" s="347">
        <v>6871000</v>
      </c>
      <c r="L7" s="346"/>
      <c r="M7" s="2"/>
      <c r="N7" s="3"/>
      <c r="O7" s="3"/>
      <c r="P7" s="3"/>
      <c r="Q7"/>
    </row>
    <row r="8" spans="2:17" s="322" customFormat="1" ht="12.75" customHeight="1" x14ac:dyDescent="0.45">
      <c r="B8" s="370"/>
      <c r="C8" s="58" t="s">
        <v>733</v>
      </c>
      <c r="D8" s="235" t="s">
        <v>1572</v>
      </c>
      <c r="E8" s="235" t="s">
        <v>656</v>
      </c>
      <c r="F8" s="235" t="s">
        <v>1449</v>
      </c>
      <c r="G8" s="347">
        <v>8473000</v>
      </c>
      <c r="H8" s="347">
        <v>25950</v>
      </c>
      <c r="I8" s="347">
        <v>29770</v>
      </c>
      <c r="J8" s="347">
        <v>-32830</v>
      </c>
      <c r="K8" s="347">
        <v>149700</v>
      </c>
      <c r="L8" s="346"/>
      <c r="M8" s="2" t="s">
        <v>674</v>
      </c>
      <c r="N8" s="3"/>
      <c r="O8" s="3"/>
      <c r="P8" s="3"/>
      <c r="Q8"/>
    </row>
    <row r="9" spans="2:17" s="322" customFormat="1" ht="12.75" customHeight="1" x14ac:dyDescent="0.45">
      <c r="B9" s="370"/>
      <c r="C9" s="58" t="s">
        <v>734</v>
      </c>
      <c r="D9" s="235" t="s">
        <v>1572</v>
      </c>
      <c r="E9" s="235" t="s">
        <v>657</v>
      </c>
      <c r="F9" s="235" t="s">
        <v>1449</v>
      </c>
      <c r="G9" s="347">
        <v>30400000</v>
      </c>
      <c r="H9" s="347">
        <v>93080</v>
      </c>
      <c r="I9" s="347">
        <v>351400</v>
      </c>
      <c r="J9" s="347">
        <v>-34100</v>
      </c>
      <c r="K9" s="347">
        <v>5089000</v>
      </c>
      <c r="L9" s="346"/>
      <c r="M9" s="2" t="s">
        <v>47</v>
      </c>
      <c r="N9" s="3">
        <v>7.0499999999999993E-2</v>
      </c>
      <c r="O9" s="3"/>
      <c r="P9" s="3"/>
      <c r="Q9"/>
    </row>
    <row r="10" spans="2:17" s="322" customFormat="1" ht="12.75" customHeight="1" x14ac:dyDescent="0.45">
      <c r="B10" s="370"/>
      <c r="C10" s="58" t="s">
        <v>735</v>
      </c>
      <c r="D10" s="235" t="s">
        <v>1572</v>
      </c>
      <c r="E10" s="235" t="s">
        <v>658</v>
      </c>
      <c r="F10" s="235" t="s">
        <v>1449</v>
      </c>
      <c r="G10" s="347">
        <v>293100000</v>
      </c>
      <c r="H10" s="347">
        <v>897400</v>
      </c>
      <c r="I10" s="347">
        <v>1533000</v>
      </c>
      <c r="J10" s="347">
        <v>-29780</v>
      </c>
      <c r="K10" s="347">
        <v>12200000</v>
      </c>
      <c r="L10" s="346"/>
      <c r="M10" s="2" t="s">
        <v>675</v>
      </c>
      <c r="N10" s="3" t="s">
        <v>676</v>
      </c>
      <c r="O10" s="3"/>
      <c r="P10" s="3"/>
      <c r="Q10"/>
    </row>
    <row r="11" spans="2:17" s="322" customFormat="1" ht="12.75" customHeight="1" x14ac:dyDescent="0.45">
      <c r="B11" s="398" t="s">
        <v>1566</v>
      </c>
      <c r="C11" s="58" t="s">
        <v>1559</v>
      </c>
      <c r="D11" s="235" t="s">
        <v>1573</v>
      </c>
      <c r="E11" s="235" t="s">
        <v>654</v>
      </c>
      <c r="F11" s="235" t="s">
        <v>1449</v>
      </c>
      <c r="G11" s="347">
        <v>99550000</v>
      </c>
      <c r="H11" s="347">
        <v>305100</v>
      </c>
      <c r="I11" s="347">
        <v>477200</v>
      </c>
      <c r="J11" s="347">
        <v>-17170</v>
      </c>
      <c r="K11" s="347">
        <v>2522000</v>
      </c>
      <c r="L11" s="346"/>
      <c r="M11" s="2" t="s">
        <v>49</v>
      </c>
      <c r="N11" s="3" t="s">
        <v>203</v>
      </c>
      <c r="O11" s="3"/>
      <c r="P11" s="3"/>
      <c r="Q11"/>
    </row>
    <row r="12" spans="2:17" s="322" customFormat="1" ht="12.75" customHeight="1" x14ac:dyDescent="0.45">
      <c r="B12" s="370"/>
      <c r="C12" s="58" t="s">
        <v>738</v>
      </c>
      <c r="D12" s="235" t="s">
        <v>1573</v>
      </c>
      <c r="E12" s="235" t="s">
        <v>655</v>
      </c>
      <c r="F12" s="235" t="s">
        <v>1449</v>
      </c>
      <c r="G12" s="347">
        <v>2211000</v>
      </c>
      <c r="H12" s="347">
        <v>6759</v>
      </c>
      <c r="I12" s="347">
        <v>12680</v>
      </c>
      <c r="J12" s="347">
        <v>-17790</v>
      </c>
      <c r="K12" s="347">
        <v>80450</v>
      </c>
      <c r="L12" s="346"/>
      <c r="M12" s="2" t="s">
        <v>677</v>
      </c>
      <c r="N12" s="3" t="s">
        <v>204</v>
      </c>
      <c r="O12" s="3"/>
      <c r="P12" s="3"/>
      <c r="Q12"/>
    </row>
    <row r="13" spans="2:17" s="322" customFormat="1" ht="12.75" customHeight="1" x14ac:dyDescent="0.45">
      <c r="B13" s="370"/>
      <c r="C13" s="58" t="s">
        <v>739</v>
      </c>
      <c r="D13" s="235" t="s">
        <v>1573</v>
      </c>
      <c r="E13" s="235" t="s">
        <v>656</v>
      </c>
      <c r="F13" s="235" t="s">
        <v>1449</v>
      </c>
      <c r="G13" s="347">
        <v>13810000</v>
      </c>
      <c r="H13" s="347">
        <v>42210</v>
      </c>
      <c r="I13" s="347">
        <v>64290</v>
      </c>
      <c r="J13" s="347">
        <v>-18980</v>
      </c>
      <c r="K13" s="347">
        <v>388900</v>
      </c>
      <c r="L13" s="346"/>
      <c r="M13" s="2" t="s">
        <v>403</v>
      </c>
      <c r="N13" s="3">
        <v>4</v>
      </c>
      <c r="O13" s="3"/>
      <c r="P13" s="3"/>
      <c r="Q13"/>
    </row>
    <row r="14" spans="2:17" s="322" customFormat="1" ht="12.75" customHeight="1" x14ac:dyDescent="0.45">
      <c r="B14" s="370"/>
      <c r="C14" s="58" t="s">
        <v>1560</v>
      </c>
      <c r="D14" s="235" t="s">
        <v>1573</v>
      </c>
      <c r="E14" s="235" t="s">
        <v>657</v>
      </c>
      <c r="F14" s="235" t="s">
        <v>1449</v>
      </c>
      <c r="G14" s="347">
        <v>68320000</v>
      </c>
      <c r="H14" s="347">
        <v>209300</v>
      </c>
      <c r="I14" s="347">
        <v>498200</v>
      </c>
      <c r="J14" s="347">
        <v>-16420</v>
      </c>
      <c r="K14" s="347">
        <v>8653000</v>
      </c>
      <c r="L14" s="346"/>
      <c r="M14" s="2" t="s">
        <v>678</v>
      </c>
      <c r="N14" s="3">
        <v>7.0439999999999996</v>
      </c>
      <c r="O14" s="3"/>
      <c r="P14" s="3"/>
      <c r="Q14"/>
    </row>
    <row r="15" spans="2:17" s="322" customFormat="1" ht="12.75" customHeight="1" x14ac:dyDescent="0.45">
      <c r="B15" s="398" t="s">
        <v>1567</v>
      </c>
      <c r="C15" s="58" t="s">
        <v>372</v>
      </c>
      <c r="D15" s="235" t="s">
        <v>1574</v>
      </c>
      <c r="E15" s="235" t="s">
        <v>654</v>
      </c>
      <c r="F15" s="235" t="s">
        <v>1449</v>
      </c>
      <c r="G15" s="347">
        <v>14550000</v>
      </c>
      <c r="H15" s="347">
        <v>44500</v>
      </c>
      <c r="I15" s="347">
        <v>75990</v>
      </c>
      <c r="J15" s="347">
        <v>-34230</v>
      </c>
      <c r="K15" s="347">
        <v>455800</v>
      </c>
      <c r="L15" s="346"/>
      <c r="M15" s="2"/>
      <c r="N15" s="3"/>
      <c r="O15" s="3"/>
      <c r="P15" s="3"/>
      <c r="Q15"/>
    </row>
    <row r="16" spans="2:17" s="322" customFormat="1" ht="12.75" customHeight="1" x14ac:dyDescent="0.45">
      <c r="B16" s="370"/>
      <c r="C16" s="58" t="s">
        <v>1561</v>
      </c>
      <c r="D16" s="235" t="s">
        <v>1574</v>
      </c>
      <c r="E16" s="235" t="s">
        <v>655</v>
      </c>
      <c r="F16" s="235" t="s">
        <v>1449</v>
      </c>
      <c r="G16" s="347">
        <v>22260000</v>
      </c>
      <c r="H16" s="347">
        <v>68100</v>
      </c>
      <c r="I16" s="347">
        <v>114600</v>
      </c>
      <c r="J16" s="347">
        <v>-29210</v>
      </c>
      <c r="K16" s="347">
        <v>1127000</v>
      </c>
      <c r="L16" s="346"/>
      <c r="M16" s="2" t="s">
        <v>679</v>
      </c>
      <c r="N16" s="3" t="s">
        <v>680</v>
      </c>
      <c r="O16" s="3" t="s">
        <v>417</v>
      </c>
      <c r="P16" s="3" t="s">
        <v>418</v>
      </c>
      <c r="Q16"/>
    </row>
    <row r="17" spans="2:17" s="322" customFormat="1" ht="12.75" customHeight="1" x14ac:dyDescent="0.45">
      <c r="B17" s="370"/>
      <c r="C17" s="58" t="s">
        <v>1562</v>
      </c>
      <c r="D17" s="235" t="s">
        <v>1574</v>
      </c>
      <c r="E17" s="235" t="s">
        <v>656</v>
      </c>
      <c r="F17" s="235" t="s">
        <v>1449</v>
      </c>
      <c r="G17" s="347">
        <v>69730000</v>
      </c>
      <c r="H17" s="347">
        <v>213300</v>
      </c>
      <c r="I17" s="347">
        <v>764500</v>
      </c>
      <c r="J17" s="347">
        <v>-32550</v>
      </c>
      <c r="K17" s="347">
        <v>10910000</v>
      </c>
      <c r="L17" s="346"/>
      <c r="M17" s="7" t="s">
        <v>1583</v>
      </c>
      <c r="N17" s="8">
        <v>8.4</v>
      </c>
      <c r="O17" s="8" t="s">
        <v>52</v>
      </c>
      <c r="P17" s="8" t="s">
        <v>332</v>
      </c>
      <c r="Q17"/>
    </row>
    <row r="18" spans="2:17" s="322" customFormat="1" ht="12.75" customHeight="1" x14ac:dyDescent="0.45">
      <c r="B18" s="370"/>
      <c r="C18" s="58" t="s">
        <v>1563</v>
      </c>
      <c r="D18" s="235" t="s">
        <v>1574</v>
      </c>
      <c r="E18" s="235" t="s">
        <v>657</v>
      </c>
      <c r="F18" s="235" t="s">
        <v>1449</v>
      </c>
      <c r="G18" s="347">
        <v>66270000</v>
      </c>
      <c r="H18" s="347">
        <v>202600</v>
      </c>
      <c r="I18" s="347">
        <v>500500</v>
      </c>
      <c r="J18" s="347">
        <v>-35910</v>
      </c>
      <c r="K18" s="347">
        <v>7082000</v>
      </c>
      <c r="L18" s="346"/>
      <c r="M18" s="2" t="s">
        <v>1584</v>
      </c>
      <c r="N18" s="3">
        <v>3.05</v>
      </c>
      <c r="O18" s="3" t="s">
        <v>204</v>
      </c>
      <c r="P18" s="3" t="s">
        <v>203</v>
      </c>
      <c r="Q18"/>
    </row>
    <row r="19" spans="2:17" s="322" customFormat="1" ht="12.75" customHeight="1" x14ac:dyDescent="0.45">
      <c r="B19" s="370"/>
      <c r="C19" s="58" t="s">
        <v>1564</v>
      </c>
      <c r="D19" s="235" t="s">
        <v>1574</v>
      </c>
      <c r="E19" s="235" t="s">
        <v>658</v>
      </c>
      <c r="F19" s="235" t="s">
        <v>1449</v>
      </c>
      <c r="G19" s="347">
        <v>5781000</v>
      </c>
      <c r="H19" s="347">
        <v>17670</v>
      </c>
      <c r="I19" s="347">
        <v>39840</v>
      </c>
      <c r="J19" s="347">
        <v>-40300</v>
      </c>
      <c r="K19" s="347">
        <v>268800</v>
      </c>
      <c r="L19" s="346"/>
      <c r="Q19"/>
    </row>
    <row r="20" spans="2:17" s="322" customFormat="1" ht="12.75" customHeight="1" x14ac:dyDescent="0.45"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346"/>
      <c r="P20" s="250"/>
    </row>
    <row r="21" spans="2:17" s="322" customFormat="1" ht="12.75" customHeight="1" x14ac:dyDescent="0.45">
      <c r="B21" s="322" t="s">
        <v>1577</v>
      </c>
      <c r="L21" s="346"/>
      <c r="O21" s="250"/>
      <c r="P21" s="250"/>
    </row>
    <row r="22" spans="2:17" s="322" customFormat="1" ht="12.75" customHeight="1" x14ac:dyDescent="0.45">
      <c r="B22" s="299"/>
      <c r="C22" s="299" t="s">
        <v>649</v>
      </c>
      <c r="D22" s="183" t="s">
        <v>1441</v>
      </c>
      <c r="E22" s="183" t="s">
        <v>651</v>
      </c>
      <c r="F22" s="183" t="s">
        <v>1442</v>
      </c>
      <c r="G22" s="183" t="s">
        <v>1443</v>
      </c>
      <c r="H22" s="183" t="s">
        <v>1444</v>
      </c>
      <c r="I22" s="183" t="s">
        <v>1445</v>
      </c>
      <c r="J22" s="183" t="s">
        <v>1446</v>
      </c>
      <c r="K22" s="183" t="s">
        <v>1447</v>
      </c>
      <c r="L22" s="346"/>
      <c r="O22" s="250"/>
      <c r="P22" s="250"/>
    </row>
    <row r="23" spans="2:17" s="322" customFormat="1" ht="12.75" customHeight="1" x14ac:dyDescent="0.45">
      <c r="B23" s="370" t="s">
        <v>1565</v>
      </c>
      <c r="C23" s="58" t="s">
        <v>1558</v>
      </c>
      <c r="D23" s="235" t="s">
        <v>1575</v>
      </c>
      <c r="E23" s="235" t="s">
        <v>654</v>
      </c>
      <c r="F23" s="235" t="s">
        <v>1449</v>
      </c>
      <c r="G23" s="347">
        <v>11830000000</v>
      </c>
      <c r="H23" s="347">
        <v>36140000</v>
      </c>
      <c r="I23" s="347">
        <v>55830000</v>
      </c>
      <c r="J23" s="347">
        <v>-229900</v>
      </c>
      <c r="K23" s="347">
        <v>381100000</v>
      </c>
      <c r="L23" s="346"/>
      <c r="O23" s="250"/>
      <c r="P23" s="250"/>
    </row>
    <row r="24" spans="2:17" s="322" customFormat="1" ht="12.75" customHeight="1" x14ac:dyDescent="0.45">
      <c r="B24" s="370"/>
      <c r="C24" s="58" t="s">
        <v>732</v>
      </c>
      <c r="D24" s="235" t="s">
        <v>1575</v>
      </c>
      <c r="E24" s="235" t="s">
        <v>655</v>
      </c>
      <c r="F24" s="235" t="s">
        <v>1449</v>
      </c>
      <c r="G24" s="347">
        <v>29210000000</v>
      </c>
      <c r="H24" s="347">
        <v>89200000</v>
      </c>
      <c r="I24" s="347">
        <v>134400000</v>
      </c>
      <c r="J24" s="347">
        <v>-211600</v>
      </c>
      <c r="K24" s="347">
        <v>1044000000</v>
      </c>
      <c r="L24" s="346"/>
      <c r="O24" s="250"/>
      <c r="P24" s="250"/>
    </row>
    <row r="25" spans="2:17" s="322" customFormat="1" ht="12.75" customHeight="1" x14ac:dyDescent="0.45">
      <c r="B25" s="370"/>
      <c r="C25" s="58" t="s">
        <v>733</v>
      </c>
      <c r="D25" s="235" t="s">
        <v>1575</v>
      </c>
      <c r="E25" s="235" t="s">
        <v>656</v>
      </c>
      <c r="F25" s="235" t="s">
        <v>1449</v>
      </c>
      <c r="G25" s="347">
        <v>5107000000</v>
      </c>
      <c r="H25" s="347">
        <v>15630000</v>
      </c>
      <c r="I25" s="347">
        <v>25090000</v>
      </c>
      <c r="J25" s="347">
        <v>-233500</v>
      </c>
      <c r="K25" s="347">
        <v>160600000</v>
      </c>
      <c r="O25" s="250"/>
      <c r="P25" s="250"/>
    </row>
    <row r="26" spans="2:17" s="322" customFormat="1" ht="12.75" customHeight="1" x14ac:dyDescent="0.45">
      <c r="B26" s="370"/>
      <c r="C26" s="58" t="s">
        <v>734</v>
      </c>
      <c r="D26" s="235" t="s">
        <v>1575</v>
      </c>
      <c r="E26" s="235" t="s">
        <v>657</v>
      </c>
      <c r="F26" s="235" t="s">
        <v>1449</v>
      </c>
      <c r="G26" s="347">
        <v>2733000000</v>
      </c>
      <c r="H26" s="347">
        <v>8349000</v>
      </c>
      <c r="I26" s="347">
        <v>30110000</v>
      </c>
      <c r="J26" s="347">
        <v>-336400</v>
      </c>
      <c r="K26" s="347">
        <v>401300000</v>
      </c>
      <c r="M26" s="73"/>
      <c r="N26" s="73"/>
      <c r="O26" s="250"/>
      <c r="P26" s="250"/>
    </row>
    <row r="27" spans="2:17" s="322" customFormat="1" ht="12.75" customHeight="1" x14ac:dyDescent="0.45">
      <c r="B27" s="370"/>
      <c r="C27" s="58" t="s">
        <v>735</v>
      </c>
      <c r="D27" s="235" t="s">
        <v>1575</v>
      </c>
      <c r="E27" s="235" t="s">
        <v>658</v>
      </c>
      <c r="F27" s="235" t="s">
        <v>1449</v>
      </c>
      <c r="G27" s="347">
        <v>19400000000</v>
      </c>
      <c r="H27" s="347">
        <v>59360000</v>
      </c>
      <c r="I27" s="347">
        <v>104600000</v>
      </c>
      <c r="J27" s="347">
        <v>-194800</v>
      </c>
      <c r="K27" s="347">
        <v>808200000</v>
      </c>
      <c r="L27" s="344"/>
      <c r="M27" s="73"/>
      <c r="N27" s="73"/>
      <c r="O27" s="250"/>
      <c r="P27" s="250"/>
    </row>
    <row r="28" spans="2:17" s="322" customFormat="1" ht="12.75" customHeight="1" x14ac:dyDescent="0.45">
      <c r="B28" s="398" t="s">
        <v>1566</v>
      </c>
      <c r="C28" s="58" t="s">
        <v>1559</v>
      </c>
      <c r="D28" s="235" t="s">
        <v>1578</v>
      </c>
      <c r="E28" s="235" t="s">
        <v>654</v>
      </c>
      <c r="F28" s="235" t="s">
        <v>1449</v>
      </c>
      <c r="G28" s="347">
        <v>15740000000</v>
      </c>
      <c r="H28" s="347">
        <v>48200000</v>
      </c>
      <c r="I28" s="347">
        <v>73400000</v>
      </c>
      <c r="J28" s="347">
        <v>-328500</v>
      </c>
      <c r="K28" s="347">
        <v>470000000</v>
      </c>
      <c r="L28" s="346"/>
      <c r="M28" s="73"/>
      <c r="N28" s="73"/>
      <c r="O28" s="250"/>
      <c r="P28" s="250"/>
    </row>
    <row r="29" spans="2:17" s="322" customFormat="1" ht="12.75" customHeight="1" x14ac:dyDescent="0.45">
      <c r="B29" s="370"/>
      <c r="C29" s="58" t="s">
        <v>738</v>
      </c>
      <c r="D29" s="235" t="s">
        <v>1578</v>
      </c>
      <c r="E29" s="235" t="s">
        <v>655</v>
      </c>
      <c r="F29" s="235" t="s">
        <v>1449</v>
      </c>
      <c r="G29" s="347">
        <v>350100000</v>
      </c>
      <c r="H29" s="347">
        <v>1071000</v>
      </c>
      <c r="I29" s="347">
        <v>1859000</v>
      </c>
      <c r="J29" s="347">
        <v>-320000</v>
      </c>
      <c r="K29" s="347">
        <v>10710000</v>
      </c>
      <c r="L29" s="346"/>
      <c r="M29" s="73"/>
      <c r="N29" s="73"/>
      <c r="O29" s="250"/>
      <c r="P29" s="250"/>
    </row>
    <row r="30" spans="2:17" s="322" customFormat="1" ht="12.75" customHeight="1" x14ac:dyDescent="0.45">
      <c r="B30" s="370"/>
      <c r="C30" s="58" t="s">
        <v>739</v>
      </c>
      <c r="D30" s="235" t="s">
        <v>1578</v>
      </c>
      <c r="E30" s="235" t="s">
        <v>656</v>
      </c>
      <c r="F30" s="235" t="s">
        <v>1449</v>
      </c>
      <c r="G30" s="347">
        <v>739300000</v>
      </c>
      <c r="H30" s="347">
        <v>2262000</v>
      </c>
      <c r="I30" s="347">
        <v>3440000</v>
      </c>
      <c r="J30" s="347">
        <v>-342800</v>
      </c>
      <c r="K30" s="347">
        <v>20950000</v>
      </c>
      <c r="L30" s="346"/>
      <c r="M30" s="73"/>
      <c r="N30" s="73"/>
      <c r="O30" s="250"/>
    </row>
    <row r="31" spans="2:17" s="322" customFormat="1" ht="12.75" customHeight="1" x14ac:dyDescent="0.3">
      <c r="B31" s="370"/>
      <c r="C31" s="58" t="s">
        <v>1560</v>
      </c>
      <c r="D31" s="235" t="s">
        <v>1578</v>
      </c>
      <c r="E31" s="235" t="s">
        <v>657</v>
      </c>
      <c r="F31" s="235" t="s">
        <v>1449</v>
      </c>
      <c r="G31" s="347">
        <v>13630000000</v>
      </c>
      <c r="H31" s="347">
        <v>41670000</v>
      </c>
      <c r="I31" s="347">
        <v>97840000</v>
      </c>
      <c r="J31" s="347">
        <v>-250400</v>
      </c>
      <c r="K31" s="347">
        <v>829100000</v>
      </c>
      <c r="L31" s="346"/>
      <c r="M31" s="73"/>
      <c r="N31" s="73"/>
    </row>
    <row r="32" spans="2:17" s="322" customFormat="1" ht="12.75" customHeight="1" x14ac:dyDescent="0.45">
      <c r="B32" s="398" t="s">
        <v>1567</v>
      </c>
      <c r="C32" s="58" t="s">
        <v>372</v>
      </c>
      <c r="D32" s="235" t="s">
        <v>1579</v>
      </c>
      <c r="E32" s="235" t="s">
        <v>654</v>
      </c>
      <c r="F32" s="235" t="s">
        <v>1449</v>
      </c>
      <c r="G32" s="347">
        <v>851200000</v>
      </c>
      <c r="H32" s="347">
        <v>2606000</v>
      </c>
      <c r="I32" s="347">
        <v>5540000</v>
      </c>
      <c r="J32" s="347">
        <v>-355200</v>
      </c>
      <c r="K32" s="347">
        <v>48260000</v>
      </c>
      <c r="L32" s="346"/>
      <c r="M32" s="73"/>
      <c r="N32" s="73"/>
      <c r="P32" s="250"/>
    </row>
    <row r="33" spans="2:16" s="322" customFormat="1" ht="12.75" customHeight="1" x14ac:dyDescent="0.45">
      <c r="B33" s="370"/>
      <c r="C33" s="58" t="s">
        <v>1561</v>
      </c>
      <c r="D33" s="235" t="s">
        <v>1579</v>
      </c>
      <c r="E33" s="235" t="s">
        <v>655</v>
      </c>
      <c r="F33" s="235" t="s">
        <v>1449</v>
      </c>
      <c r="G33" s="347">
        <v>2215000000</v>
      </c>
      <c r="H33" s="347">
        <v>6784000</v>
      </c>
      <c r="I33" s="347">
        <v>15250000</v>
      </c>
      <c r="J33" s="347">
        <v>-242100</v>
      </c>
      <c r="K33" s="347">
        <v>130000000</v>
      </c>
      <c r="L33" s="346"/>
      <c r="M33" s="73"/>
      <c r="N33" s="73"/>
      <c r="P33" s="250"/>
    </row>
    <row r="34" spans="2:16" s="322" customFormat="1" ht="12.75" customHeight="1" x14ac:dyDescent="0.45">
      <c r="B34" s="370"/>
      <c r="C34" s="58" t="s">
        <v>1562</v>
      </c>
      <c r="D34" s="235" t="s">
        <v>1579</v>
      </c>
      <c r="E34" s="235" t="s">
        <v>656</v>
      </c>
      <c r="F34" s="235" t="s">
        <v>1449</v>
      </c>
      <c r="G34" s="347">
        <v>1382000000</v>
      </c>
      <c r="H34" s="347">
        <v>4225000</v>
      </c>
      <c r="I34" s="347">
        <v>9783000</v>
      </c>
      <c r="J34" s="347">
        <v>-303700</v>
      </c>
      <c r="K34" s="347">
        <v>119900000</v>
      </c>
      <c r="L34" s="346"/>
      <c r="M34" s="73"/>
      <c r="N34" s="73"/>
      <c r="P34" s="250"/>
    </row>
    <row r="35" spans="2:16" s="322" customFormat="1" ht="12.75" customHeight="1" x14ac:dyDescent="0.45">
      <c r="B35" s="370"/>
      <c r="C35" s="58" t="s">
        <v>1563</v>
      </c>
      <c r="D35" s="235" t="s">
        <v>1579</v>
      </c>
      <c r="E35" s="235" t="s">
        <v>657</v>
      </c>
      <c r="F35" s="235" t="s">
        <v>1449</v>
      </c>
      <c r="G35" s="347">
        <v>1983000000</v>
      </c>
      <c r="H35" s="347">
        <v>6062000</v>
      </c>
      <c r="I35" s="347">
        <v>16560000</v>
      </c>
      <c r="J35" s="347">
        <v>-286800</v>
      </c>
      <c r="K35" s="347">
        <v>229700000</v>
      </c>
      <c r="L35" s="346"/>
      <c r="M35" s="73"/>
      <c r="N35" s="73"/>
      <c r="P35" s="250"/>
    </row>
    <row r="36" spans="2:16" s="322" customFormat="1" ht="12.75" customHeight="1" x14ac:dyDescent="0.45">
      <c r="B36" s="370"/>
      <c r="C36" s="58" t="s">
        <v>1564</v>
      </c>
      <c r="D36" s="235" t="s">
        <v>1579</v>
      </c>
      <c r="E36" s="235" t="s">
        <v>658</v>
      </c>
      <c r="F36" s="235" t="s">
        <v>1449</v>
      </c>
      <c r="G36" s="347">
        <v>563300000</v>
      </c>
      <c r="H36" s="347">
        <v>1724000</v>
      </c>
      <c r="I36" s="347">
        <v>2493000</v>
      </c>
      <c r="J36" s="347">
        <v>-326500</v>
      </c>
      <c r="K36" s="347">
        <v>16740000</v>
      </c>
      <c r="L36" s="346"/>
      <c r="M36" s="73"/>
      <c r="N36" s="73"/>
      <c r="P36" s="250"/>
    </row>
    <row r="37" spans="2:16" s="322" customFormat="1" ht="12.75" customHeight="1" x14ac:dyDescent="0.45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346"/>
      <c r="M37" s="73"/>
      <c r="N37" s="73"/>
      <c r="P37" s="250"/>
    </row>
    <row r="38" spans="2:16" s="322" customFormat="1" ht="12.75" customHeight="1" x14ac:dyDescent="0.45">
      <c r="B38" s="322" t="s">
        <v>1461</v>
      </c>
      <c r="L38" s="346"/>
      <c r="M38" s="73"/>
      <c r="N38" s="73"/>
      <c r="P38" s="250"/>
    </row>
    <row r="39" spans="2:16" s="322" customFormat="1" ht="12.75" customHeight="1" x14ac:dyDescent="0.45">
      <c r="B39" s="299"/>
      <c r="C39" s="299" t="s">
        <v>649</v>
      </c>
      <c r="D39" s="183" t="s">
        <v>1441</v>
      </c>
      <c r="E39" s="183" t="s">
        <v>651</v>
      </c>
      <c r="F39" s="183" t="s">
        <v>1442</v>
      </c>
      <c r="G39" s="183" t="s">
        <v>1443</v>
      </c>
      <c r="H39" s="183" t="s">
        <v>1444</v>
      </c>
      <c r="I39" s="183" t="s">
        <v>1445</v>
      </c>
      <c r="J39" s="183" t="s">
        <v>1446</v>
      </c>
      <c r="K39" s="183" t="s">
        <v>1447</v>
      </c>
      <c r="L39" s="346"/>
      <c r="M39" s="73"/>
      <c r="N39" s="73"/>
      <c r="P39" s="250"/>
    </row>
    <row r="40" spans="2:16" s="322" customFormat="1" ht="12.75" customHeight="1" x14ac:dyDescent="0.45">
      <c r="B40" s="370" t="s">
        <v>1565</v>
      </c>
      <c r="C40" s="58" t="s">
        <v>1558</v>
      </c>
      <c r="D40" s="235" t="s">
        <v>1580</v>
      </c>
      <c r="E40" s="235" t="s">
        <v>654</v>
      </c>
      <c r="F40" s="235" t="s">
        <v>1449</v>
      </c>
      <c r="G40" s="347">
        <v>398800000000</v>
      </c>
      <c r="H40" s="347">
        <v>1219000000</v>
      </c>
      <c r="I40" s="347">
        <v>1925000000</v>
      </c>
      <c r="J40" s="347">
        <v>-9188000</v>
      </c>
      <c r="K40" s="347">
        <v>18250000000</v>
      </c>
      <c r="L40" s="346"/>
      <c r="M40" s="73"/>
      <c r="N40" s="73"/>
      <c r="P40" s="250"/>
    </row>
    <row r="41" spans="2:16" s="322" customFormat="1" ht="12.75" customHeight="1" x14ac:dyDescent="0.45">
      <c r="B41" s="370"/>
      <c r="C41" s="58" t="s">
        <v>732</v>
      </c>
      <c r="D41" s="235" t="s">
        <v>1580</v>
      </c>
      <c r="E41" s="235" t="s">
        <v>655</v>
      </c>
      <c r="F41" s="235" t="s">
        <v>1449</v>
      </c>
      <c r="G41" s="347">
        <v>306600000000</v>
      </c>
      <c r="H41" s="347">
        <v>937400000</v>
      </c>
      <c r="I41" s="347">
        <v>1026000000</v>
      </c>
      <c r="J41" s="347">
        <v>-7024000</v>
      </c>
      <c r="K41" s="347">
        <v>7407000000</v>
      </c>
      <c r="L41" s="346"/>
      <c r="M41" s="73"/>
      <c r="N41" s="73"/>
      <c r="P41" s="250"/>
    </row>
    <row r="42" spans="2:16" s="322" customFormat="1" ht="12.75" customHeight="1" x14ac:dyDescent="0.45">
      <c r="B42" s="370"/>
      <c r="C42" s="58" t="s">
        <v>733</v>
      </c>
      <c r="D42" s="235" t="s">
        <v>1580</v>
      </c>
      <c r="E42" s="235" t="s">
        <v>656</v>
      </c>
      <c r="F42" s="235" t="s">
        <v>1449</v>
      </c>
      <c r="G42" s="347">
        <v>51610000000</v>
      </c>
      <c r="H42" s="347">
        <v>157800000</v>
      </c>
      <c r="I42" s="347">
        <v>237200000</v>
      </c>
      <c r="J42" s="347">
        <v>-8487000</v>
      </c>
      <c r="K42" s="347">
        <v>1666000000</v>
      </c>
      <c r="L42" s="346"/>
      <c r="M42" s="73"/>
      <c r="N42" s="73"/>
      <c r="P42" s="250"/>
    </row>
    <row r="43" spans="2:16" s="322" customFormat="1" ht="12.75" customHeight="1" x14ac:dyDescent="0.45">
      <c r="B43" s="370"/>
      <c r="C43" s="58" t="s">
        <v>734</v>
      </c>
      <c r="D43" s="235" t="s">
        <v>1580</v>
      </c>
      <c r="E43" s="235" t="s">
        <v>657</v>
      </c>
      <c r="F43" s="235" t="s">
        <v>1449</v>
      </c>
      <c r="G43" s="347">
        <v>16130000000</v>
      </c>
      <c r="H43" s="347">
        <v>49310000</v>
      </c>
      <c r="I43" s="347">
        <v>100000000</v>
      </c>
      <c r="J43" s="347">
        <v>-8944000</v>
      </c>
      <c r="K43" s="347">
        <v>810200000</v>
      </c>
      <c r="L43" s="346"/>
      <c r="M43" s="73"/>
      <c r="N43" s="73"/>
      <c r="P43" s="250"/>
    </row>
    <row r="44" spans="2:16" s="322" customFormat="1" ht="12.75" customHeight="1" x14ac:dyDescent="0.45">
      <c r="B44" s="370"/>
      <c r="C44" s="348" t="s">
        <v>735</v>
      </c>
      <c r="D44" s="349" t="s">
        <v>1580</v>
      </c>
      <c r="E44" s="349" t="s">
        <v>658</v>
      </c>
      <c r="F44" s="349" t="s">
        <v>1449</v>
      </c>
      <c r="G44" s="350">
        <v>160000000</v>
      </c>
      <c r="H44" s="350">
        <v>489400</v>
      </c>
      <c r="I44" s="350">
        <v>2723000</v>
      </c>
      <c r="J44" s="350">
        <v>-10990000</v>
      </c>
      <c r="K44" s="350">
        <v>15140000</v>
      </c>
      <c r="L44" s="346"/>
      <c r="M44" s="73"/>
      <c r="N44" s="73"/>
      <c r="P44" s="250"/>
    </row>
    <row r="45" spans="2:16" s="322" customFormat="1" ht="12.75" customHeight="1" x14ac:dyDescent="0.45">
      <c r="B45" s="398" t="s">
        <v>1566</v>
      </c>
      <c r="C45" s="58" t="s">
        <v>1559</v>
      </c>
      <c r="D45" s="235" t="s">
        <v>1581</v>
      </c>
      <c r="E45" s="235" t="s">
        <v>654</v>
      </c>
      <c r="F45" s="235" t="s">
        <v>1449</v>
      </c>
      <c r="G45" s="347">
        <v>168100000000</v>
      </c>
      <c r="H45" s="347">
        <v>514000000</v>
      </c>
      <c r="I45" s="347">
        <v>577600000</v>
      </c>
      <c r="J45" s="347">
        <v>-456400</v>
      </c>
      <c r="K45" s="347">
        <v>2981000000</v>
      </c>
      <c r="L45" s="346"/>
      <c r="M45" s="73"/>
      <c r="N45" s="73"/>
      <c r="P45" s="250"/>
    </row>
    <row r="46" spans="2:16" s="322" customFormat="1" ht="12.75" customHeight="1" x14ac:dyDescent="0.45">
      <c r="B46" s="370"/>
      <c r="C46" s="58" t="s">
        <v>738</v>
      </c>
      <c r="D46" s="235" t="s">
        <v>1581</v>
      </c>
      <c r="E46" s="235" t="s">
        <v>655</v>
      </c>
      <c r="F46" s="235" t="s">
        <v>1449</v>
      </c>
      <c r="G46" s="347">
        <v>64160000000</v>
      </c>
      <c r="H46" s="347">
        <v>196300000</v>
      </c>
      <c r="I46" s="347">
        <v>292100000</v>
      </c>
      <c r="J46" s="347">
        <v>-301600</v>
      </c>
      <c r="K46" s="347">
        <v>2749000000</v>
      </c>
      <c r="L46" s="346"/>
      <c r="M46" s="73"/>
      <c r="N46" s="73"/>
      <c r="P46" s="250"/>
    </row>
    <row r="47" spans="2:16" s="322" customFormat="1" ht="12.75" customHeight="1" x14ac:dyDescent="0.45">
      <c r="B47" s="370"/>
      <c r="C47" s="58" t="s">
        <v>739</v>
      </c>
      <c r="D47" s="235" t="s">
        <v>1581</v>
      </c>
      <c r="E47" s="235" t="s">
        <v>656</v>
      </c>
      <c r="F47" s="235" t="s">
        <v>1449</v>
      </c>
      <c r="G47" s="347">
        <v>17400000000</v>
      </c>
      <c r="H47" s="347">
        <v>53210000</v>
      </c>
      <c r="I47" s="347">
        <v>57590000</v>
      </c>
      <c r="J47" s="347">
        <v>-348500</v>
      </c>
      <c r="K47" s="347">
        <v>321100000</v>
      </c>
      <c r="L47" s="346"/>
      <c r="M47" s="73"/>
      <c r="N47" s="73"/>
      <c r="P47" s="250"/>
    </row>
    <row r="48" spans="2:16" s="322" customFormat="1" ht="12.75" customHeight="1" x14ac:dyDescent="0.45">
      <c r="B48" s="370"/>
      <c r="C48" s="58" t="s">
        <v>1560</v>
      </c>
      <c r="D48" s="235" t="s">
        <v>1581</v>
      </c>
      <c r="E48" s="235" t="s">
        <v>657</v>
      </c>
      <c r="F48" s="235" t="s">
        <v>1449</v>
      </c>
      <c r="G48" s="347">
        <v>116500000000</v>
      </c>
      <c r="H48" s="347">
        <v>356600000</v>
      </c>
      <c r="I48" s="347">
        <v>493800000</v>
      </c>
      <c r="J48" s="347">
        <v>-363600</v>
      </c>
      <c r="K48" s="347">
        <v>2914000000</v>
      </c>
      <c r="M48" s="73"/>
      <c r="N48" s="73"/>
      <c r="P48" s="250"/>
    </row>
    <row r="49" spans="2:16" s="322" customFormat="1" ht="12.75" customHeight="1" x14ac:dyDescent="0.45">
      <c r="B49" s="398" t="s">
        <v>1567</v>
      </c>
      <c r="C49" s="58" t="s">
        <v>372</v>
      </c>
      <c r="D49" s="235" t="s">
        <v>1582</v>
      </c>
      <c r="E49" s="235" t="s">
        <v>654</v>
      </c>
      <c r="F49" s="235" t="s">
        <v>1449</v>
      </c>
      <c r="G49" s="347">
        <v>12700000000</v>
      </c>
      <c r="H49" s="347">
        <v>38790000</v>
      </c>
      <c r="I49" s="347">
        <v>35920000</v>
      </c>
      <c r="J49" s="347">
        <v>-99130</v>
      </c>
      <c r="K49" s="347">
        <v>279400000</v>
      </c>
      <c r="M49" s="73"/>
      <c r="N49" s="73"/>
      <c r="P49" s="250"/>
    </row>
    <row r="50" spans="2:16" s="322" customFormat="1" ht="12.75" customHeight="1" x14ac:dyDescent="0.45">
      <c r="B50" s="370"/>
      <c r="C50" s="58" t="s">
        <v>1561</v>
      </c>
      <c r="D50" s="235" t="s">
        <v>1582</v>
      </c>
      <c r="E50" s="235" t="s">
        <v>655</v>
      </c>
      <c r="F50" s="235" t="s">
        <v>1449</v>
      </c>
      <c r="G50" s="347">
        <v>28570000000</v>
      </c>
      <c r="H50" s="347">
        <v>87450000</v>
      </c>
      <c r="I50" s="347">
        <v>103800000</v>
      </c>
      <c r="J50" s="347">
        <v>132300</v>
      </c>
      <c r="K50" s="347">
        <v>689200000</v>
      </c>
      <c r="L50" s="344"/>
      <c r="M50" s="73"/>
      <c r="N50" s="73"/>
      <c r="P50" s="250"/>
    </row>
    <row r="51" spans="2:16" s="322" customFormat="1" ht="12.75" customHeight="1" x14ac:dyDescent="0.45">
      <c r="B51" s="370"/>
      <c r="C51" s="58" t="s">
        <v>1562</v>
      </c>
      <c r="D51" s="235" t="s">
        <v>1582</v>
      </c>
      <c r="E51" s="235" t="s">
        <v>656</v>
      </c>
      <c r="F51" s="235" t="s">
        <v>1449</v>
      </c>
      <c r="G51" s="347">
        <v>47900000000</v>
      </c>
      <c r="H51" s="347">
        <v>146400000</v>
      </c>
      <c r="I51" s="347">
        <v>193100000</v>
      </c>
      <c r="J51" s="347">
        <v>971700</v>
      </c>
      <c r="K51" s="347">
        <v>1572000000</v>
      </c>
      <c r="L51" s="346"/>
      <c r="M51" s="73"/>
      <c r="N51" s="73"/>
      <c r="P51" s="250"/>
    </row>
    <row r="52" spans="2:16" s="322" customFormat="1" ht="12.75" customHeight="1" x14ac:dyDescent="0.45">
      <c r="B52" s="370"/>
      <c r="C52" s="58" t="s">
        <v>1563</v>
      </c>
      <c r="D52" s="235" t="s">
        <v>1582</v>
      </c>
      <c r="E52" s="235" t="s">
        <v>657</v>
      </c>
      <c r="F52" s="235" t="s">
        <v>1449</v>
      </c>
      <c r="G52" s="347">
        <v>32590000000</v>
      </c>
      <c r="H52" s="347">
        <v>99680000</v>
      </c>
      <c r="I52" s="347">
        <v>184700000</v>
      </c>
      <c r="J52" s="347">
        <v>214300</v>
      </c>
      <c r="K52" s="347">
        <v>1305000000</v>
      </c>
      <c r="L52" s="346"/>
      <c r="M52" s="73"/>
      <c r="N52" s="73"/>
      <c r="P52" s="250"/>
    </row>
    <row r="53" spans="2:16" s="322" customFormat="1" ht="12.75" customHeight="1" x14ac:dyDescent="0.45">
      <c r="B53" s="370"/>
      <c r="C53" s="58" t="s">
        <v>1564</v>
      </c>
      <c r="D53" s="235" t="s">
        <v>1582</v>
      </c>
      <c r="E53" s="235" t="s">
        <v>658</v>
      </c>
      <c r="F53" s="235" t="s">
        <v>1449</v>
      </c>
      <c r="G53" s="347">
        <v>10150000000</v>
      </c>
      <c r="H53" s="347">
        <v>31000000</v>
      </c>
      <c r="I53" s="347">
        <v>38680000</v>
      </c>
      <c r="J53" s="347">
        <v>-200300</v>
      </c>
      <c r="K53" s="347">
        <v>264700000</v>
      </c>
      <c r="L53" s="346"/>
      <c r="M53" s="73"/>
      <c r="N53" s="73"/>
      <c r="P53" s="250"/>
    </row>
    <row r="54" spans="2:16" s="322" customFormat="1" ht="12.75" customHeight="1" x14ac:dyDescent="0.45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346"/>
      <c r="M54" s="73"/>
      <c r="N54" s="73"/>
      <c r="P54" s="250"/>
    </row>
    <row r="55" spans="2:16" s="322" customFormat="1" ht="12.75" customHeight="1" x14ac:dyDescent="0.45"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346"/>
      <c r="M55" s="73"/>
      <c r="N55" s="73"/>
      <c r="P55" s="250"/>
    </row>
    <row r="56" spans="2:16" s="322" customFormat="1" ht="12.75" customHeight="1" x14ac:dyDescent="0.3"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346"/>
      <c r="M56" s="73"/>
      <c r="N56" s="73"/>
    </row>
    <row r="57" spans="2:16" s="322" customFormat="1" ht="12.75" customHeight="1" x14ac:dyDescent="0.3"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346"/>
      <c r="M57" s="73"/>
      <c r="N57" s="73"/>
    </row>
    <row r="58" spans="2:16" s="322" customFormat="1" ht="12.75" customHeight="1" x14ac:dyDescent="0.3"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346"/>
      <c r="M58" s="73"/>
      <c r="N58" s="73"/>
    </row>
    <row r="59" spans="2:16" s="322" customFormat="1" ht="12.75" customHeight="1" x14ac:dyDescent="0.3"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346"/>
      <c r="M59" s="73"/>
      <c r="N59" s="73"/>
    </row>
    <row r="60" spans="2:16" ht="12.75" customHeight="1" x14ac:dyDescent="0.3">
      <c r="L60" s="296"/>
    </row>
    <row r="61" spans="2:16" ht="12.75" customHeight="1" x14ac:dyDescent="0.3">
      <c r="L61" s="296"/>
    </row>
    <row r="62" spans="2:16" ht="12.75" customHeight="1" x14ac:dyDescent="0.3">
      <c r="L62" s="296"/>
    </row>
    <row r="63" spans="2:16" ht="12.75" customHeight="1" x14ac:dyDescent="0.3">
      <c r="L63" s="296"/>
    </row>
    <row r="64" spans="2:16" ht="12.75" customHeight="1" x14ac:dyDescent="0.3">
      <c r="L64" s="296"/>
    </row>
    <row r="65" spans="12:12" ht="12.75" customHeight="1" x14ac:dyDescent="0.3">
      <c r="L65" s="296"/>
    </row>
    <row r="66" spans="12:12" ht="12.75" customHeight="1" x14ac:dyDescent="0.3">
      <c r="L66" s="296"/>
    </row>
    <row r="67" spans="12:12" ht="12.75" customHeight="1" x14ac:dyDescent="0.3">
      <c r="L67" s="296"/>
    </row>
    <row r="68" spans="12:12" ht="12.75" customHeight="1" x14ac:dyDescent="0.3">
      <c r="L68" s="296"/>
    </row>
    <row r="69" spans="12:12" ht="12.75" customHeight="1" x14ac:dyDescent="0.3">
      <c r="L69" s="296"/>
    </row>
    <row r="70" spans="12:12" ht="12.75" customHeight="1" x14ac:dyDescent="0.3">
      <c r="L70" s="296"/>
    </row>
    <row r="71" spans="12:12" ht="12.75" customHeight="1" x14ac:dyDescent="0.3"/>
    <row r="72" spans="12:12" ht="12.75" customHeight="1" x14ac:dyDescent="0.3"/>
    <row r="73" spans="12:12" ht="12.75" customHeight="1" x14ac:dyDescent="0.3"/>
    <row r="74" spans="12:12" ht="12.75" customHeight="1" x14ac:dyDescent="0.3"/>
    <row r="75" spans="12:12" ht="12.75" customHeight="1" x14ac:dyDescent="0.3"/>
    <row r="76" spans="12:12" ht="12.75" customHeight="1" x14ac:dyDescent="0.3"/>
    <row r="77" spans="12:12" ht="12.75" customHeight="1" x14ac:dyDescent="0.3">
      <c r="L77" s="295"/>
    </row>
    <row r="78" spans="12:12" ht="12.75" customHeight="1" x14ac:dyDescent="0.3">
      <c r="L78" s="297"/>
    </row>
    <row r="79" spans="12:12" ht="12.75" customHeight="1" x14ac:dyDescent="0.3">
      <c r="L79" s="297"/>
    </row>
    <row r="80" spans="12:12" ht="12.75" customHeight="1" x14ac:dyDescent="0.3">
      <c r="L80" s="297"/>
    </row>
    <row r="81" spans="12:12" ht="12.75" customHeight="1" x14ac:dyDescent="0.3">
      <c r="L81" s="297"/>
    </row>
    <row r="82" spans="12:12" ht="12.75" customHeight="1" x14ac:dyDescent="0.3">
      <c r="L82" s="297"/>
    </row>
    <row r="83" spans="12:12" ht="12.75" customHeight="1" x14ac:dyDescent="0.3">
      <c r="L83" s="297"/>
    </row>
    <row r="84" spans="12:12" ht="12.75" customHeight="1" x14ac:dyDescent="0.3">
      <c r="L84" s="297"/>
    </row>
    <row r="85" spans="12:12" ht="12.75" customHeight="1" x14ac:dyDescent="0.3">
      <c r="L85" s="297"/>
    </row>
    <row r="86" spans="12:12" ht="12.75" customHeight="1" x14ac:dyDescent="0.3">
      <c r="L86" s="297"/>
    </row>
    <row r="87" spans="12:12" ht="12.75" customHeight="1" x14ac:dyDescent="0.3">
      <c r="L87" s="297"/>
    </row>
    <row r="88" spans="12:12" ht="12.75" customHeight="1" x14ac:dyDescent="0.3">
      <c r="L88" s="297"/>
    </row>
    <row r="89" spans="12:12" ht="12.75" customHeight="1" x14ac:dyDescent="0.3">
      <c r="L89" s="297"/>
    </row>
    <row r="90" spans="12:12" ht="12.75" customHeight="1" x14ac:dyDescent="0.3">
      <c r="L90" s="297"/>
    </row>
    <row r="91" spans="12:12" ht="12.75" customHeight="1" x14ac:dyDescent="0.3">
      <c r="L91" s="297"/>
    </row>
    <row r="92" spans="12:12" ht="12.75" customHeight="1" x14ac:dyDescent="0.3">
      <c r="L92" s="297"/>
    </row>
    <row r="93" spans="12:12" ht="12.75" customHeight="1" x14ac:dyDescent="0.3">
      <c r="L93" s="297"/>
    </row>
    <row r="94" spans="12:12" ht="12.75" customHeight="1" x14ac:dyDescent="0.3">
      <c r="L94" s="297"/>
    </row>
    <row r="95" spans="12:12" ht="12.75" customHeight="1" x14ac:dyDescent="0.3">
      <c r="L95" s="297"/>
    </row>
    <row r="96" spans="12:12" ht="12.75" customHeight="1" x14ac:dyDescent="0.3">
      <c r="L96" s="297"/>
    </row>
    <row r="97" spans="12:12" ht="12.75" customHeight="1" x14ac:dyDescent="0.3">
      <c r="L97" s="297"/>
    </row>
    <row r="98" spans="12:12" ht="12.75" customHeight="1" x14ac:dyDescent="0.3"/>
    <row r="99" spans="12:12" ht="12.75" customHeight="1" x14ac:dyDescent="0.3"/>
    <row r="100" spans="12:12" ht="12.75" customHeight="1" x14ac:dyDescent="0.3">
      <c r="L100" s="295"/>
    </row>
    <row r="101" spans="12:12" ht="12.75" customHeight="1" x14ac:dyDescent="0.3">
      <c r="L101" s="297"/>
    </row>
    <row r="102" spans="12:12" ht="12.75" customHeight="1" x14ac:dyDescent="0.3">
      <c r="L102" s="297"/>
    </row>
    <row r="103" spans="12:12" ht="12.75" customHeight="1" x14ac:dyDescent="0.3">
      <c r="L103" s="297"/>
    </row>
    <row r="104" spans="12:12" ht="12.75" customHeight="1" x14ac:dyDescent="0.3">
      <c r="L104" s="297"/>
    </row>
    <row r="105" spans="12:12" ht="12.75" customHeight="1" x14ac:dyDescent="0.3">
      <c r="L105" s="297"/>
    </row>
    <row r="106" spans="12:12" ht="12.75" customHeight="1" x14ac:dyDescent="0.3">
      <c r="L106" s="297"/>
    </row>
    <row r="107" spans="12:12" ht="12.75" customHeight="1" x14ac:dyDescent="0.3">
      <c r="L107" s="297"/>
    </row>
    <row r="108" spans="12:12" ht="12.75" customHeight="1" x14ac:dyDescent="0.3">
      <c r="L108" s="297"/>
    </row>
    <row r="109" spans="12:12" ht="12.75" customHeight="1" x14ac:dyDescent="0.3">
      <c r="L109" s="297"/>
    </row>
    <row r="110" spans="12:12" ht="12.75" customHeight="1" x14ac:dyDescent="0.3">
      <c r="L110" s="297"/>
    </row>
    <row r="111" spans="12:12" ht="12.75" customHeight="1" x14ac:dyDescent="0.3">
      <c r="L111" s="297"/>
    </row>
    <row r="112" spans="12:12" ht="12.75" customHeight="1" x14ac:dyDescent="0.3">
      <c r="L112" s="297"/>
    </row>
    <row r="113" spans="12:12" ht="12.75" customHeight="1" x14ac:dyDescent="0.3">
      <c r="L113" s="297"/>
    </row>
    <row r="114" spans="12:12" ht="12.75" customHeight="1" x14ac:dyDescent="0.3">
      <c r="L114" s="297"/>
    </row>
    <row r="115" spans="12:12" ht="12.75" customHeight="1" x14ac:dyDescent="0.3">
      <c r="L115" s="297"/>
    </row>
    <row r="116" spans="12:12" ht="12.75" customHeight="1" x14ac:dyDescent="0.3">
      <c r="L116" s="297"/>
    </row>
    <row r="117" spans="12:12" ht="12.75" customHeight="1" x14ac:dyDescent="0.3">
      <c r="L117" s="297"/>
    </row>
    <row r="118" spans="12:12" ht="12.75" customHeight="1" x14ac:dyDescent="0.3">
      <c r="L118" s="297"/>
    </row>
    <row r="119" spans="12:12" ht="12.75" customHeight="1" x14ac:dyDescent="0.3">
      <c r="L119" s="297"/>
    </row>
    <row r="120" spans="12:12" ht="12.75" customHeight="1" x14ac:dyDescent="0.3">
      <c r="L120" s="297"/>
    </row>
    <row r="121" spans="12:12" ht="12.75" customHeight="1" x14ac:dyDescent="0.3"/>
    <row r="122" spans="12:12" ht="12.75" customHeight="1" x14ac:dyDescent="0.3"/>
    <row r="123" spans="12:12" ht="17" x14ac:dyDescent="0.3">
      <c r="L123" s="295"/>
    </row>
    <row r="124" spans="12:12" ht="17" x14ac:dyDescent="0.3">
      <c r="L124" s="297"/>
    </row>
    <row r="125" spans="12:12" ht="17" x14ac:dyDescent="0.3">
      <c r="L125" s="297"/>
    </row>
    <row r="126" spans="12:12" ht="17" x14ac:dyDescent="0.3">
      <c r="L126" s="297"/>
    </row>
    <row r="127" spans="12:12" ht="17" x14ac:dyDescent="0.3">
      <c r="L127" s="297"/>
    </row>
    <row r="128" spans="12:12" ht="17" x14ac:dyDescent="0.3">
      <c r="L128" s="297"/>
    </row>
    <row r="129" spans="12:12" ht="17" x14ac:dyDescent="0.3">
      <c r="L129" s="297"/>
    </row>
    <row r="130" spans="12:12" ht="17" x14ac:dyDescent="0.3">
      <c r="L130" s="297"/>
    </row>
    <row r="131" spans="12:12" ht="17" x14ac:dyDescent="0.3">
      <c r="L131" s="297"/>
    </row>
    <row r="132" spans="12:12" ht="17" x14ac:dyDescent="0.3">
      <c r="L132" s="297"/>
    </row>
    <row r="133" spans="12:12" ht="17" x14ac:dyDescent="0.3">
      <c r="L133" s="297"/>
    </row>
    <row r="134" spans="12:12" ht="17" x14ac:dyDescent="0.3">
      <c r="L134" s="297"/>
    </row>
    <row r="135" spans="12:12" ht="17" x14ac:dyDescent="0.3">
      <c r="L135" s="297"/>
    </row>
    <row r="136" spans="12:12" ht="17" x14ac:dyDescent="0.3">
      <c r="L136" s="297"/>
    </row>
    <row r="137" spans="12:12" ht="17" x14ac:dyDescent="0.3">
      <c r="L137" s="297"/>
    </row>
    <row r="138" spans="12:12" ht="17" x14ac:dyDescent="0.3">
      <c r="L138" s="297"/>
    </row>
    <row r="139" spans="12:12" ht="17" x14ac:dyDescent="0.3">
      <c r="L139" s="297"/>
    </row>
    <row r="140" spans="12:12" ht="17" x14ac:dyDescent="0.3">
      <c r="L140" s="297"/>
    </row>
    <row r="141" spans="12:12" ht="17" x14ac:dyDescent="0.3">
      <c r="L141" s="297"/>
    </row>
    <row r="142" spans="12:12" ht="17" x14ac:dyDescent="0.3">
      <c r="L142" s="297"/>
    </row>
    <row r="143" spans="12:12" ht="17" x14ac:dyDescent="0.3">
      <c r="L143" s="297"/>
    </row>
  </sheetData>
  <mergeCells count="9">
    <mergeCell ref="B45:B48"/>
    <mergeCell ref="B49:B53"/>
    <mergeCell ref="B6:B10"/>
    <mergeCell ref="B11:B14"/>
    <mergeCell ref="B15:B19"/>
    <mergeCell ref="B23:B27"/>
    <mergeCell ref="B28:B31"/>
    <mergeCell ref="B32:B36"/>
    <mergeCell ref="B40:B44"/>
  </mergeCells>
  <phoneticPr fontId="3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B102-0951-48E1-AD65-650A586F0495}">
  <dimension ref="B2:L57"/>
  <sheetViews>
    <sheetView zoomScale="90" zoomScaleNormal="90" workbookViewId="0">
      <selection activeCell="N27" sqref="N27"/>
    </sheetView>
  </sheetViews>
  <sheetFormatPr defaultColWidth="9" defaultRowHeight="14" x14ac:dyDescent="0.45"/>
  <cols>
    <col min="1" max="1" width="6.25" style="14" customWidth="1"/>
    <col min="2" max="2" width="11.5" style="14" bestFit="1" customWidth="1"/>
    <col min="3" max="3" width="11.25" style="14" bestFit="1" customWidth="1"/>
    <col min="4" max="4" width="10.83203125" style="14" customWidth="1"/>
    <col min="5" max="5" width="11.08203125" style="14" customWidth="1"/>
    <col min="6" max="6" width="9" style="14"/>
    <col min="7" max="7" width="10.33203125" style="14" customWidth="1"/>
    <col min="8" max="9" width="9.33203125" style="14" customWidth="1"/>
    <col min="10" max="10" width="10" style="14" customWidth="1"/>
    <col min="11" max="11" width="7" style="14" customWidth="1"/>
    <col min="12" max="16384" width="9" style="14"/>
  </cols>
  <sheetData>
    <row r="2" spans="2:12" x14ac:dyDescent="0.45">
      <c r="I2" s="13"/>
    </row>
    <row r="3" spans="2:12" s="101" customFormat="1" ht="13" x14ac:dyDescent="0.45">
      <c r="B3" s="24"/>
      <c r="C3" s="24" t="s">
        <v>1254</v>
      </c>
    </row>
    <row r="4" spans="2:12" s="101" customFormat="1" ht="12.5" x14ac:dyDescent="0.45"/>
    <row r="5" spans="2:12" s="102" customFormat="1" ht="13" x14ac:dyDescent="0.45">
      <c r="B5" s="13"/>
      <c r="C5" s="13"/>
      <c r="D5" s="13"/>
      <c r="E5" s="13"/>
      <c r="F5" s="13"/>
      <c r="G5" s="13"/>
      <c r="H5" s="13"/>
      <c r="I5" s="13"/>
      <c r="J5" s="13" t="s">
        <v>1414</v>
      </c>
    </row>
    <row r="6" spans="2:12" s="102" customFormat="1" ht="12.5" x14ac:dyDescent="0.45">
      <c r="B6" s="67"/>
      <c r="C6" s="58" t="s">
        <v>1066</v>
      </c>
      <c r="D6" s="58" t="s">
        <v>1067</v>
      </c>
      <c r="E6" s="58" t="s">
        <v>1068</v>
      </c>
      <c r="F6" s="58" t="s">
        <v>1069</v>
      </c>
      <c r="G6" s="58" t="s">
        <v>1070</v>
      </c>
      <c r="H6" s="58" t="s">
        <v>1071</v>
      </c>
      <c r="I6" s="58" t="s">
        <v>1072</v>
      </c>
      <c r="J6" s="58" t="s">
        <v>1073</v>
      </c>
    </row>
    <row r="7" spans="2:12" s="101" customFormat="1" ht="12.5" x14ac:dyDescent="0.45">
      <c r="B7" s="385" t="s">
        <v>1253</v>
      </c>
      <c r="C7" s="67">
        <v>2.2949999999999999</v>
      </c>
      <c r="D7" s="67">
        <v>2.2730000000000001</v>
      </c>
      <c r="E7" s="67">
        <v>2.371</v>
      </c>
      <c r="F7" s="67">
        <v>1.897</v>
      </c>
      <c r="G7" s="67">
        <v>0.40600000000000003</v>
      </c>
      <c r="H7" s="67">
        <v>8.5000000000000006E-2</v>
      </c>
      <c r="I7" s="67">
        <v>5.5E-2</v>
      </c>
      <c r="J7" s="67">
        <v>0.05</v>
      </c>
    </row>
    <row r="8" spans="2:12" s="101" customFormat="1" ht="12.5" x14ac:dyDescent="0.45">
      <c r="B8" s="387"/>
      <c r="C8" s="67">
        <v>2.3580000000000001</v>
      </c>
      <c r="D8" s="67">
        <v>2.3340000000000001</v>
      </c>
      <c r="E8" s="67">
        <v>2.1080000000000001</v>
      </c>
      <c r="F8" s="67">
        <v>1.8080000000000001</v>
      </c>
      <c r="G8" s="67">
        <v>0.39700000000000002</v>
      </c>
      <c r="H8" s="67">
        <v>8.4000000000000005E-2</v>
      </c>
      <c r="I8" s="67">
        <v>5.2999999999999999E-2</v>
      </c>
      <c r="J8" s="67">
        <v>5.1999999999999998E-2</v>
      </c>
    </row>
    <row r="9" spans="2:12" s="101" customFormat="1" ht="12.5" x14ac:dyDescent="0.25">
      <c r="B9" s="385" t="s">
        <v>1075</v>
      </c>
      <c r="C9" s="67">
        <v>9.2999999999999999E-2</v>
      </c>
      <c r="D9" s="67">
        <v>5.8999999999999997E-2</v>
      </c>
      <c r="E9" s="67">
        <v>5.2999999999999999E-2</v>
      </c>
      <c r="F9" s="67">
        <v>5.6000000000000001E-2</v>
      </c>
      <c r="G9" s="67">
        <v>6.8000000000000005E-2</v>
      </c>
      <c r="H9" s="67">
        <v>0.06</v>
      </c>
      <c r="I9" s="67">
        <v>5.2999999999999999E-2</v>
      </c>
      <c r="J9" s="67">
        <v>5.5E-2</v>
      </c>
      <c r="L9" s="95"/>
    </row>
    <row r="10" spans="2:12" s="101" customFormat="1" ht="12.5" x14ac:dyDescent="0.25">
      <c r="B10" s="387"/>
      <c r="C10" s="67">
        <v>8.3000000000000004E-2</v>
      </c>
      <c r="D10" s="67">
        <v>5.7000000000000002E-2</v>
      </c>
      <c r="E10" s="67">
        <v>5.0999999999999997E-2</v>
      </c>
      <c r="F10" s="67">
        <v>5.0999999999999997E-2</v>
      </c>
      <c r="G10" s="67">
        <v>5.5E-2</v>
      </c>
      <c r="H10" s="67">
        <v>0.05</v>
      </c>
      <c r="I10" s="67">
        <v>5.3999999999999999E-2</v>
      </c>
      <c r="J10" s="67">
        <v>6.0999999999999999E-2</v>
      </c>
      <c r="L10" s="95"/>
    </row>
    <row r="11" spans="2:12" s="101" customFormat="1" ht="12.5" x14ac:dyDescent="0.25">
      <c r="L11" s="95"/>
    </row>
    <row r="12" spans="2:12" s="101" customFormat="1" ht="12.5" x14ac:dyDescent="0.25">
      <c r="L12" s="95"/>
    </row>
    <row r="13" spans="2:12" s="101" customFormat="1" ht="12.5" x14ac:dyDescent="0.25">
      <c r="B13" s="259"/>
      <c r="E13" s="231"/>
      <c r="F13" s="231"/>
      <c r="H13" s="231"/>
      <c r="I13" s="231"/>
      <c r="L13" s="95"/>
    </row>
    <row r="14" spans="2:12" x14ac:dyDescent="0.3">
      <c r="B14" s="21"/>
      <c r="E14" s="22"/>
      <c r="F14" s="22"/>
      <c r="H14" s="22"/>
      <c r="I14" s="22"/>
      <c r="L14" s="25"/>
    </row>
    <row r="15" spans="2:12" x14ac:dyDescent="0.3">
      <c r="B15" s="21"/>
      <c r="E15" s="22"/>
      <c r="F15" s="22"/>
      <c r="H15" s="22"/>
      <c r="I15" s="22"/>
      <c r="L15" s="25"/>
    </row>
    <row r="16" spans="2:12" x14ac:dyDescent="0.3">
      <c r="B16" s="21"/>
      <c r="E16" s="22"/>
      <c r="F16" s="22"/>
      <c r="H16" s="22"/>
      <c r="I16" s="22"/>
      <c r="L16" s="25"/>
    </row>
    <row r="17" spans="2:12" x14ac:dyDescent="0.3">
      <c r="B17" s="21"/>
      <c r="E17" s="22"/>
      <c r="F17" s="22"/>
      <c r="H17" s="22"/>
      <c r="I17" s="22"/>
      <c r="L17" s="25"/>
    </row>
    <row r="18" spans="2:12" x14ac:dyDescent="0.3">
      <c r="B18" s="21"/>
      <c r="E18" s="22"/>
      <c r="F18" s="22"/>
      <c r="H18" s="22"/>
      <c r="I18" s="22"/>
      <c r="L18" s="25"/>
    </row>
    <row r="19" spans="2:12" x14ac:dyDescent="0.3">
      <c r="B19" s="21"/>
      <c r="E19" s="22"/>
      <c r="F19" s="22"/>
      <c r="H19" s="22"/>
      <c r="I19" s="22"/>
      <c r="L19" s="25"/>
    </row>
    <row r="20" spans="2:12" x14ac:dyDescent="0.3">
      <c r="B20" s="21"/>
      <c r="E20" s="22"/>
      <c r="F20" s="22"/>
      <c r="H20" s="22"/>
      <c r="I20" s="22"/>
      <c r="L20" s="25"/>
    </row>
    <row r="21" spans="2:12" x14ac:dyDescent="0.3">
      <c r="B21" s="21"/>
      <c r="E21" s="22"/>
      <c r="F21" s="22"/>
      <c r="H21" s="22"/>
      <c r="I21" s="22"/>
      <c r="L21" s="25"/>
    </row>
    <row r="22" spans="2:12" x14ac:dyDescent="0.3">
      <c r="B22" s="21"/>
      <c r="E22" s="22"/>
      <c r="F22" s="22"/>
      <c r="H22" s="22"/>
      <c r="I22" s="22"/>
      <c r="L22" s="25"/>
    </row>
    <row r="23" spans="2:12" x14ac:dyDescent="0.3">
      <c r="B23" s="21"/>
      <c r="E23" s="22"/>
      <c r="F23" s="22"/>
      <c r="H23" s="22"/>
      <c r="I23" s="22"/>
      <c r="L23" s="25"/>
    </row>
    <row r="24" spans="2:12" x14ac:dyDescent="0.3">
      <c r="B24" s="21"/>
      <c r="E24" s="22"/>
      <c r="F24" s="22"/>
      <c r="H24" s="22"/>
      <c r="I24" s="22"/>
      <c r="L24" s="25"/>
    </row>
    <row r="25" spans="2:12" x14ac:dyDescent="0.3">
      <c r="B25" s="21"/>
      <c r="L25" s="25"/>
    </row>
    <row r="26" spans="2:12" x14ac:dyDescent="0.3">
      <c r="E26" s="24"/>
      <c r="L26" s="25"/>
    </row>
    <row r="27" spans="2:12" x14ac:dyDescent="0.3">
      <c r="L27" s="25"/>
    </row>
    <row r="28" spans="2:12" x14ac:dyDescent="0.3">
      <c r="C28" s="78"/>
      <c r="D28" s="24"/>
      <c r="F28" s="78"/>
      <c r="G28" s="24"/>
      <c r="I28" s="78"/>
      <c r="J28" s="24"/>
      <c r="L28" s="25"/>
    </row>
    <row r="29" spans="2:12" x14ac:dyDescent="0.3">
      <c r="L29" s="25"/>
    </row>
    <row r="30" spans="2:12" x14ac:dyDescent="0.3">
      <c r="L30" s="25"/>
    </row>
    <row r="31" spans="2:12" x14ac:dyDescent="0.3">
      <c r="L31" s="25"/>
    </row>
    <row r="32" spans="2:12" x14ac:dyDescent="0.3">
      <c r="L32" s="25"/>
    </row>
    <row r="34" spans="8:12" x14ac:dyDescent="0.3">
      <c r="L34" s="25"/>
    </row>
    <row r="35" spans="8:12" x14ac:dyDescent="0.3">
      <c r="L35" s="25"/>
    </row>
    <row r="36" spans="8:12" x14ac:dyDescent="0.3">
      <c r="L36" s="25"/>
    </row>
    <row r="37" spans="8:12" x14ac:dyDescent="0.3">
      <c r="L37" s="25"/>
    </row>
    <row r="38" spans="8:12" x14ac:dyDescent="0.3">
      <c r="H38" s="78"/>
      <c r="L38" s="25"/>
    </row>
    <row r="39" spans="8:12" x14ac:dyDescent="0.3">
      <c r="L39" s="25"/>
    </row>
    <row r="40" spans="8:12" x14ac:dyDescent="0.3">
      <c r="L40" s="25"/>
    </row>
    <row r="41" spans="8:12" x14ac:dyDescent="0.3">
      <c r="L41" s="25"/>
    </row>
    <row r="42" spans="8:12" x14ac:dyDescent="0.3">
      <c r="L42" s="25"/>
    </row>
    <row r="43" spans="8:12" x14ac:dyDescent="0.3">
      <c r="L43" s="25"/>
    </row>
    <row r="44" spans="8:12" x14ac:dyDescent="0.3">
      <c r="L44" s="25"/>
    </row>
    <row r="45" spans="8:12" x14ac:dyDescent="0.3">
      <c r="L45" s="25"/>
    </row>
    <row r="46" spans="8:12" x14ac:dyDescent="0.3">
      <c r="L46" s="25"/>
    </row>
    <row r="47" spans="8:12" x14ac:dyDescent="0.3">
      <c r="L47" s="25"/>
    </row>
    <row r="48" spans="8:12" x14ac:dyDescent="0.3">
      <c r="L48" s="25"/>
    </row>
    <row r="49" spans="12:12" x14ac:dyDescent="0.3">
      <c r="L49" s="25"/>
    </row>
    <row r="50" spans="12:12" x14ac:dyDescent="0.3">
      <c r="L50" s="25"/>
    </row>
    <row r="51" spans="12:12" x14ac:dyDescent="0.3">
      <c r="L51" s="25"/>
    </row>
    <row r="52" spans="12:12" x14ac:dyDescent="0.3">
      <c r="L52" s="25"/>
    </row>
    <row r="53" spans="12:12" x14ac:dyDescent="0.3">
      <c r="L53" s="25"/>
    </row>
    <row r="54" spans="12:12" x14ac:dyDescent="0.3">
      <c r="L54" s="25"/>
    </row>
    <row r="55" spans="12:12" x14ac:dyDescent="0.3">
      <c r="L55" s="25"/>
    </row>
    <row r="56" spans="12:12" x14ac:dyDescent="0.3">
      <c r="L56" s="25"/>
    </row>
    <row r="57" spans="12:12" x14ac:dyDescent="0.3">
      <c r="L57" s="25"/>
    </row>
  </sheetData>
  <mergeCells count="2">
    <mergeCell ref="B7:B8"/>
    <mergeCell ref="B9:B10"/>
  </mergeCells>
  <phoneticPr fontId="3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DA11-B4FE-4408-85D3-42F1FA252002}">
  <dimension ref="B2:X124"/>
  <sheetViews>
    <sheetView zoomScale="90" zoomScaleNormal="90" workbookViewId="0">
      <selection activeCell="Q38" sqref="Q38"/>
    </sheetView>
  </sheetViews>
  <sheetFormatPr defaultColWidth="9" defaultRowHeight="14" x14ac:dyDescent="0.45"/>
  <cols>
    <col min="1" max="1" width="6.25" style="14" customWidth="1"/>
    <col min="2" max="2" width="6.58203125" style="14" customWidth="1"/>
    <col min="3" max="3" width="9" style="13"/>
    <col min="4" max="4" width="13.58203125" style="23" customWidth="1"/>
    <col min="5" max="5" width="8.83203125" style="14" customWidth="1"/>
    <col min="6" max="6" width="11.25" style="14" bestFit="1" customWidth="1"/>
    <col min="7" max="7" width="14.83203125" style="14" customWidth="1"/>
    <col min="8" max="8" width="24.08203125" style="14" customWidth="1"/>
    <col min="9" max="9" width="7.75" style="14" customWidth="1"/>
    <col min="10" max="10" width="15.5" style="14" customWidth="1"/>
    <col min="11" max="11" width="23.58203125" style="14" customWidth="1"/>
    <col min="12" max="12" width="7.58203125" style="14" customWidth="1"/>
    <col min="13" max="13" width="12" style="14" customWidth="1"/>
    <col min="14" max="14" width="23.33203125" style="14" customWidth="1"/>
    <col min="15" max="15" width="7.83203125" style="14" customWidth="1"/>
    <col min="16" max="16" width="3.25" style="14" customWidth="1"/>
    <col min="17" max="17" width="10.25" style="14" customWidth="1"/>
    <col min="18" max="18" width="7" style="14" customWidth="1"/>
    <col min="19" max="19" width="32.75" style="14" bestFit="1" customWidth="1"/>
    <col min="20" max="20" width="17.75" style="14" bestFit="1" customWidth="1"/>
    <col min="21" max="21" width="4.5" style="14" customWidth="1"/>
    <col min="22" max="22" width="32.75" style="14" bestFit="1" customWidth="1"/>
    <col min="23" max="23" width="17.25" style="14" bestFit="1" customWidth="1"/>
    <col min="24" max="16384" width="9" style="14"/>
  </cols>
  <sheetData>
    <row r="2" spans="2:24" x14ac:dyDescent="0.45">
      <c r="L2" s="13"/>
      <c r="O2" s="13"/>
    </row>
    <row r="3" spans="2:24" s="101" customFormat="1" ht="13" x14ac:dyDescent="0.45">
      <c r="C3" s="24" t="s">
        <v>1415</v>
      </c>
      <c r="E3" s="24"/>
      <c r="F3" s="24"/>
    </row>
    <row r="4" spans="2:24" s="101" customFormat="1" ht="13" x14ac:dyDescent="0.45">
      <c r="C4" s="13"/>
      <c r="D4" s="13"/>
    </row>
    <row r="5" spans="2:24" s="102" customFormat="1" ht="13" x14ac:dyDescent="0.45">
      <c r="C5" s="13"/>
      <c r="D5" s="13"/>
      <c r="E5" s="13" t="s">
        <v>765</v>
      </c>
      <c r="F5" s="13" t="s">
        <v>3</v>
      </c>
      <c r="G5" s="13" t="s">
        <v>766</v>
      </c>
      <c r="H5" s="13" t="s">
        <v>794</v>
      </c>
      <c r="I5" s="13" t="s">
        <v>5</v>
      </c>
      <c r="J5" s="13" t="s">
        <v>767</v>
      </c>
      <c r="K5" s="13" t="s">
        <v>795</v>
      </c>
      <c r="L5" s="13" t="s">
        <v>5</v>
      </c>
      <c r="M5" s="13" t="s">
        <v>768</v>
      </c>
      <c r="N5" s="13" t="s">
        <v>796</v>
      </c>
      <c r="O5" s="13" t="s">
        <v>5</v>
      </c>
    </row>
    <row r="6" spans="2:24" s="102" customFormat="1" ht="13" x14ac:dyDescent="0.45">
      <c r="B6" s="104"/>
      <c r="C6" s="19"/>
      <c r="D6" s="19"/>
      <c r="E6" s="19" t="s">
        <v>769</v>
      </c>
      <c r="F6" s="19"/>
      <c r="G6" s="19" t="s">
        <v>770</v>
      </c>
      <c r="H6" s="19" t="s">
        <v>797</v>
      </c>
      <c r="I6" s="104"/>
      <c r="J6" s="74" t="s">
        <v>771</v>
      </c>
      <c r="K6" s="19" t="s">
        <v>797</v>
      </c>
      <c r="L6" s="104"/>
      <c r="M6" s="75" t="s">
        <v>772</v>
      </c>
      <c r="N6" s="19" t="s">
        <v>797</v>
      </c>
      <c r="O6" s="104"/>
    </row>
    <row r="7" spans="2:24" s="101" customFormat="1" ht="16" x14ac:dyDescent="0.3">
      <c r="B7" s="373" t="s">
        <v>773</v>
      </c>
      <c r="C7" s="17"/>
      <c r="D7" s="236"/>
      <c r="E7" s="237" t="s">
        <v>774</v>
      </c>
      <c r="F7" s="238">
        <v>988</v>
      </c>
      <c r="G7" s="239">
        <v>21376</v>
      </c>
      <c r="H7" s="240">
        <f>10000*G7/F7</f>
        <v>216356.27530364372</v>
      </c>
      <c r="I7" s="241">
        <f>H7/216356*100</f>
        <v>100.00012724567088</v>
      </c>
      <c r="J7" s="238">
        <v>9875</v>
      </c>
      <c r="K7" s="241">
        <f t="shared" ref="K7:K24" si="0">10000*J7/F7</f>
        <v>99949.392712550602</v>
      </c>
      <c r="L7" s="240">
        <f>K7/99949*100</f>
        <v>100.00039291293621</v>
      </c>
      <c r="M7" s="239">
        <v>11430</v>
      </c>
      <c r="N7" s="240">
        <f t="shared" ref="N7:N24" si="1">10000*M7/F7</f>
        <v>115688.25910931174</v>
      </c>
      <c r="O7" s="242">
        <f>N7/115688*100</f>
        <v>100.00022397250514</v>
      </c>
      <c r="P7" s="243"/>
      <c r="Q7" s="243"/>
      <c r="S7" s="103" t="s">
        <v>71</v>
      </c>
    </row>
    <row r="8" spans="2:24" s="101" customFormat="1" ht="16" x14ac:dyDescent="0.45">
      <c r="B8" s="351"/>
      <c r="C8" s="68" t="s">
        <v>7</v>
      </c>
      <c r="D8" s="244" t="s">
        <v>706</v>
      </c>
      <c r="E8" s="245" t="s">
        <v>775</v>
      </c>
      <c r="F8" s="246">
        <v>997</v>
      </c>
      <c r="G8" s="243">
        <v>20928</v>
      </c>
      <c r="H8" s="247">
        <f t="shared" ref="H8:H24" si="2">10000*G8/F8</f>
        <v>209909.72918756268</v>
      </c>
      <c r="I8" s="248">
        <f t="shared" ref="I8:I12" si="3">H8/216356*100</f>
        <v>97.020525979202191</v>
      </c>
      <c r="J8" s="246">
        <v>9462</v>
      </c>
      <c r="K8" s="248">
        <f t="shared" si="0"/>
        <v>94904.714142427285</v>
      </c>
      <c r="L8" s="247">
        <f t="shared" ref="L8:L12" si="4">K8/99949*100</f>
        <v>94.953140243951708</v>
      </c>
      <c r="M8" s="243">
        <v>10801</v>
      </c>
      <c r="N8" s="247">
        <f t="shared" si="1"/>
        <v>108335.00501504514</v>
      </c>
      <c r="O8" s="249">
        <f t="shared" ref="O8:O12" si="5">N8/115688*100</f>
        <v>93.644116083816073</v>
      </c>
      <c r="P8" s="243"/>
      <c r="Q8" s="243"/>
    </row>
    <row r="9" spans="2:24" s="101" customFormat="1" ht="16" x14ac:dyDescent="0.45">
      <c r="B9" s="351"/>
      <c r="C9" s="68" t="s">
        <v>776</v>
      </c>
      <c r="D9" s="13" t="s">
        <v>1275</v>
      </c>
      <c r="E9" s="245" t="s">
        <v>777</v>
      </c>
      <c r="F9" s="246">
        <v>999</v>
      </c>
      <c r="G9" s="243">
        <v>21988</v>
      </c>
      <c r="H9" s="247">
        <f t="shared" si="2"/>
        <v>220100.1001001001</v>
      </c>
      <c r="I9" s="248">
        <f t="shared" si="3"/>
        <v>101.7305275102609</v>
      </c>
      <c r="J9" s="246">
        <v>10197</v>
      </c>
      <c r="K9" s="248">
        <f t="shared" si="0"/>
        <v>102072.07207207207</v>
      </c>
      <c r="L9" s="247">
        <f t="shared" si="4"/>
        <v>102.12415539132165</v>
      </c>
      <c r="M9" s="243">
        <v>9006</v>
      </c>
      <c r="N9" s="247">
        <f t="shared" si="1"/>
        <v>90150.150150150148</v>
      </c>
      <c r="O9" s="249">
        <f t="shared" si="5"/>
        <v>77.925238702501687</v>
      </c>
      <c r="P9" s="243"/>
      <c r="Q9" s="243"/>
      <c r="S9" s="2" t="s">
        <v>41</v>
      </c>
      <c r="T9" s="3" t="s">
        <v>42</v>
      </c>
      <c r="U9" s="250"/>
      <c r="V9" s="2" t="s">
        <v>41</v>
      </c>
      <c r="W9" s="3" t="s">
        <v>42</v>
      </c>
      <c r="X9" s="250"/>
    </row>
    <row r="10" spans="2:24" s="101" customFormat="1" ht="16" x14ac:dyDescent="0.45">
      <c r="B10" s="351"/>
      <c r="C10" s="371" t="s">
        <v>778</v>
      </c>
      <c r="D10" s="399" t="s">
        <v>786</v>
      </c>
      <c r="E10" s="245" t="s">
        <v>779</v>
      </c>
      <c r="F10" s="246">
        <v>996</v>
      </c>
      <c r="G10" s="243">
        <v>21502</v>
      </c>
      <c r="H10" s="247">
        <f t="shared" si="2"/>
        <v>215883.53413654619</v>
      </c>
      <c r="I10" s="248">
        <f t="shared" si="3"/>
        <v>99.781625717126488</v>
      </c>
      <c r="J10" s="246">
        <v>9747</v>
      </c>
      <c r="K10" s="248">
        <f t="shared" si="0"/>
        <v>97861.445783132527</v>
      </c>
      <c r="L10" s="247">
        <f t="shared" si="4"/>
        <v>97.911380587232017</v>
      </c>
      <c r="M10" s="243">
        <v>4886</v>
      </c>
      <c r="N10" s="247">
        <f t="shared" si="1"/>
        <v>49056.22489959839</v>
      </c>
      <c r="O10" s="249">
        <f t="shared" si="5"/>
        <v>42.403900922825521</v>
      </c>
      <c r="P10" s="243"/>
      <c r="Q10" s="90" t="s">
        <v>787</v>
      </c>
      <c r="S10" s="7" t="s">
        <v>155</v>
      </c>
      <c r="T10" s="8" t="s">
        <v>1272</v>
      </c>
      <c r="U10" s="250"/>
      <c r="V10" s="7" t="s">
        <v>830</v>
      </c>
      <c r="W10" s="8" t="s">
        <v>1293</v>
      </c>
      <c r="X10" s="250"/>
    </row>
    <row r="11" spans="2:24" s="101" customFormat="1" ht="16" x14ac:dyDescent="0.45">
      <c r="B11" s="351"/>
      <c r="C11" s="371"/>
      <c r="D11" s="399"/>
      <c r="E11" s="245" t="s">
        <v>780</v>
      </c>
      <c r="F11" s="246">
        <v>997</v>
      </c>
      <c r="G11" s="243">
        <v>21389</v>
      </c>
      <c r="H11" s="247">
        <f t="shared" si="2"/>
        <v>214533.60080240722</v>
      </c>
      <c r="I11" s="248">
        <f t="shared" si="3"/>
        <v>99.157684927807509</v>
      </c>
      <c r="J11" s="246">
        <v>9948</v>
      </c>
      <c r="K11" s="248">
        <f t="shared" si="0"/>
        <v>99779.338014042121</v>
      </c>
      <c r="L11" s="247">
        <f t="shared" si="4"/>
        <v>99.830251442277685</v>
      </c>
      <c r="M11" s="243">
        <v>1685</v>
      </c>
      <c r="N11" s="247">
        <f t="shared" si="1"/>
        <v>16900.702106318957</v>
      </c>
      <c r="O11" s="249">
        <f t="shared" si="5"/>
        <v>14.608863586818821</v>
      </c>
      <c r="P11" s="243"/>
      <c r="Q11" s="251" t="s">
        <v>790</v>
      </c>
      <c r="S11" s="7" t="s">
        <v>44</v>
      </c>
      <c r="T11" s="8" t="s">
        <v>44</v>
      </c>
      <c r="U11" s="250"/>
      <c r="V11" s="7" t="s">
        <v>44</v>
      </c>
      <c r="W11" s="8" t="s">
        <v>44</v>
      </c>
      <c r="X11" s="250"/>
    </row>
    <row r="12" spans="2:24" s="101" customFormat="1" ht="16" x14ac:dyDescent="0.45">
      <c r="B12" s="351"/>
      <c r="C12" s="76"/>
      <c r="D12" s="13"/>
      <c r="E12" s="245" t="s">
        <v>781</v>
      </c>
      <c r="F12" s="246">
        <v>994</v>
      </c>
      <c r="G12" s="243">
        <v>18968</v>
      </c>
      <c r="H12" s="247">
        <f t="shared" si="2"/>
        <v>190824.94969818913</v>
      </c>
      <c r="I12" s="248">
        <f t="shared" si="3"/>
        <v>88.199518246865864</v>
      </c>
      <c r="J12" s="246">
        <v>9580</v>
      </c>
      <c r="K12" s="248">
        <f t="shared" si="0"/>
        <v>96378.269617706232</v>
      </c>
      <c r="L12" s="247">
        <f t="shared" si="4"/>
        <v>96.427447615990388</v>
      </c>
      <c r="M12" s="243">
        <v>1618</v>
      </c>
      <c r="N12" s="247">
        <f t="shared" si="1"/>
        <v>16277.665995975854</v>
      </c>
      <c r="O12" s="249">
        <f t="shared" si="5"/>
        <v>14.070314981653977</v>
      </c>
      <c r="P12" s="243"/>
      <c r="Q12" s="243"/>
      <c r="S12" s="7" t="s">
        <v>236</v>
      </c>
      <c r="T12" s="11" t="s">
        <v>1263</v>
      </c>
      <c r="U12" s="250"/>
      <c r="V12" s="7" t="s">
        <v>832</v>
      </c>
      <c r="W12" s="11" t="s">
        <v>1294</v>
      </c>
      <c r="X12" s="250"/>
    </row>
    <row r="13" spans="2:24" s="101" customFormat="1" ht="16" x14ac:dyDescent="0.45">
      <c r="B13" s="373" t="s">
        <v>782</v>
      </c>
      <c r="C13" s="17"/>
      <c r="D13" s="236"/>
      <c r="E13" s="237" t="s">
        <v>774</v>
      </c>
      <c r="F13" s="238">
        <v>993</v>
      </c>
      <c r="G13" s="239">
        <v>20278</v>
      </c>
      <c r="H13" s="240">
        <f t="shared" si="2"/>
        <v>204209.46626384693</v>
      </c>
      <c r="I13" s="241">
        <f>H13/204209*100</f>
        <v>100.00022832678626</v>
      </c>
      <c r="J13" s="238">
        <v>9367</v>
      </c>
      <c r="K13" s="241">
        <f t="shared" si="0"/>
        <v>94330.31218529708</v>
      </c>
      <c r="L13" s="240">
        <f>K13/94330*100</f>
        <v>100.00033095017183</v>
      </c>
      <c r="M13" s="239">
        <v>11025</v>
      </c>
      <c r="N13" s="240">
        <f t="shared" si="1"/>
        <v>111027.19033232628</v>
      </c>
      <c r="O13" s="242">
        <f>N13/111027*100</f>
        <v>100.0001714288653</v>
      </c>
      <c r="P13" s="243"/>
      <c r="Q13" s="243"/>
      <c r="S13" s="2"/>
      <c r="T13" s="3"/>
      <c r="U13" s="250"/>
      <c r="V13" s="2"/>
      <c r="W13" s="3"/>
      <c r="X13" s="250"/>
    </row>
    <row r="14" spans="2:24" s="101" customFormat="1" ht="16" x14ac:dyDescent="0.45">
      <c r="B14" s="351"/>
      <c r="C14" s="68" t="s">
        <v>7</v>
      </c>
      <c r="D14" s="244" t="s">
        <v>706</v>
      </c>
      <c r="E14" s="245" t="s">
        <v>775</v>
      </c>
      <c r="F14" s="246">
        <v>997</v>
      </c>
      <c r="G14" s="243">
        <v>20907</v>
      </c>
      <c r="H14" s="247">
        <f t="shared" si="2"/>
        <v>209699.09729187563</v>
      </c>
      <c r="I14" s="248">
        <f t="shared" ref="I14:I18" si="6">H14/204209*100</f>
        <v>102.6884697990175</v>
      </c>
      <c r="J14" s="246">
        <v>9500</v>
      </c>
      <c r="K14" s="248">
        <f t="shared" si="0"/>
        <v>95285.85757271816</v>
      </c>
      <c r="L14" s="247">
        <f t="shared" ref="L14:L18" si="7">K14/94330*100</f>
        <v>101.01331238494451</v>
      </c>
      <c r="M14" s="243">
        <v>10520</v>
      </c>
      <c r="N14" s="247">
        <f t="shared" si="1"/>
        <v>105516.54964894684</v>
      </c>
      <c r="O14" s="249">
        <f t="shared" ref="O14:O18" si="8">N14/111027*100</f>
        <v>95.036837570092715</v>
      </c>
      <c r="P14" s="243"/>
      <c r="Q14" s="243"/>
      <c r="S14" s="2" t="s">
        <v>46</v>
      </c>
      <c r="T14" s="3"/>
      <c r="U14" s="250"/>
      <c r="V14" s="2" t="s">
        <v>46</v>
      </c>
      <c r="W14" s="3"/>
      <c r="X14" s="250"/>
    </row>
    <row r="15" spans="2:24" s="101" customFormat="1" ht="16" x14ac:dyDescent="0.45">
      <c r="B15" s="351"/>
      <c r="C15" s="68" t="s">
        <v>776</v>
      </c>
      <c r="D15" s="13" t="s">
        <v>1275</v>
      </c>
      <c r="E15" s="245" t="s">
        <v>777</v>
      </c>
      <c r="F15" s="246">
        <v>995</v>
      </c>
      <c r="G15" s="243">
        <v>20567</v>
      </c>
      <c r="H15" s="247">
        <f t="shared" si="2"/>
        <v>206703.51758793968</v>
      </c>
      <c r="I15" s="248">
        <f t="shared" si="6"/>
        <v>101.2215512479566</v>
      </c>
      <c r="J15" s="246">
        <v>9543</v>
      </c>
      <c r="K15" s="248">
        <f t="shared" si="0"/>
        <v>95909.547738693465</v>
      </c>
      <c r="L15" s="247">
        <f t="shared" si="7"/>
        <v>101.67449140113798</v>
      </c>
      <c r="M15" s="243">
        <v>8717</v>
      </c>
      <c r="N15" s="247">
        <f t="shared" si="1"/>
        <v>87608.040201005031</v>
      </c>
      <c r="O15" s="249">
        <f t="shared" si="8"/>
        <v>78.906968756253022</v>
      </c>
      <c r="P15" s="243"/>
      <c r="Q15" s="243"/>
      <c r="S15" s="7" t="s">
        <v>47</v>
      </c>
      <c r="T15" s="8">
        <v>0.30009999999999998</v>
      </c>
      <c r="U15" s="250"/>
      <c r="V15" s="7" t="s">
        <v>47</v>
      </c>
      <c r="W15" s="8" t="s">
        <v>48</v>
      </c>
      <c r="X15" s="250"/>
    </row>
    <row r="16" spans="2:24" s="101" customFormat="1" ht="16" x14ac:dyDescent="0.45">
      <c r="B16" s="351"/>
      <c r="C16" s="371" t="s">
        <v>778</v>
      </c>
      <c r="D16" s="399" t="s">
        <v>786</v>
      </c>
      <c r="E16" s="245" t="s">
        <v>779</v>
      </c>
      <c r="F16" s="246">
        <v>994</v>
      </c>
      <c r="G16" s="243">
        <v>21136</v>
      </c>
      <c r="H16" s="247">
        <f t="shared" si="2"/>
        <v>212635.814889336</v>
      </c>
      <c r="I16" s="248">
        <f t="shared" si="6"/>
        <v>104.12656390724013</v>
      </c>
      <c r="J16" s="246">
        <v>9270</v>
      </c>
      <c r="K16" s="248">
        <f t="shared" si="0"/>
        <v>93259.557344064393</v>
      </c>
      <c r="L16" s="247">
        <f t="shared" si="7"/>
        <v>98.865215036641999</v>
      </c>
      <c r="M16" s="243">
        <v>4636</v>
      </c>
      <c r="N16" s="247">
        <f t="shared" si="1"/>
        <v>46639.83903420523</v>
      </c>
      <c r="O16" s="249">
        <f t="shared" si="8"/>
        <v>42.007654925563358</v>
      </c>
      <c r="P16" s="243"/>
      <c r="Q16" s="90" t="s">
        <v>788</v>
      </c>
      <c r="S16" s="7" t="s">
        <v>49</v>
      </c>
      <c r="T16" s="8" t="s">
        <v>203</v>
      </c>
      <c r="U16" s="250"/>
      <c r="V16" s="7" t="s">
        <v>49</v>
      </c>
      <c r="W16" s="8" t="s">
        <v>50</v>
      </c>
      <c r="X16" s="250"/>
    </row>
    <row r="17" spans="2:24" s="101" customFormat="1" ht="16" x14ac:dyDescent="0.45">
      <c r="B17" s="351"/>
      <c r="C17" s="371"/>
      <c r="D17" s="399"/>
      <c r="E17" s="245" t="s">
        <v>780</v>
      </c>
      <c r="F17" s="246">
        <v>997</v>
      </c>
      <c r="G17" s="243">
        <v>20369</v>
      </c>
      <c r="H17" s="247">
        <f t="shared" si="2"/>
        <v>204302.90872617855</v>
      </c>
      <c r="I17" s="248">
        <f t="shared" si="6"/>
        <v>100.04598657560567</v>
      </c>
      <c r="J17" s="246">
        <v>9684</v>
      </c>
      <c r="K17" s="248">
        <f t="shared" si="0"/>
        <v>97131.394182547636</v>
      </c>
      <c r="L17" s="247">
        <f t="shared" si="7"/>
        <v>102.96978075113712</v>
      </c>
      <c r="M17" s="243">
        <v>1641</v>
      </c>
      <c r="N17" s="247">
        <f t="shared" si="1"/>
        <v>16459.37813440321</v>
      </c>
      <c r="O17" s="249">
        <f t="shared" si="8"/>
        <v>14.82466259054393</v>
      </c>
      <c r="P17" s="243"/>
      <c r="Q17" s="251" t="s">
        <v>791</v>
      </c>
      <c r="S17" s="2" t="s">
        <v>51</v>
      </c>
      <c r="T17" s="3" t="s">
        <v>204</v>
      </c>
      <c r="U17" s="250"/>
      <c r="V17" s="2" t="s">
        <v>51</v>
      </c>
      <c r="W17" s="3" t="s">
        <v>52</v>
      </c>
      <c r="X17" s="250"/>
    </row>
    <row r="18" spans="2:24" s="101" customFormat="1" ht="16" x14ac:dyDescent="0.45">
      <c r="B18" s="374"/>
      <c r="C18" s="77"/>
      <c r="D18" s="13"/>
      <c r="E18" s="252" t="s">
        <v>781</v>
      </c>
      <c r="F18" s="253">
        <v>998</v>
      </c>
      <c r="G18" s="254">
        <v>19026</v>
      </c>
      <c r="H18" s="255">
        <f t="shared" si="2"/>
        <v>190641.28256513027</v>
      </c>
      <c r="I18" s="256">
        <f t="shared" si="6"/>
        <v>93.355964999157862</v>
      </c>
      <c r="J18" s="253">
        <v>9531</v>
      </c>
      <c r="K18" s="256">
        <f t="shared" si="0"/>
        <v>95501.002004008013</v>
      </c>
      <c r="L18" s="255">
        <f t="shared" si="7"/>
        <v>101.24138874590058</v>
      </c>
      <c r="M18" s="254">
        <v>1683</v>
      </c>
      <c r="N18" s="255">
        <f t="shared" si="1"/>
        <v>16863.727454909818</v>
      </c>
      <c r="O18" s="257">
        <f t="shared" si="8"/>
        <v>15.188852670890702</v>
      </c>
      <c r="P18" s="243"/>
      <c r="Q18" s="243"/>
      <c r="S18" s="2" t="s">
        <v>53</v>
      </c>
      <c r="T18" s="3" t="s">
        <v>54</v>
      </c>
      <c r="U18" s="250"/>
      <c r="V18" s="2" t="s">
        <v>53</v>
      </c>
      <c r="W18" s="3" t="s">
        <v>54</v>
      </c>
      <c r="X18" s="250"/>
    </row>
    <row r="19" spans="2:24" s="101" customFormat="1" ht="16" x14ac:dyDescent="0.45">
      <c r="B19" s="351" t="s">
        <v>783</v>
      </c>
      <c r="C19" s="68"/>
      <c r="D19" s="258"/>
      <c r="E19" s="245" t="s">
        <v>774</v>
      </c>
      <c r="F19" s="246">
        <v>989</v>
      </c>
      <c r="G19" s="243">
        <v>21021</v>
      </c>
      <c r="H19" s="247">
        <f t="shared" si="2"/>
        <v>212548.02831142567</v>
      </c>
      <c r="I19" s="248">
        <f>H19/212548*100</f>
        <v>100.00001332001509</v>
      </c>
      <c r="J19" s="246">
        <v>9571</v>
      </c>
      <c r="K19" s="248">
        <f t="shared" si="0"/>
        <v>96774.519716885741</v>
      </c>
      <c r="L19" s="247">
        <f>K19/96775*100</f>
        <v>99.999503711584339</v>
      </c>
      <c r="M19" s="243">
        <v>11437</v>
      </c>
      <c r="N19" s="247">
        <f t="shared" si="1"/>
        <v>115642.06268958544</v>
      </c>
      <c r="O19" s="249">
        <f>N19/115642*100</f>
        <v>100.0000542100495</v>
      </c>
      <c r="P19" s="243"/>
      <c r="Q19" s="243"/>
      <c r="S19" s="2" t="s">
        <v>55</v>
      </c>
      <c r="T19" s="3" t="s">
        <v>1257</v>
      </c>
      <c r="U19" s="250"/>
      <c r="V19" s="2" t="s">
        <v>55</v>
      </c>
      <c r="W19" s="3" t="s">
        <v>1286</v>
      </c>
      <c r="X19" s="250"/>
    </row>
    <row r="20" spans="2:24" s="101" customFormat="1" ht="16" x14ac:dyDescent="0.45">
      <c r="B20" s="351"/>
      <c r="C20" s="68" t="s">
        <v>7</v>
      </c>
      <c r="D20" s="232" t="s">
        <v>706</v>
      </c>
      <c r="E20" s="245" t="s">
        <v>775</v>
      </c>
      <c r="F20" s="246">
        <v>998</v>
      </c>
      <c r="G20" s="243">
        <v>19296</v>
      </c>
      <c r="H20" s="247">
        <f t="shared" si="2"/>
        <v>193346.69338677355</v>
      </c>
      <c r="I20" s="248">
        <f t="shared" ref="I20:I24" si="9">H20/212548*100</f>
        <v>90.966131596991531</v>
      </c>
      <c r="J20" s="246">
        <v>8835</v>
      </c>
      <c r="K20" s="248">
        <f t="shared" si="0"/>
        <v>88527.054108216427</v>
      </c>
      <c r="L20" s="247">
        <f t="shared" ref="L20:L24" si="10">K20/96775*100</f>
        <v>91.477193601876962</v>
      </c>
      <c r="M20" s="243">
        <v>9949</v>
      </c>
      <c r="N20" s="247">
        <f t="shared" si="1"/>
        <v>99689.378757515035</v>
      </c>
      <c r="O20" s="249">
        <f t="shared" ref="O20:O24" si="11">N20/115642*100</f>
        <v>86.205166598221268</v>
      </c>
      <c r="P20" s="243"/>
      <c r="Q20" s="243"/>
      <c r="S20" s="2"/>
      <c r="T20" s="3"/>
      <c r="U20" s="250"/>
      <c r="V20" s="2"/>
      <c r="W20" s="3"/>
      <c r="X20" s="250"/>
    </row>
    <row r="21" spans="2:24" s="101" customFormat="1" ht="16" x14ac:dyDescent="0.45">
      <c r="B21" s="351"/>
      <c r="C21" s="68" t="s">
        <v>776</v>
      </c>
      <c r="D21" s="89" t="s">
        <v>1275</v>
      </c>
      <c r="E21" s="245" t="s">
        <v>777</v>
      </c>
      <c r="F21" s="246">
        <v>995</v>
      </c>
      <c r="G21" s="243">
        <v>21704</v>
      </c>
      <c r="H21" s="247">
        <f t="shared" si="2"/>
        <v>218130.65326633165</v>
      </c>
      <c r="I21" s="248">
        <f t="shared" si="9"/>
        <v>102.62653766035514</v>
      </c>
      <c r="J21" s="246">
        <v>9928</v>
      </c>
      <c r="K21" s="248">
        <f t="shared" si="0"/>
        <v>99778.894472361804</v>
      </c>
      <c r="L21" s="247">
        <f t="shared" si="10"/>
        <v>103.10399842145368</v>
      </c>
      <c r="M21" s="243">
        <v>8979</v>
      </c>
      <c r="N21" s="247">
        <f t="shared" si="1"/>
        <v>90241.206030150759</v>
      </c>
      <c r="O21" s="249">
        <f t="shared" si="11"/>
        <v>78.034975208099794</v>
      </c>
      <c r="P21" s="243"/>
      <c r="Q21" s="243"/>
      <c r="S21" s="2" t="s">
        <v>57</v>
      </c>
      <c r="T21" s="3"/>
      <c r="U21" s="250"/>
      <c r="V21" s="2" t="s">
        <v>57</v>
      </c>
      <c r="W21" s="3"/>
      <c r="X21" s="250"/>
    </row>
    <row r="22" spans="2:24" s="101" customFormat="1" ht="16" x14ac:dyDescent="0.45">
      <c r="B22" s="351"/>
      <c r="C22" s="371" t="s">
        <v>778</v>
      </c>
      <c r="D22" s="399" t="s">
        <v>786</v>
      </c>
      <c r="E22" s="245" t="s">
        <v>779</v>
      </c>
      <c r="F22" s="246">
        <v>997</v>
      </c>
      <c r="G22" s="243">
        <v>20235</v>
      </c>
      <c r="H22" s="247">
        <f t="shared" si="2"/>
        <v>202958.87662988968</v>
      </c>
      <c r="I22" s="248">
        <f t="shared" si="9"/>
        <v>95.488490425640165</v>
      </c>
      <c r="J22" s="246">
        <v>9140</v>
      </c>
      <c r="K22" s="248">
        <f t="shared" si="0"/>
        <v>91675.025075225683</v>
      </c>
      <c r="L22" s="247">
        <f t="shared" si="10"/>
        <v>94.730069827151311</v>
      </c>
      <c r="M22" s="243">
        <v>4576</v>
      </c>
      <c r="N22" s="247">
        <f t="shared" si="1"/>
        <v>45897.69307923771</v>
      </c>
      <c r="O22" s="249">
        <f t="shared" si="11"/>
        <v>39.689466698291028</v>
      </c>
      <c r="P22" s="243"/>
      <c r="Q22" s="90" t="s">
        <v>789</v>
      </c>
      <c r="S22" s="2" t="s">
        <v>159</v>
      </c>
      <c r="T22" s="3" t="s">
        <v>1258</v>
      </c>
      <c r="U22" s="250"/>
      <c r="V22" s="2" t="s">
        <v>1287</v>
      </c>
      <c r="W22" s="183"/>
      <c r="X22" s="250"/>
    </row>
    <row r="23" spans="2:24" s="101" customFormat="1" ht="16" x14ac:dyDescent="0.45">
      <c r="B23" s="351"/>
      <c r="C23" s="371"/>
      <c r="D23" s="399"/>
      <c r="E23" s="245" t="s">
        <v>780</v>
      </c>
      <c r="F23" s="246">
        <v>997</v>
      </c>
      <c r="G23" s="243">
        <v>22160</v>
      </c>
      <c r="H23" s="247">
        <f t="shared" si="2"/>
        <v>222266.80040120363</v>
      </c>
      <c r="I23" s="248">
        <f t="shared" si="9"/>
        <v>104.57252027833883</v>
      </c>
      <c r="J23" s="246">
        <v>10050</v>
      </c>
      <c r="K23" s="248">
        <f t="shared" si="0"/>
        <v>100802.40722166499</v>
      </c>
      <c r="L23" s="247">
        <f t="shared" si="10"/>
        <v>104.16161944889176</v>
      </c>
      <c r="M23" s="243">
        <v>1902</v>
      </c>
      <c r="N23" s="247">
        <f t="shared" si="1"/>
        <v>19077.231695085255</v>
      </c>
      <c r="O23" s="249">
        <f t="shared" si="11"/>
        <v>16.496801936221487</v>
      </c>
      <c r="P23" s="243"/>
      <c r="Q23" s="251" t="s">
        <v>792</v>
      </c>
      <c r="S23" s="2" t="s">
        <v>239</v>
      </c>
      <c r="T23" s="3" t="s">
        <v>1259</v>
      </c>
      <c r="U23" s="250"/>
      <c r="V23" s="2" t="s">
        <v>1288</v>
      </c>
      <c r="W23" s="3" t="s">
        <v>1289</v>
      </c>
      <c r="X23" s="250"/>
    </row>
    <row r="24" spans="2:24" s="101" customFormat="1" ht="16" x14ac:dyDescent="0.45">
      <c r="B24" s="374"/>
      <c r="C24" s="77"/>
      <c r="D24" s="18"/>
      <c r="E24" s="252" t="s">
        <v>781</v>
      </c>
      <c r="F24" s="253">
        <v>999</v>
      </c>
      <c r="G24" s="254">
        <v>18678</v>
      </c>
      <c r="H24" s="255">
        <f t="shared" si="2"/>
        <v>186966.96696696695</v>
      </c>
      <c r="I24" s="256">
        <f t="shared" si="9"/>
        <v>87.964585395753886</v>
      </c>
      <c r="J24" s="253">
        <v>9293</v>
      </c>
      <c r="K24" s="256">
        <f t="shared" si="0"/>
        <v>93023.023023023023</v>
      </c>
      <c r="L24" s="255">
        <f t="shared" si="10"/>
        <v>96.122989432211853</v>
      </c>
      <c r="M24" s="254">
        <v>1693</v>
      </c>
      <c r="N24" s="255">
        <f t="shared" si="1"/>
        <v>16946.946946946948</v>
      </c>
      <c r="O24" s="257">
        <f t="shared" si="11"/>
        <v>14.654664349411933</v>
      </c>
      <c r="P24" s="243"/>
      <c r="Q24" s="243"/>
      <c r="S24" s="2" t="s">
        <v>62</v>
      </c>
      <c r="T24" s="3" t="s">
        <v>1260</v>
      </c>
      <c r="U24" s="250"/>
      <c r="V24" s="2" t="s">
        <v>62</v>
      </c>
      <c r="W24" s="3" t="s">
        <v>1290</v>
      </c>
      <c r="X24" s="250"/>
    </row>
    <row r="25" spans="2:24" s="101" customFormat="1" ht="16" x14ac:dyDescent="0.45">
      <c r="C25" s="13"/>
      <c r="D25" s="13"/>
      <c r="E25" s="259"/>
      <c r="S25" s="2" t="s">
        <v>64</v>
      </c>
      <c r="T25" s="3" t="s">
        <v>1261</v>
      </c>
      <c r="U25" s="250"/>
      <c r="V25" s="2" t="s">
        <v>64</v>
      </c>
      <c r="W25" s="3" t="s">
        <v>1291</v>
      </c>
      <c r="X25" s="250"/>
    </row>
    <row r="26" spans="2:24" s="101" customFormat="1" ht="16" x14ac:dyDescent="0.45">
      <c r="C26" s="13"/>
      <c r="D26" s="13"/>
      <c r="H26" s="24" t="s">
        <v>785</v>
      </c>
      <c r="N26" s="24"/>
      <c r="S26" s="2" t="s">
        <v>66</v>
      </c>
      <c r="T26" s="3">
        <v>0.26119999999999999</v>
      </c>
      <c r="U26" s="250"/>
      <c r="V26" s="2" t="s">
        <v>66</v>
      </c>
      <c r="W26" s="3">
        <v>0.99809999999999999</v>
      </c>
      <c r="X26" s="250"/>
    </row>
    <row r="27" spans="2:24" s="101" customFormat="1" ht="16" x14ac:dyDescent="0.45">
      <c r="C27" s="13"/>
      <c r="D27" s="13"/>
      <c r="S27" s="2"/>
      <c r="T27" s="3"/>
      <c r="U27" s="250"/>
      <c r="V27" s="2"/>
      <c r="W27" s="3"/>
      <c r="X27" s="250"/>
    </row>
    <row r="28" spans="2:24" s="101" customFormat="1" ht="16" x14ac:dyDescent="0.45">
      <c r="E28" s="243">
        <v>100.0001</v>
      </c>
      <c r="F28" s="260">
        <v>6.2099000000000003E-5</v>
      </c>
      <c r="G28" s="90"/>
      <c r="H28" s="243">
        <v>100.0001</v>
      </c>
      <c r="I28" s="260">
        <v>2.8663000000000001E-4</v>
      </c>
      <c r="J28" s="90"/>
      <c r="K28" s="243">
        <v>100.0001</v>
      </c>
      <c r="L28" s="260">
        <v>5.0192999999999999E-5</v>
      </c>
      <c r="M28" s="24"/>
      <c r="S28" s="2" t="s">
        <v>67</v>
      </c>
      <c r="T28" s="3"/>
      <c r="U28" s="250"/>
      <c r="V28" s="2" t="s">
        <v>67</v>
      </c>
      <c r="W28" s="3"/>
      <c r="X28" s="250"/>
    </row>
    <row r="29" spans="2:24" s="101" customFormat="1" ht="16" x14ac:dyDescent="0.45">
      <c r="C29" s="13"/>
      <c r="D29" s="13"/>
      <c r="E29" s="243">
        <v>96.8917</v>
      </c>
      <c r="F29" s="243">
        <v>3.3845999999999998</v>
      </c>
      <c r="G29" s="243"/>
      <c r="H29" s="243">
        <v>95.814499999999995</v>
      </c>
      <c r="I29" s="243">
        <v>2.7863000000000002</v>
      </c>
      <c r="J29" s="243"/>
      <c r="K29" s="243">
        <v>91.628699999999995</v>
      </c>
      <c r="L29" s="243">
        <v>2.7414000000000001</v>
      </c>
      <c r="N29" s="90" t="s">
        <v>1255</v>
      </c>
      <c r="S29" s="2" t="s">
        <v>68</v>
      </c>
      <c r="T29" s="3" t="s">
        <v>1262</v>
      </c>
      <c r="U29" s="250"/>
      <c r="V29" s="2" t="s">
        <v>68</v>
      </c>
      <c r="W29" s="3" t="s">
        <v>1292</v>
      </c>
      <c r="X29" s="250"/>
    </row>
    <row r="30" spans="2:24" s="101" customFormat="1" ht="16" x14ac:dyDescent="0.45">
      <c r="C30" s="13"/>
      <c r="D30" s="13"/>
      <c r="E30" s="243">
        <v>101.8595</v>
      </c>
      <c r="F30" s="243">
        <v>0.41070000000000001</v>
      </c>
      <c r="G30" s="243"/>
      <c r="H30" s="243">
        <v>102.3009</v>
      </c>
      <c r="I30" s="243">
        <v>0.42199999999999999</v>
      </c>
      <c r="J30" s="243"/>
      <c r="K30" s="243">
        <v>78.289100000000005</v>
      </c>
      <c r="L30" s="243">
        <v>0.31059999999999999</v>
      </c>
      <c r="N30" s="243"/>
      <c r="S30" s="2" t="s">
        <v>47</v>
      </c>
      <c r="T30" s="3">
        <v>0.80659999999999998</v>
      </c>
      <c r="U30" s="250"/>
      <c r="V30" s="2" t="s">
        <v>47</v>
      </c>
      <c r="W30" s="3">
        <v>6.25E-2</v>
      </c>
      <c r="X30" s="250"/>
    </row>
    <row r="31" spans="2:24" s="101" customFormat="1" ht="16" x14ac:dyDescent="0.45">
      <c r="C31" s="13"/>
      <c r="D31" s="13"/>
      <c r="E31" s="243">
        <v>99.798900000000003</v>
      </c>
      <c r="F31" s="243">
        <v>2.4935999999999998</v>
      </c>
      <c r="G31" s="243"/>
      <c r="H31" s="243">
        <v>97.168899999999994</v>
      </c>
      <c r="I31" s="243">
        <v>1.2501</v>
      </c>
      <c r="J31" s="243"/>
      <c r="K31" s="243">
        <v>41.366999999999997</v>
      </c>
      <c r="L31" s="243">
        <v>0.84650000000000003</v>
      </c>
      <c r="N31" s="261" t="s">
        <v>1256</v>
      </c>
      <c r="S31" s="2" t="s">
        <v>49</v>
      </c>
      <c r="T31" s="3" t="s">
        <v>203</v>
      </c>
      <c r="U31" s="250"/>
      <c r="V31" s="2" t="s">
        <v>49</v>
      </c>
      <c r="W31" s="3" t="s">
        <v>203</v>
      </c>
      <c r="X31" s="250"/>
    </row>
    <row r="32" spans="2:24" s="101" customFormat="1" ht="16" x14ac:dyDescent="0.45">
      <c r="C32" s="13"/>
      <c r="D32" s="13"/>
      <c r="E32" s="243">
        <v>101.2587</v>
      </c>
      <c r="F32" s="243">
        <v>1.6766000000000001</v>
      </c>
      <c r="G32" s="243"/>
      <c r="H32" s="243">
        <v>102.3206</v>
      </c>
      <c r="I32" s="243">
        <v>1.2918000000000001</v>
      </c>
      <c r="J32" s="243"/>
      <c r="K32" s="243">
        <v>15.3101</v>
      </c>
      <c r="L32" s="243">
        <v>0.59660000000000002</v>
      </c>
      <c r="S32" s="2" t="s">
        <v>70</v>
      </c>
      <c r="T32" s="3" t="s">
        <v>204</v>
      </c>
      <c r="U32" s="250"/>
      <c r="V32" s="2" t="s">
        <v>70</v>
      </c>
      <c r="W32" s="3" t="s">
        <v>204</v>
      </c>
      <c r="X32" s="250"/>
    </row>
    <row r="33" spans="3:24" s="101" customFormat="1" ht="16" x14ac:dyDescent="0.45">
      <c r="C33" s="13"/>
      <c r="D33" s="13"/>
      <c r="E33" s="243">
        <v>89.84</v>
      </c>
      <c r="F33" s="243">
        <v>1.7593000000000001</v>
      </c>
      <c r="G33" s="243"/>
      <c r="H33" s="243">
        <v>97.930599999999998</v>
      </c>
      <c r="I33" s="243">
        <v>1.6577</v>
      </c>
      <c r="J33" s="243"/>
      <c r="K33" s="243">
        <v>14.6379</v>
      </c>
      <c r="L33" s="243">
        <v>0.32300000000000001</v>
      </c>
    </row>
    <row r="34" spans="3:24" s="101" customFormat="1" ht="16" x14ac:dyDescent="0.45">
      <c r="C34" s="13"/>
      <c r="D34" s="13"/>
      <c r="S34" s="2" t="s">
        <v>41</v>
      </c>
      <c r="T34" s="3" t="s">
        <v>42</v>
      </c>
      <c r="U34" s="250"/>
      <c r="V34" s="2" t="s">
        <v>41</v>
      </c>
      <c r="W34" s="3" t="s">
        <v>42</v>
      </c>
      <c r="X34" s="250"/>
    </row>
    <row r="35" spans="3:24" s="101" customFormat="1" ht="16" x14ac:dyDescent="0.45">
      <c r="C35" s="13"/>
      <c r="D35" s="13"/>
      <c r="S35" s="7" t="s">
        <v>806</v>
      </c>
      <c r="T35" s="8" t="s">
        <v>1273</v>
      </c>
      <c r="U35" s="250"/>
      <c r="V35" s="7" t="s">
        <v>842</v>
      </c>
      <c r="W35" s="8" t="s">
        <v>1302</v>
      </c>
      <c r="X35" s="250"/>
    </row>
    <row r="36" spans="3:24" s="101" customFormat="1" ht="16" x14ac:dyDescent="0.45">
      <c r="C36" s="13"/>
      <c r="D36" s="13"/>
      <c r="S36" s="7" t="s">
        <v>44</v>
      </c>
      <c r="T36" s="8" t="s">
        <v>44</v>
      </c>
      <c r="U36" s="250"/>
      <c r="V36" s="7" t="s">
        <v>44</v>
      </c>
      <c r="W36" s="8" t="s">
        <v>44</v>
      </c>
      <c r="X36" s="250"/>
    </row>
    <row r="37" spans="3:24" s="101" customFormat="1" ht="16" x14ac:dyDescent="0.45">
      <c r="C37" s="13"/>
      <c r="D37" s="13"/>
      <c r="S37" s="7" t="s">
        <v>808</v>
      </c>
      <c r="T37" s="11" t="s">
        <v>1274</v>
      </c>
      <c r="U37" s="250"/>
      <c r="V37" s="7" t="s">
        <v>844</v>
      </c>
      <c r="W37" s="11" t="s">
        <v>1303</v>
      </c>
      <c r="X37" s="250"/>
    </row>
    <row r="38" spans="3:24" s="101" customFormat="1" ht="16" x14ac:dyDescent="0.45">
      <c r="C38" s="13"/>
      <c r="D38" s="13"/>
      <c r="K38" s="262"/>
      <c r="N38" s="262"/>
      <c r="S38" s="2"/>
      <c r="T38" s="3"/>
      <c r="U38" s="250"/>
      <c r="V38" s="2"/>
      <c r="W38" s="3"/>
      <c r="X38" s="250"/>
    </row>
    <row r="39" spans="3:24" s="101" customFormat="1" ht="16" x14ac:dyDescent="0.45">
      <c r="C39" s="13"/>
      <c r="D39" s="13"/>
      <c r="S39" s="2" t="s">
        <v>46</v>
      </c>
      <c r="T39" s="3"/>
      <c r="U39" s="250"/>
      <c r="V39" s="2" t="s">
        <v>46</v>
      </c>
      <c r="W39" s="3"/>
      <c r="X39" s="250"/>
    </row>
    <row r="40" spans="3:24" s="101" customFormat="1" ht="16" x14ac:dyDescent="0.45">
      <c r="C40" s="13"/>
      <c r="D40" s="13"/>
      <c r="S40" s="7" t="s">
        <v>47</v>
      </c>
      <c r="T40" s="8" t="s">
        <v>48</v>
      </c>
      <c r="U40" s="250"/>
      <c r="V40" s="7" t="s">
        <v>47</v>
      </c>
      <c r="W40" s="8" t="s">
        <v>48</v>
      </c>
      <c r="X40" s="250"/>
    </row>
    <row r="41" spans="3:24" s="101" customFormat="1" ht="16" x14ac:dyDescent="0.45">
      <c r="C41" s="13"/>
      <c r="D41" s="13"/>
      <c r="S41" s="7" t="s">
        <v>49</v>
      </c>
      <c r="T41" s="8" t="s">
        <v>50</v>
      </c>
      <c r="U41" s="250"/>
      <c r="V41" s="7" t="s">
        <v>49</v>
      </c>
      <c r="W41" s="8" t="s">
        <v>50</v>
      </c>
      <c r="X41" s="250"/>
    </row>
    <row r="42" spans="3:24" s="101" customFormat="1" ht="16" x14ac:dyDescent="0.45">
      <c r="C42" s="13"/>
      <c r="D42" s="13"/>
      <c r="S42" s="2" t="s">
        <v>51</v>
      </c>
      <c r="T42" s="3" t="s">
        <v>52</v>
      </c>
      <c r="U42" s="250"/>
      <c r="V42" s="2" t="s">
        <v>51</v>
      </c>
      <c r="W42" s="3" t="s">
        <v>52</v>
      </c>
      <c r="X42" s="250"/>
    </row>
    <row r="43" spans="3:24" s="101" customFormat="1" ht="16" x14ac:dyDescent="0.45">
      <c r="S43" s="2" t="s">
        <v>53</v>
      </c>
      <c r="T43" s="3" t="s">
        <v>54</v>
      </c>
      <c r="U43" s="250"/>
      <c r="V43" s="2" t="s">
        <v>53</v>
      </c>
      <c r="W43" s="3" t="s">
        <v>54</v>
      </c>
      <c r="X43" s="250"/>
    </row>
    <row r="44" spans="3:24" s="101" customFormat="1" ht="16" x14ac:dyDescent="0.45">
      <c r="S44" s="2" t="s">
        <v>55</v>
      </c>
      <c r="T44" s="3" t="s">
        <v>1264</v>
      </c>
      <c r="U44" s="250"/>
      <c r="V44" s="2" t="s">
        <v>55</v>
      </c>
      <c r="W44" s="3" t="s">
        <v>1295</v>
      </c>
      <c r="X44" s="250"/>
    </row>
    <row r="45" spans="3:24" s="101" customFormat="1" ht="16" x14ac:dyDescent="0.45">
      <c r="S45" s="2"/>
      <c r="T45" s="3"/>
      <c r="U45" s="250"/>
      <c r="V45" s="2"/>
      <c r="W45" s="3"/>
      <c r="X45" s="250"/>
    </row>
    <row r="46" spans="3:24" s="101" customFormat="1" ht="16" x14ac:dyDescent="0.45">
      <c r="C46" s="13"/>
      <c r="D46" s="13"/>
      <c r="S46" s="2" t="s">
        <v>57</v>
      </c>
      <c r="T46" s="3"/>
      <c r="U46" s="250"/>
      <c r="V46" s="2" t="s">
        <v>57</v>
      </c>
      <c r="W46" s="3"/>
      <c r="X46" s="250"/>
    </row>
    <row r="47" spans="3:24" s="101" customFormat="1" ht="16" x14ac:dyDescent="0.45">
      <c r="S47" s="2" t="s">
        <v>1265</v>
      </c>
      <c r="T47" s="3" t="s">
        <v>1266</v>
      </c>
      <c r="U47" s="250"/>
      <c r="V47" s="2" t="s">
        <v>1296</v>
      </c>
      <c r="W47" s="3" t="s">
        <v>1297</v>
      </c>
      <c r="X47" s="250"/>
    </row>
    <row r="48" spans="3:24" s="101" customFormat="1" ht="16" x14ac:dyDescent="0.45">
      <c r="C48" s="13"/>
      <c r="D48" s="13"/>
      <c r="S48" s="2" t="s">
        <v>1267</v>
      </c>
      <c r="T48" s="3" t="s">
        <v>1268</v>
      </c>
      <c r="U48" s="250"/>
      <c r="V48" s="2" t="s">
        <v>1298</v>
      </c>
      <c r="W48" s="183"/>
      <c r="X48" s="250"/>
    </row>
    <row r="49" spans="3:24" s="101" customFormat="1" ht="16" x14ac:dyDescent="0.45">
      <c r="C49" s="13"/>
      <c r="D49" s="13"/>
      <c r="S49" s="2" t="s">
        <v>62</v>
      </c>
      <c r="T49" s="3" t="s">
        <v>1269</v>
      </c>
      <c r="U49" s="250"/>
      <c r="V49" s="2" t="s">
        <v>62</v>
      </c>
      <c r="W49" s="3" t="s">
        <v>1299</v>
      </c>
      <c r="X49" s="250"/>
    </row>
    <row r="50" spans="3:24" s="101" customFormat="1" ht="16" x14ac:dyDescent="0.45">
      <c r="C50" s="13"/>
      <c r="D50" s="13"/>
      <c r="S50" s="2" t="s">
        <v>64</v>
      </c>
      <c r="T50" s="3" t="s">
        <v>1270</v>
      </c>
      <c r="U50" s="250"/>
      <c r="V50" s="2" t="s">
        <v>64</v>
      </c>
      <c r="W50" s="3" t="s">
        <v>1300</v>
      </c>
      <c r="X50" s="250"/>
    </row>
    <row r="51" spans="3:24" s="101" customFormat="1" ht="16" x14ac:dyDescent="0.45">
      <c r="C51" s="13"/>
      <c r="D51" s="13"/>
      <c r="S51" s="2" t="s">
        <v>66</v>
      </c>
      <c r="T51" s="3">
        <v>0.99680000000000002</v>
      </c>
      <c r="U51" s="250"/>
      <c r="V51" s="2" t="s">
        <v>66</v>
      </c>
      <c r="W51" s="3">
        <v>0.99790000000000001</v>
      </c>
      <c r="X51" s="250"/>
    </row>
    <row r="52" spans="3:24" s="101" customFormat="1" ht="16" x14ac:dyDescent="0.45">
      <c r="C52" s="13"/>
      <c r="D52" s="13"/>
      <c r="S52" s="2"/>
      <c r="T52" s="3"/>
      <c r="U52" s="250"/>
      <c r="V52" s="2"/>
      <c r="W52" s="3"/>
      <c r="X52" s="250"/>
    </row>
    <row r="53" spans="3:24" s="101" customFormat="1" ht="16" x14ac:dyDescent="0.45">
      <c r="C53" s="13"/>
      <c r="D53" s="13"/>
      <c r="S53" s="2" t="s">
        <v>67</v>
      </c>
      <c r="T53" s="3"/>
      <c r="U53" s="250"/>
      <c r="V53" s="2" t="s">
        <v>67</v>
      </c>
      <c r="W53" s="3"/>
      <c r="X53" s="250"/>
    </row>
    <row r="54" spans="3:24" s="101" customFormat="1" ht="16" x14ac:dyDescent="0.45">
      <c r="C54" s="13"/>
      <c r="D54" s="13"/>
      <c r="S54" s="2" t="s">
        <v>68</v>
      </c>
      <c r="T54" s="3" t="s">
        <v>1271</v>
      </c>
      <c r="U54" s="250"/>
      <c r="V54" s="2" t="s">
        <v>68</v>
      </c>
      <c r="W54" s="3" t="s">
        <v>1301</v>
      </c>
      <c r="X54" s="250"/>
    </row>
    <row r="55" spans="3:24" s="101" customFormat="1" ht="16" x14ac:dyDescent="0.45">
      <c r="C55" s="13"/>
      <c r="D55" s="13"/>
      <c r="S55" s="2" t="s">
        <v>47</v>
      </c>
      <c r="T55" s="3">
        <v>0.5</v>
      </c>
      <c r="U55" s="250"/>
      <c r="V55" s="2" t="s">
        <v>47</v>
      </c>
      <c r="W55" s="3">
        <v>7.6899999999999996E-2</v>
      </c>
      <c r="X55" s="250"/>
    </row>
    <row r="56" spans="3:24" s="101" customFormat="1" ht="16" x14ac:dyDescent="0.45">
      <c r="C56" s="13"/>
      <c r="D56" s="13"/>
      <c r="S56" s="2" t="s">
        <v>49</v>
      </c>
      <c r="T56" s="3" t="s">
        <v>203</v>
      </c>
      <c r="U56" s="250"/>
      <c r="V56" s="2" t="s">
        <v>49</v>
      </c>
      <c r="W56" s="3" t="s">
        <v>203</v>
      </c>
      <c r="X56" s="250"/>
    </row>
    <row r="57" spans="3:24" s="101" customFormat="1" ht="16" x14ac:dyDescent="0.45">
      <c r="C57" s="13"/>
      <c r="D57" s="13"/>
      <c r="S57" s="2" t="s">
        <v>70</v>
      </c>
      <c r="T57" s="3" t="s">
        <v>204</v>
      </c>
      <c r="U57" s="250"/>
      <c r="V57" s="2" t="s">
        <v>70</v>
      </c>
      <c r="W57" s="3" t="s">
        <v>204</v>
      </c>
      <c r="X57" s="250"/>
    </row>
    <row r="58" spans="3:24" s="101" customFormat="1" ht="13" x14ac:dyDescent="0.45">
      <c r="C58" s="13"/>
      <c r="D58" s="13"/>
    </row>
    <row r="59" spans="3:24" s="101" customFormat="1" ht="16" x14ac:dyDescent="0.45">
      <c r="C59" s="13"/>
      <c r="D59" s="13"/>
      <c r="S59" s="2" t="s">
        <v>41</v>
      </c>
      <c r="T59" s="3" t="s">
        <v>42</v>
      </c>
      <c r="U59" s="250"/>
    </row>
    <row r="60" spans="3:24" s="101" customFormat="1" ht="16" x14ac:dyDescent="0.45">
      <c r="C60" s="13"/>
      <c r="D60" s="13"/>
      <c r="S60" s="7" t="s">
        <v>818</v>
      </c>
      <c r="T60" s="8" t="s">
        <v>1284</v>
      </c>
      <c r="U60" s="250"/>
    </row>
    <row r="61" spans="3:24" s="101" customFormat="1" ht="16" x14ac:dyDescent="0.45">
      <c r="C61" s="13"/>
      <c r="D61" s="13"/>
      <c r="S61" s="7" t="s">
        <v>44</v>
      </c>
      <c r="T61" s="8" t="s">
        <v>44</v>
      </c>
      <c r="U61" s="250"/>
    </row>
    <row r="62" spans="3:24" s="101" customFormat="1" ht="16" x14ac:dyDescent="0.45">
      <c r="C62" s="13"/>
      <c r="D62" s="13"/>
      <c r="S62" s="7" t="s">
        <v>820</v>
      </c>
      <c r="T62" s="11" t="s">
        <v>1285</v>
      </c>
      <c r="U62" s="250"/>
    </row>
    <row r="63" spans="3:24" s="101" customFormat="1" ht="16" x14ac:dyDescent="0.45">
      <c r="C63" s="13"/>
      <c r="D63" s="13"/>
      <c r="S63" s="2"/>
      <c r="T63" s="3"/>
      <c r="U63" s="250"/>
    </row>
    <row r="64" spans="3:24" s="101" customFormat="1" ht="16" x14ac:dyDescent="0.45">
      <c r="C64" s="13"/>
      <c r="D64" s="13"/>
      <c r="S64" s="2" t="s">
        <v>46</v>
      </c>
      <c r="T64" s="3"/>
      <c r="U64" s="250"/>
    </row>
    <row r="65" spans="3:21" s="101" customFormat="1" ht="16" x14ac:dyDescent="0.45">
      <c r="C65" s="13"/>
      <c r="D65" s="13"/>
      <c r="S65" s="7" t="s">
        <v>47</v>
      </c>
      <c r="T65" s="8" t="s">
        <v>48</v>
      </c>
      <c r="U65" s="250"/>
    </row>
    <row r="66" spans="3:21" s="101" customFormat="1" ht="16" x14ac:dyDescent="0.45">
      <c r="C66" s="13"/>
      <c r="D66" s="13"/>
      <c r="S66" s="7" t="s">
        <v>49</v>
      </c>
      <c r="T66" s="8" t="s">
        <v>50</v>
      </c>
      <c r="U66" s="250"/>
    </row>
    <row r="67" spans="3:21" s="101" customFormat="1" ht="16" x14ac:dyDescent="0.45">
      <c r="C67" s="13"/>
      <c r="D67" s="13"/>
      <c r="S67" s="2" t="s">
        <v>51</v>
      </c>
      <c r="T67" s="3" t="s">
        <v>52</v>
      </c>
      <c r="U67" s="250"/>
    </row>
    <row r="68" spans="3:21" s="101" customFormat="1" ht="16" x14ac:dyDescent="0.45">
      <c r="C68" s="13"/>
      <c r="D68" s="13"/>
      <c r="S68" s="2" t="s">
        <v>53</v>
      </c>
      <c r="T68" s="3" t="s">
        <v>54</v>
      </c>
      <c r="U68" s="250"/>
    </row>
    <row r="69" spans="3:21" s="101" customFormat="1" ht="16" x14ac:dyDescent="0.45">
      <c r="C69" s="13"/>
      <c r="D69" s="13"/>
      <c r="S69" s="2" t="s">
        <v>55</v>
      </c>
      <c r="T69" s="3" t="s">
        <v>1276</v>
      </c>
      <c r="U69" s="250"/>
    </row>
    <row r="70" spans="3:21" s="101" customFormat="1" ht="16" x14ac:dyDescent="0.45">
      <c r="C70" s="13"/>
      <c r="D70" s="13"/>
      <c r="S70" s="2"/>
      <c r="T70" s="3"/>
      <c r="U70" s="250"/>
    </row>
    <row r="71" spans="3:21" s="101" customFormat="1" ht="16" x14ac:dyDescent="0.45">
      <c r="C71" s="13"/>
      <c r="D71" s="13"/>
      <c r="S71" s="2" t="s">
        <v>57</v>
      </c>
      <c r="T71" s="3"/>
      <c r="U71" s="250"/>
    </row>
    <row r="72" spans="3:21" s="101" customFormat="1" ht="16" x14ac:dyDescent="0.45">
      <c r="C72" s="13"/>
      <c r="D72" s="13"/>
      <c r="S72" s="2" t="s">
        <v>1277</v>
      </c>
      <c r="T72" s="3" t="s">
        <v>1278</v>
      </c>
      <c r="U72" s="250"/>
    </row>
    <row r="73" spans="3:21" s="101" customFormat="1" ht="16" x14ac:dyDescent="0.45">
      <c r="C73" s="13"/>
      <c r="D73" s="13"/>
      <c r="S73" s="2" t="s">
        <v>1279</v>
      </c>
      <c r="T73" s="3" t="s">
        <v>1280</v>
      </c>
      <c r="U73" s="250"/>
    </row>
    <row r="74" spans="3:21" s="101" customFormat="1" ht="16" x14ac:dyDescent="0.45">
      <c r="C74" s="13"/>
      <c r="D74" s="13"/>
      <c r="S74" s="2" t="s">
        <v>62</v>
      </c>
      <c r="T74" s="3" t="s">
        <v>1281</v>
      </c>
      <c r="U74" s="250"/>
    </row>
    <row r="75" spans="3:21" s="101" customFormat="1" ht="16" x14ac:dyDescent="0.45">
      <c r="C75" s="13"/>
      <c r="D75" s="13"/>
      <c r="S75" s="2" t="s">
        <v>64</v>
      </c>
      <c r="T75" s="3" t="s">
        <v>1282</v>
      </c>
      <c r="U75" s="250"/>
    </row>
    <row r="76" spans="3:21" s="101" customFormat="1" ht="16" x14ac:dyDescent="0.45">
      <c r="C76" s="13"/>
      <c r="D76" s="13"/>
      <c r="S76" s="2" t="s">
        <v>66</v>
      </c>
      <c r="T76" s="3">
        <v>0.99160000000000004</v>
      </c>
      <c r="U76" s="250"/>
    </row>
    <row r="77" spans="3:21" s="101" customFormat="1" ht="16" x14ac:dyDescent="0.45">
      <c r="C77" s="13"/>
      <c r="D77" s="13"/>
      <c r="S77" s="2"/>
      <c r="T77" s="3"/>
      <c r="U77" s="250"/>
    </row>
    <row r="78" spans="3:21" s="101" customFormat="1" ht="16" x14ac:dyDescent="0.45">
      <c r="C78" s="13"/>
      <c r="D78" s="13"/>
      <c r="S78" s="2" t="s">
        <v>67</v>
      </c>
      <c r="T78" s="3"/>
      <c r="U78" s="250"/>
    </row>
    <row r="79" spans="3:21" s="101" customFormat="1" ht="16" x14ac:dyDescent="0.45">
      <c r="C79" s="13"/>
      <c r="D79" s="13"/>
      <c r="S79" s="2" t="s">
        <v>68</v>
      </c>
      <c r="T79" s="3" t="s">
        <v>1283</v>
      </c>
      <c r="U79" s="250"/>
    </row>
    <row r="80" spans="3:21" s="101" customFormat="1" ht="16" x14ac:dyDescent="0.45">
      <c r="C80" s="13"/>
      <c r="D80" s="13"/>
      <c r="S80" s="2" t="s">
        <v>47</v>
      </c>
      <c r="T80" s="3">
        <v>0.1231</v>
      </c>
      <c r="U80" s="250"/>
    </row>
    <row r="81" spans="3:21" s="101" customFormat="1" ht="16" x14ac:dyDescent="0.45">
      <c r="C81" s="13"/>
      <c r="D81" s="13"/>
      <c r="S81" s="2" t="s">
        <v>49</v>
      </c>
      <c r="T81" s="3" t="s">
        <v>203</v>
      </c>
      <c r="U81" s="250"/>
    </row>
    <row r="82" spans="3:21" s="101" customFormat="1" ht="16" x14ac:dyDescent="0.45">
      <c r="C82" s="13"/>
      <c r="D82" s="13"/>
      <c r="S82" s="2" t="s">
        <v>70</v>
      </c>
      <c r="T82" s="3" t="s">
        <v>204</v>
      </c>
      <c r="U82" s="250"/>
    </row>
    <row r="83" spans="3:21" s="101" customFormat="1" ht="13" x14ac:dyDescent="0.45">
      <c r="C83" s="13"/>
      <c r="D83" s="13"/>
    </row>
    <row r="84" spans="3:21" s="101" customFormat="1" ht="13" x14ac:dyDescent="0.45">
      <c r="C84" s="13"/>
      <c r="D84" s="13"/>
    </row>
    <row r="85" spans="3:21" s="101" customFormat="1" ht="13" x14ac:dyDescent="0.45">
      <c r="C85" s="13"/>
      <c r="D85" s="13"/>
    </row>
    <row r="86" spans="3:21" s="101" customFormat="1" ht="13" x14ac:dyDescent="0.45">
      <c r="C86" s="13"/>
      <c r="D86" s="13"/>
    </row>
    <row r="87" spans="3:21" s="101" customFormat="1" ht="13" x14ac:dyDescent="0.45">
      <c r="C87" s="13"/>
      <c r="D87" s="13"/>
    </row>
    <row r="88" spans="3:21" s="101" customFormat="1" ht="13" x14ac:dyDescent="0.45">
      <c r="C88" s="13"/>
      <c r="D88" s="13"/>
    </row>
    <row r="89" spans="3:21" s="101" customFormat="1" ht="13" x14ac:dyDescent="0.45">
      <c r="C89" s="13"/>
      <c r="D89" s="13"/>
    </row>
    <row r="90" spans="3:21" s="101" customFormat="1" ht="13" x14ac:dyDescent="0.45">
      <c r="C90" s="13"/>
      <c r="D90" s="13"/>
    </row>
    <row r="91" spans="3:21" s="101" customFormat="1" ht="13" x14ac:dyDescent="0.45">
      <c r="C91" s="13"/>
      <c r="D91" s="13"/>
    </row>
    <row r="92" spans="3:21" s="101" customFormat="1" ht="13" x14ac:dyDescent="0.45">
      <c r="C92" s="13"/>
      <c r="D92" s="13"/>
    </row>
    <row r="93" spans="3:21" s="101" customFormat="1" ht="13" x14ac:dyDescent="0.45">
      <c r="C93" s="13"/>
      <c r="D93" s="13"/>
    </row>
    <row r="94" spans="3:21" s="101" customFormat="1" ht="13" x14ac:dyDescent="0.45">
      <c r="C94" s="13"/>
      <c r="D94" s="13"/>
    </row>
    <row r="95" spans="3:21" s="101" customFormat="1" ht="13" x14ac:dyDescent="0.45">
      <c r="C95" s="13"/>
      <c r="D95" s="13"/>
    </row>
    <row r="96" spans="3:21" s="101" customFormat="1" ht="13" x14ac:dyDescent="0.45">
      <c r="C96" s="13"/>
      <c r="D96" s="13"/>
    </row>
    <row r="97" spans="3:4" s="101" customFormat="1" ht="13" x14ac:dyDescent="0.45">
      <c r="C97" s="13"/>
      <c r="D97" s="13"/>
    </row>
    <row r="98" spans="3:4" s="101" customFormat="1" ht="13" x14ac:dyDescent="0.45">
      <c r="C98" s="13"/>
      <c r="D98" s="13"/>
    </row>
    <row r="99" spans="3:4" s="101" customFormat="1" ht="13" x14ac:dyDescent="0.45">
      <c r="C99" s="13"/>
      <c r="D99" s="13"/>
    </row>
    <row r="100" spans="3:4" s="101" customFormat="1" ht="13" x14ac:dyDescent="0.45">
      <c r="C100" s="13"/>
      <c r="D100" s="13"/>
    </row>
    <row r="101" spans="3:4" s="101" customFormat="1" ht="13" x14ac:dyDescent="0.45">
      <c r="C101" s="13"/>
      <c r="D101" s="13"/>
    </row>
    <row r="102" spans="3:4" s="101" customFormat="1" ht="13" x14ac:dyDescent="0.45">
      <c r="C102" s="13"/>
      <c r="D102" s="13"/>
    </row>
    <row r="103" spans="3:4" s="101" customFormat="1" ht="13" x14ac:dyDescent="0.45">
      <c r="C103" s="13"/>
      <c r="D103" s="13"/>
    </row>
    <row r="104" spans="3:4" s="101" customFormat="1" ht="13" x14ac:dyDescent="0.45">
      <c r="C104" s="13"/>
      <c r="D104" s="13"/>
    </row>
    <row r="105" spans="3:4" s="101" customFormat="1" ht="13" x14ac:dyDescent="0.45">
      <c r="C105" s="13"/>
      <c r="D105" s="13"/>
    </row>
    <row r="106" spans="3:4" s="101" customFormat="1" ht="13" x14ac:dyDescent="0.45">
      <c r="C106" s="13"/>
      <c r="D106" s="13"/>
    </row>
    <row r="107" spans="3:4" s="101" customFormat="1" ht="13" x14ac:dyDescent="0.45">
      <c r="C107" s="13"/>
      <c r="D107" s="13"/>
    </row>
    <row r="108" spans="3:4" s="101" customFormat="1" ht="13" x14ac:dyDescent="0.45">
      <c r="C108" s="13"/>
      <c r="D108" s="13"/>
    </row>
    <row r="109" spans="3:4" s="101" customFormat="1" ht="13" x14ac:dyDescent="0.45">
      <c r="C109" s="13"/>
      <c r="D109" s="13"/>
    </row>
    <row r="110" spans="3:4" s="101" customFormat="1" ht="13" x14ac:dyDescent="0.45">
      <c r="C110" s="13"/>
      <c r="D110" s="13"/>
    </row>
    <row r="111" spans="3:4" s="101" customFormat="1" ht="13" x14ac:dyDescent="0.45">
      <c r="C111" s="13"/>
      <c r="D111" s="13"/>
    </row>
    <row r="112" spans="3:4" s="101" customFormat="1" ht="13" x14ac:dyDescent="0.45">
      <c r="C112" s="13"/>
      <c r="D112" s="13"/>
    </row>
    <row r="113" spans="3:4" s="101" customFormat="1" ht="13" x14ac:dyDescent="0.45">
      <c r="C113" s="13"/>
      <c r="D113" s="13"/>
    </row>
    <row r="114" spans="3:4" s="101" customFormat="1" ht="13" x14ac:dyDescent="0.45">
      <c r="C114" s="13"/>
      <c r="D114" s="13"/>
    </row>
    <row r="115" spans="3:4" s="101" customFormat="1" ht="13" x14ac:dyDescent="0.45">
      <c r="C115" s="13"/>
      <c r="D115" s="13"/>
    </row>
    <row r="116" spans="3:4" s="101" customFormat="1" ht="13" x14ac:dyDescent="0.45">
      <c r="C116" s="13"/>
      <c r="D116" s="13"/>
    </row>
    <row r="117" spans="3:4" s="101" customFormat="1" ht="13" x14ac:dyDescent="0.45">
      <c r="C117" s="13"/>
      <c r="D117" s="13"/>
    </row>
    <row r="118" spans="3:4" s="101" customFormat="1" ht="13" x14ac:dyDescent="0.45">
      <c r="C118" s="13"/>
      <c r="D118" s="13"/>
    </row>
    <row r="119" spans="3:4" s="101" customFormat="1" ht="13" x14ac:dyDescent="0.45">
      <c r="C119" s="13"/>
      <c r="D119" s="13"/>
    </row>
    <row r="120" spans="3:4" s="101" customFormat="1" ht="13" x14ac:dyDescent="0.45">
      <c r="C120" s="13"/>
      <c r="D120" s="13"/>
    </row>
    <row r="121" spans="3:4" s="101" customFormat="1" ht="13" x14ac:dyDescent="0.45">
      <c r="C121" s="13"/>
      <c r="D121" s="13"/>
    </row>
    <row r="122" spans="3:4" s="101" customFormat="1" ht="13" x14ac:dyDescent="0.45">
      <c r="C122" s="13"/>
      <c r="D122" s="13"/>
    </row>
    <row r="123" spans="3:4" s="101" customFormat="1" ht="13" x14ac:dyDescent="0.45">
      <c r="C123" s="13"/>
      <c r="D123" s="13"/>
    </row>
    <row r="124" spans="3:4" s="101" customFormat="1" ht="13" x14ac:dyDescent="0.45">
      <c r="C124" s="13"/>
      <c r="D124" s="13"/>
    </row>
  </sheetData>
  <mergeCells count="9">
    <mergeCell ref="B19:B24"/>
    <mergeCell ref="C22:C23"/>
    <mergeCell ref="D22:D23"/>
    <mergeCell ref="B7:B12"/>
    <mergeCell ref="C10:C11"/>
    <mergeCell ref="D10:D11"/>
    <mergeCell ref="B13:B18"/>
    <mergeCell ref="C16:C17"/>
    <mergeCell ref="D16:D17"/>
  </mergeCells>
  <phoneticPr fontId="3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A884-A53F-4209-8C0F-0508A9AFE735}">
  <dimension ref="B2:R125"/>
  <sheetViews>
    <sheetView zoomScale="90" zoomScaleNormal="90" workbookViewId="0">
      <selection activeCell="L34" sqref="L34"/>
    </sheetView>
  </sheetViews>
  <sheetFormatPr defaultColWidth="9" defaultRowHeight="14" x14ac:dyDescent="0.45"/>
  <cols>
    <col min="1" max="1" width="6.25" style="14" customWidth="1"/>
    <col min="2" max="2" width="9" style="13"/>
    <col min="3" max="3" width="20.08203125" style="23" customWidth="1"/>
    <col min="4" max="4" width="8.83203125" style="14" customWidth="1"/>
    <col min="5" max="5" width="11.25" style="14" bestFit="1" customWidth="1"/>
    <col min="6" max="6" width="14.83203125" style="14" customWidth="1"/>
    <col min="7" max="7" width="24.08203125" style="14" customWidth="1"/>
    <col min="8" max="8" width="7.75" style="14" customWidth="1"/>
    <col min="9" max="9" width="15.5" style="14" customWidth="1"/>
    <col min="10" max="10" width="23.58203125" style="14" customWidth="1"/>
    <col min="11" max="11" width="7.58203125" style="14" customWidth="1"/>
    <col min="12" max="12" width="12" style="14" customWidth="1"/>
    <col min="13" max="13" width="23.33203125" style="14" customWidth="1"/>
    <col min="14" max="14" width="7.83203125" style="14" customWidth="1"/>
    <col min="15" max="15" width="3.25" style="14" customWidth="1"/>
    <col min="16" max="16" width="10.25" style="14" customWidth="1"/>
    <col min="17" max="17" width="7" style="14" customWidth="1"/>
    <col min="18" max="16384" width="9" style="14"/>
  </cols>
  <sheetData>
    <row r="2" spans="2:18" x14ac:dyDescent="0.45">
      <c r="K2" s="13"/>
      <c r="N2" s="13"/>
    </row>
    <row r="3" spans="2:18" s="101" customFormat="1" ht="13" x14ac:dyDescent="0.45">
      <c r="B3" s="24" t="s">
        <v>1500</v>
      </c>
      <c r="D3" s="24"/>
      <c r="E3" s="24"/>
    </row>
    <row r="4" spans="2:18" s="101" customFormat="1" ht="13" x14ac:dyDescent="0.45">
      <c r="B4" s="24"/>
      <c r="D4" s="24"/>
      <c r="E4" s="24"/>
    </row>
    <row r="5" spans="2:18" s="101" customFormat="1" ht="13" x14ac:dyDescent="0.45">
      <c r="B5" s="13"/>
      <c r="C5" s="13"/>
    </row>
    <row r="6" spans="2:18" s="102" customFormat="1" ht="13" x14ac:dyDescent="0.45">
      <c r="B6" s="13"/>
      <c r="C6" s="13"/>
      <c r="D6" s="13" t="s">
        <v>765</v>
      </c>
      <c r="E6" s="13" t="s">
        <v>3</v>
      </c>
      <c r="F6" s="13" t="s">
        <v>766</v>
      </c>
      <c r="G6" s="13" t="s">
        <v>794</v>
      </c>
      <c r="H6" s="13" t="s">
        <v>5</v>
      </c>
      <c r="I6" s="13" t="s">
        <v>767</v>
      </c>
      <c r="J6" s="13" t="s">
        <v>795</v>
      </c>
      <c r="K6" s="13" t="s">
        <v>5</v>
      </c>
      <c r="L6" s="13" t="s">
        <v>768</v>
      </c>
      <c r="M6" s="13" t="s">
        <v>796</v>
      </c>
      <c r="N6" s="13" t="s">
        <v>5</v>
      </c>
    </row>
    <row r="7" spans="2:18" s="102" customFormat="1" ht="13" x14ac:dyDescent="0.45">
      <c r="B7" s="19"/>
      <c r="C7" s="19"/>
      <c r="D7" s="19" t="s">
        <v>769</v>
      </c>
      <c r="E7" s="19"/>
      <c r="F7" s="19" t="s">
        <v>770</v>
      </c>
      <c r="G7" s="19" t="s">
        <v>797</v>
      </c>
      <c r="H7" s="104"/>
      <c r="I7" s="74" t="s">
        <v>771</v>
      </c>
      <c r="J7" s="19" t="s">
        <v>797</v>
      </c>
      <c r="K7" s="104"/>
      <c r="L7" s="75" t="s">
        <v>772</v>
      </c>
      <c r="M7" s="19" t="s">
        <v>797</v>
      </c>
      <c r="N7" s="104"/>
    </row>
    <row r="8" spans="2:18" s="101" customFormat="1" ht="13" x14ac:dyDescent="0.45">
      <c r="B8" s="17"/>
      <c r="C8" s="236"/>
      <c r="D8" s="155" t="s">
        <v>1506</v>
      </c>
      <c r="E8" s="156">
        <v>2016</v>
      </c>
      <c r="F8" s="106">
        <v>16529</v>
      </c>
      <c r="G8" s="108">
        <v>81989.087301587308</v>
      </c>
      <c r="H8" s="300">
        <v>100.00010647963423</v>
      </c>
      <c r="I8" s="156">
        <v>11879</v>
      </c>
      <c r="J8" s="229">
        <v>58923.611111111109</v>
      </c>
      <c r="K8" s="108">
        <v>103.37294277488309</v>
      </c>
      <c r="L8" s="106">
        <v>11983</v>
      </c>
      <c r="M8" s="108">
        <v>59439.484126984127</v>
      </c>
      <c r="N8" s="301">
        <v>100.00081449382414</v>
      </c>
    </row>
    <row r="9" spans="2:18" s="101" customFormat="1" ht="13" x14ac:dyDescent="0.45">
      <c r="B9" s="68" t="s">
        <v>7</v>
      </c>
      <c r="C9" s="244" t="s">
        <v>1502</v>
      </c>
      <c r="D9" s="161" t="s">
        <v>1507</v>
      </c>
      <c r="E9" s="162">
        <v>2023</v>
      </c>
      <c r="F9" s="101">
        <v>17280</v>
      </c>
      <c r="G9" s="114">
        <v>85417.696490360846</v>
      </c>
      <c r="H9" s="302">
        <v>104.18189816970673</v>
      </c>
      <c r="I9" s="162">
        <v>12149</v>
      </c>
      <c r="J9" s="231">
        <v>60054.374691052893</v>
      </c>
      <c r="K9" s="114">
        <v>105.3567037263432</v>
      </c>
      <c r="L9" s="101">
        <v>13032</v>
      </c>
      <c r="M9" s="114">
        <v>64419.179436480474</v>
      </c>
      <c r="N9" s="303">
        <v>108.37863933861686</v>
      </c>
    </row>
    <row r="10" spans="2:18" s="101" customFormat="1" ht="13" x14ac:dyDescent="0.25">
      <c r="B10" s="68" t="s">
        <v>776</v>
      </c>
      <c r="C10" s="13" t="s">
        <v>1503</v>
      </c>
      <c r="D10" s="161" t="s">
        <v>1508</v>
      </c>
      <c r="E10" s="162">
        <v>2021</v>
      </c>
      <c r="F10" s="101">
        <v>15931</v>
      </c>
      <c r="G10" s="114">
        <v>78827.313211281551</v>
      </c>
      <c r="H10" s="302">
        <v>96.14376710446713</v>
      </c>
      <c r="I10" s="162">
        <v>10842</v>
      </c>
      <c r="J10" s="231">
        <v>53646.709549727857</v>
      </c>
      <c r="K10" s="114">
        <v>94.115383150695351</v>
      </c>
      <c r="L10" s="101">
        <v>10582</v>
      </c>
      <c r="M10" s="114">
        <v>52360.217714002967</v>
      </c>
      <c r="N10" s="303">
        <v>88.090677356622706</v>
      </c>
      <c r="R10" s="95"/>
    </row>
    <row r="11" spans="2:18" s="101" customFormat="1" ht="13" x14ac:dyDescent="0.25">
      <c r="B11" s="371" t="s">
        <v>778</v>
      </c>
      <c r="C11" s="399" t="s">
        <v>1501</v>
      </c>
      <c r="D11" s="161" t="s">
        <v>1509</v>
      </c>
      <c r="E11" s="162">
        <v>2027</v>
      </c>
      <c r="F11" s="101">
        <v>15849</v>
      </c>
      <c r="G11" s="114">
        <v>78189.442525900347</v>
      </c>
      <c r="H11" s="302">
        <v>95.36577165949133</v>
      </c>
      <c r="I11" s="162">
        <v>11591</v>
      </c>
      <c r="J11" s="231">
        <v>57183.029107054761</v>
      </c>
      <c r="K11" s="114">
        <v>100.31934370810119</v>
      </c>
      <c r="L11" s="101">
        <v>2337</v>
      </c>
      <c r="M11" s="114">
        <v>11529.353724716329</v>
      </c>
      <c r="N11" s="303">
        <v>19.396951033355759</v>
      </c>
      <c r="P11" s="24" t="s">
        <v>1512</v>
      </c>
      <c r="R11" s="95"/>
    </row>
    <row r="12" spans="2:18" s="101" customFormat="1" ht="13" x14ac:dyDescent="0.25">
      <c r="B12" s="371"/>
      <c r="C12" s="399"/>
      <c r="D12" s="161" t="s">
        <v>1510</v>
      </c>
      <c r="E12" s="162">
        <v>2023</v>
      </c>
      <c r="F12" s="101">
        <v>11529</v>
      </c>
      <c r="G12" s="114">
        <v>56989.619377162628</v>
      </c>
      <c r="H12" s="302">
        <v>69.508860185101213</v>
      </c>
      <c r="I12" s="162">
        <v>8218</v>
      </c>
      <c r="J12" s="231">
        <v>40622.837370242218</v>
      </c>
      <c r="K12" s="114">
        <v>71.266885441031235</v>
      </c>
      <c r="L12" s="101">
        <v>1275</v>
      </c>
      <c r="M12" s="114">
        <v>6302.5210084033615</v>
      </c>
      <c r="N12" s="303">
        <v>10.603342937134476</v>
      </c>
      <c r="P12" s="304" t="s">
        <v>1513</v>
      </c>
      <c r="R12" s="95"/>
    </row>
    <row r="13" spans="2:18" s="101" customFormat="1" ht="13" x14ac:dyDescent="0.25">
      <c r="B13" s="76"/>
      <c r="C13" s="13"/>
      <c r="D13" s="161" t="s">
        <v>1511</v>
      </c>
      <c r="E13" s="162">
        <v>2022</v>
      </c>
      <c r="F13" s="101">
        <v>1437</v>
      </c>
      <c r="G13" s="114">
        <v>7106.824925816024</v>
      </c>
      <c r="H13" s="302">
        <v>8.6680224491285713</v>
      </c>
      <c r="I13" s="162">
        <v>1073</v>
      </c>
      <c r="J13" s="231">
        <v>5306.6271018793277</v>
      </c>
      <c r="K13" s="114">
        <v>9.3097087803360079</v>
      </c>
      <c r="L13" s="101">
        <v>160</v>
      </c>
      <c r="M13" s="114">
        <v>791.29574678536108</v>
      </c>
      <c r="N13" s="303">
        <v>1.3312736533006293</v>
      </c>
      <c r="R13" s="95"/>
    </row>
    <row r="14" spans="2:18" s="101" customFormat="1" ht="13" x14ac:dyDescent="0.25">
      <c r="B14" s="17"/>
      <c r="C14" s="236"/>
      <c r="D14" s="155" t="s">
        <v>1506</v>
      </c>
      <c r="E14" s="156">
        <v>2034</v>
      </c>
      <c r="F14" s="106">
        <v>18772</v>
      </c>
      <c r="G14" s="108">
        <v>92291.052114060964</v>
      </c>
      <c r="H14" s="300">
        <v>100.00005646711053</v>
      </c>
      <c r="I14" s="156">
        <v>11879</v>
      </c>
      <c r="J14" s="229">
        <v>58402.163225172073</v>
      </c>
      <c r="K14" s="108">
        <v>102.45813797156553</v>
      </c>
      <c r="L14" s="106">
        <v>14670</v>
      </c>
      <c r="M14" s="108">
        <v>72123.893805309737</v>
      </c>
      <c r="N14" s="301">
        <v>99.99985276095299</v>
      </c>
      <c r="R14" s="95"/>
    </row>
    <row r="15" spans="2:18" s="101" customFormat="1" ht="13" x14ac:dyDescent="0.25">
      <c r="B15" s="68" t="s">
        <v>7</v>
      </c>
      <c r="C15" s="244" t="s">
        <v>1502</v>
      </c>
      <c r="D15" s="161" t="s">
        <v>1507</v>
      </c>
      <c r="E15" s="162">
        <v>2033</v>
      </c>
      <c r="F15" s="101">
        <v>18789</v>
      </c>
      <c r="G15" s="114">
        <v>92420.068863748151</v>
      </c>
      <c r="H15" s="302">
        <v>100.13984989191596</v>
      </c>
      <c r="I15" s="162">
        <v>11787</v>
      </c>
      <c r="J15" s="231">
        <v>57978.357107722579</v>
      </c>
      <c r="K15" s="114">
        <v>101.71463151124117</v>
      </c>
      <c r="L15" s="101">
        <v>14383</v>
      </c>
      <c r="M15" s="114">
        <v>70747.663551401871</v>
      </c>
      <c r="N15" s="303">
        <v>98.091708101882688</v>
      </c>
      <c r="R15" s="95"/>
    </row>
    <row r="16" spans="2:18" s="101" customFormat="1" ht="13" x14ac:dyDescent="0.25">
      <c r="B16" s="68" t="s">
        <v>776</v>
      </c>
      <c r="C16" s="13" t="s">
        <v>1503</v>
      </c>
      <c r="D16" s="161" t="s">
        <v>1508</v>
      </c>
      <c r="E16" s="162">
        <v>2057</v>
      </c>
      <c r="F16" s="101">
        <v>13527</v>
      </c>
      <c r="G16" s="114">
        <v>65760.81672338357</v>
      </c>
      <c r="H16" s="302">
        <v>71.253769840378339</v>
      </c>
      <c r="I16" s="162">
        <v>8524</v>
      </c>
      <c r="J16" s="231">
        <v>41438.98881866796</v>
      </c>
      <c r="K16" s="114">
        <v>72.698704967751368</v>
      </c>
      <c r="L16" s="101">
        <v>6295</v>
      </c>
      <c r="M16" s="114">
        <v>30602.819640252794</v>
      </c>
      <c r="N16" s="303">
        <v>42.430840830032714</v>
      </c>
      <c r="R16" s="95"/>
    </row>
    <row r="17" spans="2:18" s="101" customFormat="1" ht="13" x14ac:dyDescent="0.25">
      <c r="B17" s="371" t="s">
        <v>778</v>
      </c>
      <c r="C17" s="399" t="s">
        <v>1504</v>
      </c>
      <c r="D17" s="161" t="s">
        <v>1509</v>
      </c>
      <c r="E17" s="162">
        <v>2032</v>
      </c>
      <c r="F17" s="101">
        <v>12614</v>
      </c>
      <c r="G17" s="114">
        <v>62076.771653543306</v>
      </c>
      <c r="H17" s="302">
        <v>67.261999169521729</v>
      </c>
      <c r="I17" s="162">
        <v>7582</v>
      </c>
      <c r="J17" s="231">
        <v>37312.992125984252</v>
      </c>
      <c r="K17" s="114">
        <v>65.46024126942379</v>
      </c>
      <c r="L17" s="101">
        <v>1341</v>
      </c>
      <c r="M17" s="114">
        <v>6599.4094488188975</v>
      </c>
      <c r="N17" s="303">
        <v>9.1500879718525017</v>
      </c>
      <c r="P17" s="24" t="s">
        <v>1514</v>
      </c>
      <c r="R17" s="95"/>
    </row>
    <row r="18" spans="2:18" s="101" customFormat="1" ht="13" x14ac:dyDescent="0.25">
      <c r="B18" s="371"/>
      <c r="C18" s="399"/>
      <c r="D18" s="161" t="s">
        <v>1510</v>
      </c>
      <c r="E18" s="162">
        <v>2046</v>
      </c>
      <c r="F18" s="101">
        <v>5007</v>
      </c>
      <c r="G18" s="114">
        <v>24472.140762463343</v>
      </c>
      <c r="H18" s="302">
        <v>26.516280853456287</v>
      </c>
      <c r="I18" s="162">
        <v>3635</v>
      </c>
      <c r="J18" s="231">
        <v>17766.373411534703</v>
      </c>
      <c r="K18" s="114">
        <v>31.168529344282913</v>
      </c>
      <c r="L18" s="101">
        <v>728</v>
      </c>
      <c r="M18" s="114">
        <v>3558.162267839687</v>
      </c>
      <c r="N18" s="303">
        <v>4.9333956350724959</v>
      </c>
      <c r="P18" s="304" t="s">
        <v>1515</v>
      </c>
      <c r="R18" s="95"/>
    </row>
    <row r="19" spans="2:18" s="101" customFormat="1" ht="13" x14ac:dyDescent="0.25">
      <c r="B19" s="77"/>
      <c r="C19" s="13"/>
      <c r="D19" s="164" t="s">
        <v>1511</v>
      </c>
      <c r="E19" s="165">
        <v>2035</v>
      </c>
      <c r="F19" s="137">
        <v>225</v>
      </c>
      <c r="G19" s="139">
        <v>1105.6511056511056</v>
      </c>
      <c r="H19" s="305">
        <v>1.1980053370871542</v>
      </c>
      <c r="I19" s="165">
        <v>117</v>
      </c>
      <c r="J19" s="234">
        <v>574.9385749385749</v>
      </c>
      <c r="K19" s="139">
        <v>1.0086464710067804</v>
      </c>
      <c r="L19" s="137">
        <v>12</v>
      </c>
      <c r="M19" s="139">
        <v>58.968058968058969</v>
      </c>
      <c r="N19" s="306">
        <v>8.1759274261076723E-2</v>
      </c>
      <c r="R19" s="95"/>
    </row>
    <row r="20" spans="2:18" s="101" customFormat="1" ht="13" x14ac:dyDescent="0.25">
      <c r="B20" s="68"/>
      <c r="C20" s="258"/>
      <c r="D20" s="161" t="s">
        <v>1506</v>
      </c>
      <c r="E20" s="162">
        <v>2050</v>
      </c>
      <c r="F20" s="101">
        <v>19624</v>
      </c>
      <c r="G20" s="114">
        <v>95726.829268292684</v>
      </c>
      <c r="H20" s="302">
        <v>99.99982164728101</v>
      </c>
      <c r="I20" s="162">
        <v>11879</v>
      </c>
      <c r="J20" s="231">
        <v>57946.341463414632</v>
      </c>
      <c r="K20" s="114">
        <v>101.65846469959234</v>
      </c>
      <c r="L20" s="101">
        <v>14999</v>
      </c>
      <c r="M20" s="114">
        <v>73165.85365853658</v>
      </c>
      <c r="N20" s="303">
        <v>99.999799987065813</v>
      </c>
      <c r="R20" s="95"/>
    </row>
    <row r="21" spans="2:18" s="101" customFormat="1" ht="13" x14ac:dyDescent="0.25">
      <c r="B21" s="68" t="s">
        <v>7</v>
      </c>
      <c r="C21" s="244" t="s">
        <v>1502</v>
      </c>
      <c r="D21" s="161" t="s">
        <v>1507</v>
      </c>
      <c r="E21" s="162">
        <v>2060</v>
      </c>
      <c r="F21" s="101">
        <v>20080</v>
      </c>
      <c r="G21" s="114">
        <v>97475.728155339806</v>
      </c>
      <c r="H21" s="302">
        <v>101.8267867533087</v>
      </c>
      <c r="I21" s="162">
        <v>13407</v>
      </c>
      <c r="J21" s="231">
        <v>65082.524271844661</v>
      </c>
      <c r="K21" s="114">
        <v>114.17786402316565</v>
      </c>
      <c r="L21" s="101">
        <v>14430</v>
      </c>
      <c r="M21" s="114">
        <v>70048.543689320388</v>
      </c>
      <c r="N21" s="303">
        <v>95.739200843725754</v>
      </c>
      <c r="R21" s="95"/>
    </row>
    <row r="22" spans="2:18" s="101" customFormat="1" ht="13" x14ac:dyDescent="0.25">
      <c r="B22" s="68" t="s">
        <v>776</v>
      </c>
      <c r="C22" s="13" t="s">
        <v>1503</v>
      </c>
      <c r="D22" s="161" t="s">
        <v>1508</v>
      </c>
      <c r="E22" s="162">
        <v>2053</v>
      </c>
      <c r="F22" s="101">
        <v>18027</v>
      </c>
      <c r="G22" s="114">
        <v>87808.085728202626</v>
      </c>
      <c r="H22" s="302">
        <v>91.727606347428235</v>
      </c>
      <c r="I22" s="162">
        <v>14145</v>
      </c>
      <c r="J22" s="231">
        <v>68899.17194349732</v>
      </c>
      <c r="K22" s="114">
        <v>120.87361966193106</v>
      </c>
      <c r="L22" s="101">
        <v>4067</v>
      </c>
      <c r="M22" s="114">
        <v>19810.034096444229</v>
      </c>
      <c r="N22" s="303">
        <v>27.075464145155166</v>
      </c>
      <c r="R22" s="95"/>
    </row>
    <row r="23" spans="2:18" s="101" customFormat="1" ht="13" x14ac:dyDescent="0.25">
      <c r="B23" s="371" t="s">
        <v>778</v>
      </c>
      <c r="C23" s="399" t="s">
        <v>1505</v>
      </c>
      <c r="D23" s="161" t="s">
        <v>1509</v>
      </c>
      <c r="E23" s="162">
        <v>2061</v>
      </c>
      <c r="F23" s="101">
        <v>16300</v>
      </c>
      <c r="G23" s="114">
        <v>79087.821445900045</v>
      </c>
      <c r="H23" s="302">
        <v>82.618092540140239</v>
      </c>
      <c r="I23" s="162">
        <v>12236</v>
      </c>
      <c r="J23" s="231">
        <v>59369.238233867058</v>
      </c>
      <c r="K23" s="114">
        <v>104.15473102904696</v>
      </c>
      <c r="L23" s="101">
        <v>788</v>
      </c>
      <c r="M23" s="114">
        <v>3823.3867054827751</v>
      </c>
      <c r="N23" s="303">
        <v>5.2256330884328444</v>
      </c>
      <c r="P23" s="24" t="s">
        <v>1516</v>
      </c>
      <c r="R23" s="95"/>
    </row>
    <row r="24" spans="2:18" s="101" customFormat="1" ht="13" x14ac:dyDescent="0.25">
      <c r="B24" s="371"/>
      <c r="C24" s="399"/>
      <c r="D24" s="161" t="s">
        <v>1510</v>
      </c>
      <c r="E24" s="162">
        <v>2066</v>
      </c>
      <c r="F24" s="101">
        <v>7153</v>
      </c>
      <c r="G24" s="114">
        <v>34622.45885769603</v>
      </c>
      <c r="H24" s="302">
        <v>36.167913815011474</v>
      </c>
      <c r="I24" s="162">
        <v>5122</v>
      </c>
      <c r="J24" s="231">
        <v>24791.868344627299</v>
      </c>
      <c r="K24" s="114">
        <v>43.493742819647544</v>
      </c>
      <c r="L24" s="101">
        <v>889</v>
      </c>
      <c r="M24" s="114">
        <v>4303.0009680542107</v>
      </c>
      <c r="N24" s="303">
        <v>5.8811483039310755</v>
      </c>
      <c r="P24" s="304" t="s">
        <v>1517</v>
      </c>
      <c r="R24" s="95"/>
    </row>
    <row r="25" spans="2:18" s="101" customFormat="1" ht="13" x14ac:dyDescent="0.25">
      <c r="B25" s="77"/>
      <c r="C25" s="18"/>
      <c r="D25" s="164" t="s">
        <v>1511</v>
      </c>
      <c r="E25" s="165">
        <v>2064</v>
      </c>
      <c r="F25" s="137">
        <v>4997</v>
      </c>
      <c r="G25" s="139">
        <v>24210.271317829458</v>
      </c>
      <c r="H25" s="305">
        <v>25.290953772529651</v>
      </c>
      <c r="I25" s="165">
        <v>3072</v>
      </c>
      <c r="J25" s="234">
        <v>14883.720930232557</v>
      </c>
      <c r="K25" s="139">
        <v>26.11133301210954</v>
      </c>
      <c r="L25" s="137">
        <v>765</v>
      </c>
      <c r="M25" s="139">
        <v>3706.3953488372094</v>
      </c>
      <c r="N25" s="306">
        <v>5.0657345609124587</v>
      </c>
      <c r="R25" s="95"/>
    </row>
    <row r="26" spans="2:18" s="101" customFormat="1" ht="13" x14ac:dyDescent="0.25">
      <c r="B26" s="13"/>
      <c r="C26" s="13"/>
      <c r="D26" s="259"/>
      <c r="R26" s="95"/>
    </row>
    <row r="27" spans="2:18" s="101" customFormat="1" ht="13" x14ac:dyDescent="0.25">
      <c r="B27" s="13"/>
      <c r="C27" s="13"/>
      <c r="G27" s="24" t="s">
        <v>785</v>
      </c>
      <c r="M27" s="24"/>
      <c r="R27" s="95"/>
    </row>
    <row r="28" spans="2:18" s="101" customFormat="1" ht="13" x14ac:dyDescent="0.25">
      <c r="B28" s="13"/>
      <c r="C28" s="13"/>
      <c r="R28" s="95"/>
    </row>
    <row r="29" spans="2:18" s="101" customFormat="1" ht="13" x14ac:dyDescent="0.25">
      <c r="E29" s="262"/>
      <c r="F29" s="24"/>
      <c r="H29" s="262"/>
      <c r="I29" s="24"/>
      <c r="K29" s="262"/>
      <c r="L29" s="24"/>
      <c r="R29" s="95"/>
    </row>
    <row r="30" spans="2:18" s="101" customFormat="1" ht="13" x14ac:dyDescent="0.25">
      <c r="B30" s="13"/>
      <c r="C30" s="13"/>
      <c r="M30" s="24"/>
      <c r="R30" s="95"/>
    </row>
    <row r="31" spans="2:18" s="101" customFormat="1" ht="13" x14ac:dyDescent="0.25">
      <c r="B31" s="13"/>
      <c r="C31" s="13"/>
      <c r="R31" s="95"/>
    </row>
    <row r="32" spans="2:18" s="101" customFormat="1" ht="13" x14ac:dyDescent="0.25">
      <c r="B32" s="13"/>
      <c r="C32" s="13"/>
      <c r="M32" s="307"/>
      <c r="R32" s="95"/>
    </row>
    <row r="33" spans="2:18" s="101" customFormat="1" ht="13" x14ac:dyDescent="0.25">
      <c r="B33" s="13"/>
      <c r="C33" s="13"/>
      <c r="R33" s="95"/>
    </row>
    <row r="34" spans="2:18" s="101" customFormat="1" ht="13" x14ac:dyDescent="0.45">
      <c r="B34" s="13"/>
      <c r="C34" s="13"/>
    </row>
    <row r="35" spans="2:18" s="101" customFormat="1" ht="13" x14ac:dyDescent="0.25">
      <c r="B35" s="13"/>
      <c r="C35" s="13"/>
      <c r="R35" s="95"/>
    </row>
    <row r="36" spans="2:18" s="101" customFormat="1" ht="13" x14ac:dyDescent="0.25">
      <c r="B36" s="13"/>
      <c r="C36" s="13"/>
      <c r="R36" s="95"/>
    </row>
    <row r="37" spans="2:18" s="101" customFormat="1" ht="13" x14ac:dyDescent="0.25">
      <c r="B37" s="13"/>
      <c r="C37" s="13"/>
      <c r="R37" s="95"/>
    </row>
    <row r="38" spans="2:18" s="101" customFormat="1" ht="13" x14ac:dyDescent="0.25">
      <c r="B38" s="13"/>
      <c r="C38" s="13"/>
      <c r="R38" s="95"/>
    </row>
    <row r="39" spans="2:18" s="101" customFormat="1" ht="13" x14ac:dyDescent="0.25">
      <c r="B39" s="13"/>
      <c r="C39" s="13"/>
      <c r="R39" s="95"/>
    </row>
    <row r="40" spans="2:18" s="101" customFormat="1" ht="13" x14ac:dyDescent="0.25">
      <c r="B40" s="13"/>
      <c r="C40" s="13"/>
      <c r="R40" s="95"/>
    </row>
    <row r="41" spans="2:18" s="101" customFormat="1" ht="13" x14ac:dyDescent="0.25">
      <c r="B41" s="13"/>
      <c r="C41" s="13"/>
      <c r="R41" s="95"/>
    </row>
    <row r="42" spans="2:18" s="101" customFormat="1" ht="13" x14ac:dyDescent="0.25">
      <c r="B42" s="13"/>
      <c r="C42" s="13"/>
      <c r="R42" s="95"/>
    </row>
    <row r="43" spans="2:18" s="101" customFormat="1" ht="13" x14ac:dyDescent="0.25">
      <c r="B43" s="13"/>
      <c r="C43" s="13"/>
      <c r="R43" s="95"/>
    </row>
    <row r="44" spans="2:18" s="101" customFormat="1" ht="13" x14ac:dyDescent="0.25">
      <c r="B44" s="13"/>
      <c r="C44" s="13"/>
      <c r="R44" s="95"/>
    </row>
    <row r="45" spans="2:18" s="101" customFormat="1" ht="13" x14ac:dyDescent="0.25">
      <c r="B45" s="13"/>
      <c r="C45" s="13"/>
      <c r="R45" s="95"/>
    </row>
    <row r="46" spans="2:18" s="101" customFormat="1" ht="13" x14ac:dyDescent="0.25">
      <c r="B46" s="13"/>
      <c r="C46" s="13"/>
      <c r="R46" s="95"/>
    </row>
    <row r="47" spans="2:18" s="101" customFormat="1" ht="13" x14ac:dyDescent="0.25">
      <c r="B47" s="13"/>
      <c r="C47" s="13"/>
      <c r="R47" s="95"/>
    </row>
    <row r="48" spans="2:18" s="101" customFormat="1" ht="13" x14ac:dyDescent="0.25">
      <c r="B48" s="13"/>
      <c r="C48" s="13"/>
      <c r="R48" s="95"/>
    </row>
    <row r="49" spans="2:18" s="101" customFormat="1" ht="13" x14ac:dyDescent="0.25">
      <c r="B49" s="13"/>
      <c r="C49" s="13"/>
      <c r="R49" s="95"/>
    </row>
    <row r="50" spans="2:18" s="101" customFormat="1" ht="13" x14ac:dyDescent="0.25">
      <c r="B50" s="13"/>
      <c r="C50" s="13"/>
      <c r="R50" s="95"/>
    </row>
    <row r="51" spans="2:18" s="101" customFormat="1" ht="13" x14ac:dyDescent="0.25">
      <c r="B51" s="13"/>
      <c r="C51" s="13"/>
      <c r="R51" s="95"/>
    </row>
    <row r="52" spans="2:18" s="101" customFormat="1" x14ac:dyDescent="0.25">
      <c r="B52" s="13"/>
      <c r="C52" s="23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R52" s="95"/>
    </row>
    <row r="53" spans="2:18" s="101" customFormat="1" x14ac:dyDescent="0.25">
      <c r="B53" s="13"/>
      <c r="C53" s="23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R53" s="95"/>
    </row>
    <row r="54" spans="2:18" s="101" customFormat="1" x14ac:dyDescent="0.25">
      <c r="B54" s="13"/>
      <c r="C54" s="23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R54" s="95"/>
    </row>
    <row r="55" spans="2:18" s="101" customFormat="1" x14ac:dyDescent="0.25">
      <c r="B55" s="13"/>
      <c r="C55" s="23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R55" s="95"/>
    </row>
    <row r="56" spans="2:18" s="101" customFormat="1" x14ac:dyDescent="0.25">
      <c r="B56" s="13"/>
      <c r="C56" s="23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R56" s="95"/>
    </row>
    <row r="57" spans="2:18" s="101" customFormat="1" x14ac:dyDescent="0.25">
      <c r="B57" s="13"/>
      <c r="C57" s="23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R57" s="95"/>
    </row>
    <row r="58" spans="2:18" s="101" customFormat="1" x14ac:dyDescent="0.25">
      <c r="B58" s="13"/>
      <c r="C58" s="23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R58" s="95"/>
    </row>
    <row r="59" spans="2:18" s="101" customFormat="1" x14ac:dyDescent="0.45">
      <c r="B59" s="13"/>
      <c r="C59" s="23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2:18" s="101" customFormat="1" x14ac:dyDescent="0.45">
      <c r="B60" s="13"/>
      <c r="C60" s="23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2:18" s="101" customFormat="1" x14ac:dyDescent="0.45">
      <c r="B61" s="13"/>
      <c r="C61" s="23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2:18" s="101" customFormat="1" x14ac:dyDescent="0.45">
      <c r="B62" s="13"/>
      <c r="C62" s="23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2:18" s="101" customFormat="1" x14ac:dyDescent="0.45">
      <c r="B63" s="13"/>
      <c r="C63" s="2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2:18" s="101" customFormat="1" x14ac:dyDescent="0.45">
      <c r="B64" s="13"/>
      <c r="C64" s="23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s="101" customFormat="1" x14ac:dyDescent="0.45">
      <c r="B65" s="13"/>
      <c r="C65" s="23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s="101" customFormat="1" x14ac:dyDescent="0.45">
      <c r="B66" s="13"/>
      <c r="C66" s="23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s="101" customFormat="1" x14ac:dyDescent="0.45">
      <c r="B67" s="13"/>
      <c r="C67" s="23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s="101" customFormat="1" x14ac:dyDescent="0.45">
      <c r="B68" s="13"/>
      <c r="C68" s="23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s="101" customFormat="1" x14ac:dyDescent="0.45">
      <c r="B69" s="13"/>
      <c r="C69" s="2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s="101" customFormat="1" x14ac:dyDescent="0.45">
      <c r="B70" s="13"/>
      <c r="C70" s="23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s="101" customFormat="1" x14ac:dyDescent="0.45">
      <c r="B71" s="13"/>
      <c r="C71" s="2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s="101" customFormat="1" x14ac:dyDescent="0.45">
      <c r="B72" s="13"/>
      <c r="C72" s="23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s="101" customFormat="1" x14ac:dyDescent="0.45">
      <c r="B73" s="13"/>
      <c r="C73" s="2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s="101" customFormat="1" x14ac:dyDescent="0.45">
      <c r="B74" s="13"/>
      <c r="C74" s="23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s="101" customFormat="1" x14ac:dyDescent="0.45">
      <c r="B75" s="13"/>
      <c r="C75" s="2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s="101" customFormat="1" x14ac:dyDescent="0.45">
      <c r="B76" s="13"/>
      <c r="C76" s="2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2:16" s="101" customFormat="1" x14ac:dyDescent="0.45">
      <c r="B77" s="13"/>
      <c r="C77" s="23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2:16" s="101" customFormat="1" x14ac:dyDescent="0.45">
      <c r="B78" s="13"/>
      <c r="C78" s="23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2:16" s="101" customFormat="1" x14ac:dyDescent="0.45">
      <c r="B79" s="13"/>
      <c r="C79" s="23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2:16" s="101" customFormat="1" x14ac:dyDescent="0.45">
      <c r="B80" s="13"/>
      <c r="C80" s="23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2:16" s="101" customFormat="1" x14ac:dyDescent="0.45">
      <c r="B81" s="13"/>
      <c r="C81" s="23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2:16" s="101" customFormat="1" x14ac:dyDescent="0.45">
      <c r="B82" s="13"/>
      <c r="C82" s="23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2:16" s="101" customFormat="1" x14ac:dyDescent="0.45">
      <c r="B83" s="13"/>
      <c r="C83" s="2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2:16" s="101" customFormat="1" x14ac:dyDescent="0.45">
      <c r="B84" s="13"/>
      <c r="C84" s="23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2:16" s="101" customFormat="1" x14ac:dyDescent="0.45">
      <c r="B85" s="13"/>
      <c r="C85" s="23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2:16" s="101" customFormat="1" x14ac:dyDescent="0.45">
      <c r="B86" s="13"/>
      <c r="C86" s="23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2:16" s="101" customFormat="1" x14ac:dyDescent="0.45">
      <c r="B87" s="13"/>
      <c r="C87" s="23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2:16" s="101" customFormat="1" x14ac:dyDescent="0.45">
      <c r="B88" s="13"/>
      <c r="C88" s="2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2:16" s="101" customFormat="1" x14ac:dyDescent="0.45">
      <c r="B89" s="13"/>
      <c r="C89" s="23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2:16" s="101" customFormat="1" x14ac:dyDescent="0.45">
      <c r="B90" s="13"/>
      <c r="C90" s="2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2:16" s="101" customFormat="1" x14ac:dyDescent="0.45">
      <c r="B91" s="13"/>
      <c r="C91" s="2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2:16" s="101" customFormat="1" x14ac:dyDescent="0.45">
      <c r="B92" s="13"/>
      <c r="C92" s="23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2:16" s="101" customFormat="1" x14ac:dyDescent="0.45">
      <c r="B93" s="13"/>
      <c r="C93" s="23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2:16" s="101" customFormat="1" x14ac:dyDescent="0.45">
      <c r="B94" s="13"/>
      <c r="C94" s="2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2:16" s="101" customFormat="1" x14ac:dyDescent="0.45">
      <c r="B95" s="13"/>
      <c r="C95" s="23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2:16" s="101" customFormat="1" x14ac:dyDescent="0.45">
      <c r="B96" s="13"/>
      <c r="C96" s="23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2:16" s="101" customFormat="1" x14ac:dyDescent="0.45">
      <c r="B97" s="13"/>
      <c r="C97" s="23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2:16" s="101" customFormat="1" x14ac:dyDescent="0.45">
      <c r="B98" s="13"/>
      <c r="C98" s="23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2:16" s="101" customFormat="1" x14ac:dyDescent="0.45">
      <c r="B99" s="13"/>
      <c r="C99" s="23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2:16" s="101" customFormat="1" x14ac:dyDescent="0.45">
      <c r="B100" s="13"/>
      <c r="C100" s="23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2:16" s="101" customFormat="1" x14ac:dyDescent="0.45">
      <c r="B101" s="13"/>
      <c r="C101" s="2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2:16" s="101" customFormat="1" x14ac:dyDescent="0.45">
      <c r="B102" s="13"/>
      <c r="C102" s="23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2:16" s="101" customFormat="1" x14ac:dyDescent="0.45">
      <c r="B103" s="13"/>
      <c r="C103" s="23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2:16" s="101" customFormat="1" x14ac:dyDescent="0.45">
      <c r="B104" s="13"/>
      <c r="C104" s="2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2:16" s="101" customFormat="1" x14ac:dyDescent="0.45">
      <c r="B105" s="13"/>
      <c r="C105" s="23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2:16" s="101" customFormat="1" x14ac:dyDescent="0.45">
      <c r="B106" s="13"/>
      <c r="C106" s="23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2:16" s="101" customFormat="1" x14ac:dyDescent="0.45">
      <c r="B107" s="13"/>
      <c r="C107" s="23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2:16" s="101" customFormat="1" x14ac:dyDescent="0.45">
      <c r="B108" s="13"/>
      <c r="C108" s="23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</row>
    <row r="109" spans="2:16" s="101" customFormat="1" x14ac:dyDescent="0.45">
      <c r="B109" s="13"/>
      <c r="C109" s="23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 spans="2:16" s="101" customFormat="1" x14ac:dyDescent="0.45">
      <c r="B110" s="13"/>
      <c r="C110" s="23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2:16" s="101" customFormat="1" x14ac:dyDescent="0.45">
      <c r="B111" s="13"/>
      <c r="C111" s="23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 spans="2:16" s="101" customFormat="1" x14ac:dyDescent="0.45">
      <c r="B112" s="13"/>
      <c r="C112" s="2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 spans="2:16" s="101" customFormat="1" x14ac:dyDescent="0.45">
      <c r="B113" s="13"/>
      <c r="C113" s="23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2:16" s="101" customFormat="1" x14ac:dyDescent="0.45">
      <c r="B114" s="13"/>
      <c r="C114" s="2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2:16" s="101" customFormat="1" x14ac:dyDescent="0.45">
      <c r="B115" s="13"/>
      <c r="C115" s="23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 spans="2:16" s="101" customFormat="1" x14ac:dyDescent="0.45">
      <c r="B116" s="13"/>
      <c r="C116" s="23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2:16" s="101" customFormat="1" x14ac:dyDescent="0.45">
      <c r="B117" s="13"/>
      <c r="C117" s="23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 spans="2:16" s="101" customFormat="1" x14ac:dyDescent="0.45">
      <c r="B118" s="13"/>
      <c r="C118" s="23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</row>
    <row r="119" spans="2:16" s="101" customFormat="1" x14ac:dyDescent="0.45">
      <c r="B119" s="13"/>
      <c r="C119" s="23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2:16" s="101" customFormat="1" x14ac:dyDescent="0.45">
      <c r="B120" s="13"/>
      <c r="C120" s="23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</row>
    <row r="121" spans="2:16" s="101" customFormat="1" x14ac:dyDescent="0.45">
      <c r="B121" s="13"/>
      <c r="C121" s="23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</row>
    <row r="122" spans="2:16" s="101" customFormat="1" x14ac:dyDescent="0.45">
      <c r="B122" s="13"/>
      <c r="C122" s="23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</row>
    <row r="123" spans="2:16" s="101" customFormat="1" x14ac:dyDescent="0.45">
      <c r="B123" s="13"/>
      <c r="C123" s="23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</row>
    <row r="124" spans="2:16" s="101" customFormat="1" x14ac:dyDescent="0.45">
      <c r="B124" s="13"/>
      <c r="C124" s="23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</row>
    <row r="125" spans="2:16" s="101" customFormat="1" x14ac:dyDescent="0.45">
      <c r="B125" s="13"/>
      <c r="C125" s="23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</row>
  </sheetData>
  <mergeCells count="6">
    <mergeCell ref="B23:B24"/>
    <mergeCell ref="C23:C24"/>
    <mergeCell ref="B11:B12"/>
    <mergeCell ref="C11:C12"/>
    <mergeCell ref="B17:B18"/>
    <mergeCell ref="C17:C18"/>
  </mergeCells>
  <phoneticPr fontId="3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A8AB-1E4F-4125-B2A1-1939A3049CE1}">
  <dimension ref="B2:R125"/>
  <sheetViews>
    <sheetView zoomScale="90" zoomScaleNormal="90" workbookViewId="0">
      <selection activeCell="K41" sqref="K41"/>
    </sheetView>
  </sheetViews>
  <sheetFormatPr defaultColWidth="9" defaultRowHeight="14" x14ac:dyDescent="0.45"/>
  <cols>
    <col min="1" max="1" width="6.25" style="14" customWidth="1"/>
    <col min="2" max="2" width="9" style="13"/>
    <col min="3" max="3" width="20.08203125" style="23" customWidth="1"/>
    <col min="4" max="4" width="8.83203125" style="14" customWidth="1"/>
    <col min="5" max="5" width="11.25" style="14" bestFit="1" customWidth="1"/>
    <col min="6" max="6" width="14.83203125" style="14" customWidth="1"/>
    <col min="7" max="7" width="24.08203125" style="14" customWidth="1"/>
    <col min="8" max="8" width="7.75" style="14" customWidth="1"/>
    <col min="9" max="9" width="15.5" style="14" customWidth="1"/>
    <col min="10" max="10" width="23.58203125" style="14" customWidth="1"/>
    <col min="11" max="11" width="7.58203125" style="14" customWidth="1"/>
    <col min="12" max="12" width="12" style="14" customWidth="1"/>
    <col min="13" max="13" width="23.33203125" style="14" customWidth="1"/>
    <col min="14" max="14" width="7.83203125" style="14" customWidth="1"/>
    <col min="15" max="15" width="3.25" style="14" customWidth="1"/>
    <col min="16" max="16" width="10.25" style="14" customWidth="1"/>
    <col min="17" max="17" width="7" style="14" customWidth="1"/>
    <col min="18" max="16384" width="9" style="14"/>
  </cols>
  <sheetData>
    <row r="2" spans="2:18" x14ac:dyDescent="0.45">
      <c r="K2" s="13"/>
      <c r="N2" s="13"/>
    </row>
    <row r="3" spans="2:18" s="101" customFormat="1" ht="13" x14ac:dyDescent="0.45">
      <c r="B3" s="24" t="s">
        <v>1518</v>
      </c>
      <c r="D3" s="24"/>
      <c r="E3" s="24"/>
    </row>
    <row r="4" spans="2:18" s="101" customFormat="1" ht="13" x14ac:dyDescent="0.45">
      <c r="B4" s="24"/>
      <c r="D4" s="24"/>
      <c r="E4" s="24"/>
    </row>
    <row r="5" spans="2:18" s="101" customFormat="1" ht="13" x14ac:dyDescent="0.45">
      <c r="B5" s="13"/>
      <c r="C5" s="13"/>
    </row>
    <row r="6" spans="2:18" s="102" customFormat="1" ht="13" x14ac:dyDescent="0.45">
      <c r="B6" s="13"/>
      <c r="C6" s="13"/>
      <c r="D6" s="13" t="s">
        <v>765</v>
      </c>
      <c r="E6" s="13" t="s">
        <v>3</v>
      </c>
      <c r="F6" s="13" t="s">
        <v>766</v>
      </c>
      <c r="G6" s="13" t="s">
        <v>794</v>
      </c>
      <c r="H6" s="13" t="s">
        <v>5</v>
      </c>
      <c r="I6" s="13" t="s">
        <v>767</v>
      </c>
      <c r="J6" s="13" t="s">
        <v>795</v>
      </c>
      <c r="K6" s="13" t="s">
        <v>5</v>
      </c>
      <c r="L6" s="13" t="s">
        <v>768</v>
      </c>
      <c r="M6" s="13" t="s">
        <v>796</v>
      </c>
      <c r="N6" s="13" t="s">
        <v>5</v>
      </c>
    </row>
    <row r="7" spans="2:18" s="102" customFormat="1" ht="13" x14ac:dyDescent="0.45">
      <c r="B7" s="19"/>
      <c r="C7" s="19"/>
      <c r="D7" s="19" t="s">
        <v>769</v>
      </c>
      <c r="E7" s="19"/>
      <c r="F7" s="19" t="s">
        <v>770</v>
      </c>
      <c r="G7" s="19" t="s">
        <v>797</v>
      </c>
      <c r="H7" s="104"/>
      <c r="I7" s="74" t="s">
        <v>771</v>
      </c>
      <c r="J7" s="19" t="s">
        <v>797</v>
      </c>
      <c r="K7" s="104"/>
      <c r="L7" s="75" t="s">
        <v>772</v>
      </c>
      <c r="M7" s="19" t="s">
        <v>797</v>
      </c>
      <c r="N7" s="104"/>
    </row>
    <row r="8" spans="2:18" s="101" customFormat="1" ht="13" x14ac:dyDescent="0.45">
      <c r="B8" s="17"/>
      <c r="C8" s="236"/>
      <c r="D8" s="155" t="s">
        <v>1506</v>
      </c>
      <c r="E8" s="156">
        <v>2163</v>
      </c>
      <c r="F8" s="106">
        <v>7106</v>
      </c>
      <c r="G8" s="108">
        <v>32852.519648636153</v>
      </c>
      <c r="H8" s="300">
        <v>99.998537876711879</v>
      </c>
      <c r="I8" s="156">
        <v>2948</v>
      </c>
      <c r="J8" s="229">
        <v>13629.218677762366</v>
      </c>
      <c r="K8" s="108">
        <v>100.00160450335582</v>
      </c>
      <c r="L8" s="106">
        <v>4982</v>
      </c>
      <c r="M8" s="108">
        <v>23032.824780397597</v>
      </c>
      <c r="N8" s="301">
        <v>99.999239267128033</v>
      </c>
    </row>
    <row r="9" spans="2:18" s="101" customFormat="1" ht="13" x14ac:dyDescent="0.45">
      <c r="B9" s="68" t="s">
        <v>7</v>
      </c>
      <c r="C9" s="244" t="s">
        <v>706</v>
      </c>
      <c r="D9" s="161" t="s">
        <v>1507</v>
      </c>
      <c r="E9" s="162">
        <v>2144</v>
      </c>
      <c r="F9" s="101">
        <v>6537</v>
      </c>
      <c r="G9" s="114">
        <v>30489.738805970148</v>
      </c>
      <c r="H9" s="302">
        <v>92.806558932122329</v>
      </c>
      <c r="I9" s="162">
        <v>2690</v>
      </c>
      <c r="J9" s="231">
        <v>12546.641791044776</v>
      </c>
      <c r="K9" s="114">
        <v>92.058418013388916</v>
      </c>
      <c r="L9" s="101">
        <v>4483</v>
      </c>
      <c r="M9" s="114">
        <v>20909.514925373136</v>
      </c>
      <c r="N9" s="303">
        <v>90.780683911662123</v>
      </c>
    </row>
    <row r="10" spans="2:18" s="101" customFormat="1" ht="13" x14ac:dyDescent="0.25">
      <c r="B10" s="68" t="s">
        <v>776</v>
      </c>
      <c r="C10" s="13" t="s">
        <v>1275</v>
      </c>
      <c r="D10" s="161" t="s">
        <v>1508</v>
      </c>
      <c r="E10" s="162">
        <v>2161</v>
      </c>
      <c r="F10" s="101">
        <v>6672</v>
      </c>
      <c r="G10" s="114">
        <v>30874.595094863489</v>
      </c>
      <c r="H10" s="302">
        <v>93.978008385424445</v>
      </c>
      <c r="I10" s="162">
        <v>2714</v>
      </c>
      <c r="J10" s="231">
        <v>12559.000462748727</v>
      </c>
      <c r="K10" s="114">
        <v>92.14909723933323</v>
      </c>
      <c r="L10" s="101">
        <v>3936</v>
      </c>
      <c r="M10" s="114">
        <v>18213.78991207774</v>
      </c>
      <c r="N10" s="303">
        <v>79.076932714269702</v>
      </c>
      <c r="R10" s="95"/>
    </row>
    <row r="11" spans="2:18" s="101" customFormat="1" ht="13" x14ac:dyDescent="0.25">
      <c r="B11" s="371" t="s">
        <v>778</v>
      </c>
      <c r="C11" s="399" t="s">
        <v>1501</v>
      </c>
      <c r="D11" s="161" t="s">
        <v>1509</v>
      </c>
      <c r="E11" s="162">
        <v>2167</v>
      </c>
      <c r="F11" s="101">
        <v>6163</v>
      </c>
      <c r="G11" s="114">
        <v>28440.239963082604</v>
      </c>
      <c r="H11" s="302">
        <v>86.568167178286927</v>
      </c>
      <c r="I11" s="162">
        <v>3338</v>
      </c>
      <c r="J11" s="231">
        <v>15403.784033225658</v>
      </c>
      <c r="K11" s="114">
        <v>113.02211485234174</v>
      </c>
      <c r="L11" s="101">
        <v>2011</v>
      </c>
      <c r="M11" s="114">
        <v>9280.1107521919712</v>
      </c>
      <c r="N11" s="303">
        <v>40.290499510233019</v>
      </c>
      <c r="P11" s="24" t="s">
        <v>1519</v>
      </c>
      <c r="R11" s="95"/>
    </row>
    <row r="12" spans="2:18" s="101" customFormat="1" ht="13" x14ac:dyDescent="0.25">
      <c r="B12" s="371"/>
      <c r="C12" s="399"/>
      <c r="D12" s="161" t="s">
        <v>1510</v>
      </c>
      <c r="E12" s="162">
        <v>2137</v>
      </c>
      <c r="F12" s="101">
        <v>5233</v>
      </c>
      <c r="G12" s="114">
        <v>24487.599438465139</v>
      </c>
      <c r="H12" s="302">
        <v>74.536874679527415</v>
      </c>
      <c r="I12" s="162">
        <v>2285</v>
      </c>
      <c r="J12" s="231">
        <v>10692.559663079082</v>
      </c>
      <c r="K12" s="114">
        <v>78.454469609502397</v>
      </c>
      <c r="L12" s="101">
        <v>702</v>
      </c>
      <c r="M12" s="114">
        <v>3284.9789424426767</v>
      </c>
      <c r="N12" s="303">
        <v>14.262054193733672</v>
      </c>
      <c r="P12" s="304" t="s">
        <v>1520</v>
      </c>
      <c r="R12" s="95"/>
    </row>
    <row r="13" spans="2:18" s="101" customFormat="1" ht="13" x14ac:dyDescent="0.25">
      <c r="B13" s="76"/>
      <c r="C13" s="13"/>
      <c r="D13" s="161" t="s">
        <v>1511</v>
      </c>
      <c r="E13" s="162">
        <v>2158</v>
      </c>
      <c r="F13" s="101">
        <v>1164</v>
      </c>
      <c r="G13" s="114">
        <v>5393.8832252085267</v>
      </c>
      <c r="H13" s="302">
        <v>16.41823646305825</v>
      </c>
      <c r="I13" s="162">
        <v>300</v>
      </c>
      <c r="J13" s="231">
        <v>1390.1760889712698</v>
      </c>
      <c r="K13" s="114">
        <v>10.200132724127007</v>
      </c>
      <c r="L13" s="101">
        <v>102</v>
      </c>
      <c r="M13" s="114">
        <v>472.65987025023168</v>
      </c>
      <c r="N13" s="303">
        <v>2.0520985987506259</v>
      </c>
      <c r="R13" s="95"/>
    </row>
    <row r="14" spans="2:18" s="101" customFormat="1" ht="13" x14ac:dyDescent="0.25">
      <c r="B14" s="17"/>
      <c r="C14" s="236"/>
      <c r="D14" s="155" t="s">
        <v>1506</v>
      </c>
      <c r="E14" s="156">
        <v>2159</v>
      </c>
      <c r="F14" s="106">
        <v>7046</v>
      </c>
      <c r="G14" s="108">
        <v>32635.479388605836</v>
      </c>
      <c r="H14" s="300">
        <v>100.00146894011289</v>
      </c>
      <c r="I14" s="156">
        <v>3047</v>
      </c>
      <c r="J14" s="229">
        <v>14113.015284854098</v>
      </c>
      <c r="K14" s="108">
        <v>100.00010830336639</v>
      </c>
      <c r="L14" s="106">
        <v>4590</v>
      </c>
      <c r="M14" s="108">
        <v>21259.84251968504</v>
      </c>
      <c r="N14" s="301">
        <v>99.999259264746186</v>
      </c>
      <c r="R14" s="95"/>
    </row>
    <row r="15" spans="2:18" s="101" customFormat="1" ht="13" x14ac:dyDescent="0.25">
      <c r="B15" s="68" t="s">
        <v>7</v>
      </c>
      <c r="C15" s="244" t="s">
        <v>706</v>
      </c>
      <c r="D15" s="161" t="s">
        <v>1507</v>
      </c>
      <c r="E15" s="162">
        <v>2146</v>
      </c>
      <c r="F15" s="101">
        <v>6385</v>
      </c>
      <c r="G15" s="114">
        <v>29753.028890959926</v>
      </c>
      <c r="H15" s="302">
        <v>91.16907887531768</v>
      </c>
      <c r="I15" s="162">
        <v>2473</v>
      </c>
      <c r="J15" s="231">
        <v>11523.765144454799</v>
      </c>
      <c r="K15" s="114">
        <v>81.653547399240409</v>
      </c>
      <c r="L15" s="101">
        <v>4451</v>
      </c>
      <c r="M15" s="114">
        <v>20740.913327120223</v>
      </c>
      <c r="N15" s="303">
        <v>97.558388180245643</v>
      </c>
      <c r="R15" s="95"/>
    </row>
    <row r="16" spans="2:18" s="101" customFormat="1" ht="13" x14ac:dyDescent="0.25">
      <c r="B16" s="68" t="s">
        <v>776</v>
      </c>
      <c r="C16" s="13" t="s">
        <v>1275</v>
      </c>
      <c r="D16" s="161" t="s">
        <v>1508</v>
      </c>
      <c r="E16" s="162">
        <v>2156</v>
      </c>
      <c r="F16" s="101">
        <v>6010</v>
      </c>
      <c r="G16" s="114">
        <v>27875.695732838591</v>
      </c>
      <c r="H16" s="302">
        <v>85.416564218901769</v>
      </c>
      <c r="I16" s="162">
        <v>3173</v>
      </c>
      <c r="J16" s="231">
        <v>14717.068645640074</v>
      </c>
      <c r="K16" s="114">
        <v>104.28022848182579</v>
      </c>
      <c r="L16" s="101">
        <v>2000</v>
      </c>
      <c r="M16" s="114">
        <v>9276.4378478664185</v>
      </c>
      <c r="N16" s="303">
        <v>43.633291852617205</v>
      </c>
      <c r="R16" s="95"/>
    </row>
    <row r="17" spans="2:18" s="101" customFormat="1" ht="13" x14ac:dyDescent="0.25">
      <c r="B17" s="371" t="s">
        <v>778</v>
      </c>
      <c r="C17" s="399" t="s">
        <v>1504</v>
      </c>
      <c r="D17" s="161" t="s">
        <v>1509</v>
      </c>
      <c r="E17" s="162">
        <v>2151</v>
      </c>
      <c r="F17" s="101">
        <v>5772</v>
      </c>
      <c r="G17" s="114">
        <v>26834.030683403067</v>
      </c>
      <c r="H17" s="302">
        <v>82.224699504835513</v>
      </c>
      <c r="I17" s="162">
        <v>3159</v>
      </c>
      <c r="J17" s="231">
        <v>14686.192468619247</v>
      </c>
      <c r="K17" s="114">
        <v>104.0614502134149</v>
      </c>
      <c r="L17" s="101">
        <v>831</v>
      </c>
      <c r="M17" s="114">
        <v>3863.3193863319389</v>
      </c>
      <c r="N17" s="303">
        <v>18.171775100338376</v>
      </c>
      <c r="P17" s="24" t="s">
        <v>1521</v>
      </c>
      <c r="R17" s="95"/>
    </row>
    <row r="18" spans="2:18" s="101" customFormat="1" ht="13" x14ac:dyDescent="0.25">
      <c r="B18" s="371"/>
      <c r="C18" s="399"/>
      <c r="D18" s="161" t="s">
        <v>1510</v>
      </c>
      <c r="E18" s="162">
        <v>2212</v>
      </c>
      <c r="F18" s="101">
        <v>4277</v>
      </c>
      <c r="G18" s="114">
        <v>19335.443037974685</v>
      </c>
      <c r="H18" s="302">
        <v>59.247565613527456</v>
      </c>
      <c r="I18" s="162">
        <v>1839</v>
      </c>
      <c r="J18" s="231">
        <v>8313.7432188065104</v>
      </c>
      <c r="K18" s="114">
        <v>58.908405149907964</v>
      </c>
      <c r="L18" s="101">
        <v>130</v>
      </c>
      <c r="M18" s="114">
        <v>587.7034358047016</v>
      </c>
      <c r="N18" s="303">
        <v>2.7643623509158117</v>
      </c>
      <c r="P18" s="304" t="s">
        <v>1522</v>
      </c>
      <c r="R18" s="95"/>
    </row>
    <row r="19" spans="2:18" s="101" customFormat="1" ht="13" x14ac:dyDescent="0.25">
      <c r="B19" s="77"/>
      <c r="C19" s="13"/>
      <c r="D19" s="164" t="s">
        <v>1511</v>
      </c>
      <c r="E19" s="165">
        <v>2193</v>
      </c>
      <c r="F19" s="137">
        <v>4</v>
      </c>
      <c r="G19" s="139">
        <v>18.239854081167351</v>
      </c>
      <c r="H19" s="305">
        <v>5.5890467538432208E-2</v>
      </c>
      <c r="I19" s="165">
        <v>9</v>
      </c>
      <c r="J19" s="234">
        <v>41.03967168262654</v>
      </c>
      <c r="K19" s="139">
        <v>0.29079339391076692</v>
      </c>
      <c r="L19" s="137">
        <v>42</v>
      </c>
      <c r="M19" s="139">
        <v>191.51846785225717</v>
      </c>
      <c r="N19" s="306">
        <v>0.90083945367947871</v>
      </c>
      <c r="R19" s="95"/>
    </row>
    <row r="20" spans="2:18" s="101" customFormat="1" ht="13" x14ac:dyDescent="0.25">
      <c r="B20" s="68"/>
      <c r="C20" s="258"/>
      <c r="D20" s="161" t="s">
        <v>1506</v>
      </c>
      <c r="E20" s="162">
        <v>2126</v>
      </c>
      <c r="F20" s="101">
        <v>7276</v>
      </c>
      <c r="G20" s="114">
        <v>34223.894637817495</v>
      </c>
      <c r="H20" s="302">
        <v>99.999692139485433</v>
      </c>
      <c r="I20" s="162">
        <v>3330</v>
      </c>
      <c r="J20" s="231">
        <v>15663.217309501411</v>
      </c>
      <c r="K20" s="114">
        <v>100.00138740663608</v>
      </c>
      <c r="L20" s="101">
        <v>4767</v>
      </c>
      <c r="M20" s="114">
        <v>22422.38946378175</v>
      </c>
      <c r="N20" s="303">
        <v>100.00173697164281</v>
      </c>
      <c r="R20" s="95"/>
    </row>
    <row r="21" spans="2:18" s="101" customFormat="1" ht="13" x14ac:dyDescent="0.25">
      <c r="B21" s="68" t="s">
        <v>7</v>
      </c>
      <c r="C21" s="244" t="s">
        <v>706</v>
      </c>
      <c r="D21" s="161" t="s">
        <v>1507</v>
      </c>
      <c r="E21" s="162">
        <v>2154</v>
      </c>
      <c r="F21" s="101">
        <v>6313</v>
      </c>
      <c r="G21" s="114">
        <v>29308.263695450325</v>
      </c>
      <c r="H21" s="302">
        <v>85.636581625322364</v>
      </c>
      <c r="I21" s="162">
        <v>2661</v>
      </c>
      <c r="J21" s="231">
        <v>12353.760445682452</v>
      </c>
      <c r="K21" s="114">
        <v>78.872249541482802</v>
      </c>
      <c r="L21" s="101">
        <v>3056</v>
      </c>
      <c r="M21" s="114">
        <v>14187.558031569173</v>
      </c>
      <c r="N21" s="303">
        <v>63.275167387249894</v>
      </c>
      <c r="R21" s="95"/>
    </row>
    <row r="22" spans="2:18" s="101" customFormat="1" ht="13" x14ac:dyDescent="0.25">
      <c r="B22" s="68" t="s">
        <v>776</v>
      </c>
      <c r="C22" s="13" t="s">
        <v>1275</v>
      </c>
      <c r="D22" s="161" t="s">
        <v>1508</v>
      </c>
      <c r="E22" s="162">
        <v>2127</v>
      </c>
      <c r="F22" s="101">
        <v>6489</v>
      </c>
      <c r="G22" s="114">
        <v>30507.757404795488</v>
      </c>
      <c r="H22" s="302">
        <v>89.141413641875545</v>
      </c>
      <c r="I22" s="162">
        <v>3791</v>
      </c>
      <c r="J22" s="231">
        <v>17823.225199811943</v>
      </c>
      <c r="K22" s="114">
        <v>113.79189937950547</v>
      </c>
      <c r="L22" s="101">
        <v>1004</v>
      </c>
      <c r="M22" s="114">
        <v>4720.2632816173018</v>
      </c>
      <c r="N22" s="303">
        <v>21.051927935140942</v>
      </c>
      <c r="R22" s="95"/>
    </row>
    <row r="23" spans="2:18" s="101" customFormat="1" ht="13" x14ac:dyDescent="0.25">
      <c r="B23" s="371" t="s">
        <v>778</v>
      </c>
      <c r="C23" s="399" t="s">
        <v>1505</v>
      </c>
      <c r="D23" s="161" t="s">
        <v>1509</v>
      </c>
      <c r="E23" s="162">
        <v>2161</v>
      </c>
      <c r="F23" s="101">
        <v>6281</v>
      </c>
      <c r="G23" s="114">
        <v>29065.24757056918</v>
      </c>
      <c r="H23" s="302">
        <v>84.92650645911985</v>
      </c>
      <c r="I23" s="162">
        <v>3508</v>
      </c>
      <c r="J23" s="231">
        <v>16233.225358630263</v>
      </c>
      <c r="K23" s="114">
        <v>103.64058838428312</v>
      </c>
      <c r="L23" s="101">
        <v>363</v>
      </c>
      <c r="M23" s="114">
        <v>1679.7778806108283</v>
      </c>
      <c r="N23" s="303">
        <v>7.491650524533175</v>
      </c>
      <c r="P23" s="24" t="s">
        <v>1523</v>
      </c>
      <c r="R23" s="95"/>
    </row>
    <row r="24" spans="2:18" s="101" customFormat="1" ht="13" x14ac:dyDescent="0.25">
      <c r="B24" s="371"/>
      <c r="C24" s="399"/>
      <c r="D24" s="161" t="s">
        <v>1510</v>
      </c>
      <c r="E24" s="162">
        <v>2130</v>
      </c>
      <c r="F24" s="101">
        <v>6546</v>
      </c>
      <c r="G24" s="114">
        <v>30732.394366197183</v>
      </c>
      <c r="H24" s="302">
        <v>89.797786249991759</v>
      </c>
      <c r="I24" s="162">
        <v>3270</v>
      </c>
      <c r="J24" s="231">
        <v>15352.112676056338</v>
      </c>
      <c r="K24" s="114">
        <v>98.015148286128706</v>
      </c>
      <c r="L24" s="101">
        <v>264</v>
      </c>
      <c r="M24" s="114">
        <v>1239.4366197183099</v>
      </c>
      <c r="N24" s="303">
        <v>5.5277701352167954</v>
      </c>
      <c r="P24" s="304" t="s">
        <v>1524</v>
      </c>
      <c r="R24" s="95"/>
    </row>
    <row r="25" spans="2:18" s="101" customFormat="1" ht="13" x14ac:dyDescent="0.25">
      <c r="B25" s="77"/>
      <c r="C25" s="18"/>
      <c r="D25" s="164" t="s">
        <v>1511</v>
      </c>
      <c r="E25" s="165">
        <v>2117</v>
      </c>
      <c r="F25" s="137">
        <v>5578</v>
      </c>
      <c r="G25" s="139">
        <v>26348.606518658478</v>
      </c>
      <c r="H25" s="305">
        <v>76.988681973639785</v>
      </c>
      <c r="I25" s="165">
        <v>2697</v>
      </c>
      <c r="J25" s="234">
        <v>12739.726027397261</v>
      </c>
      <c r="K25" s="139">
        <v>81.336436362109822</v>
      </c>
      <c r="L25" s="137">
        <v>336</v>
      </c>
      <c r="M25" s="139">
        <v>1587.1516296646198</v>
      </c>
      <c r="N25" s="306">
        <v>7.0785462031246986</v>
      </c>
      <c r="R25" s="95"/>
    </row>
    <row r="26" spans="2:18" s="101" customFormat="1" ht="13" x14ac:dyDescent="0.25">
      <c r="B26" s="13"/>
      <c r="C26" s="13"/>
      <c r="D26" s="259"/>
      <c r="R26" s="95"/>
    </row>
    <row r="27" spans="2:18" s="101" customFormat="1" ht="13" x14ac:dyDescent="0.25">
      <c r="B27" s="13"/>
      <c r="C27" s="13"/>
      <c r="G27" s="24" t="s">
        <v>785</v>
      </c>
      <c r="M27" s="24"/>
      <c r="R27" s="95"/>
    </row>
    <row r="28" spans="2:18" s="101" customFormat="1" ht="13" x14ac:dyDescent="0.25">
      <c r="B28" s="13"/>
      <c r="C28" s="13"/>
      <c r="R28" s="95"/>
    </row>
    <row r="29" spans="2:18" s="101" customFormat="1" ht="13" x14ac:dyDescent="0.25">
      <c r="E29" s="262"/>
      <c r="F29" s="24"/>
      <c r="H29" s="262"/>
      <c r="I29" s="24"/>
      <c r="K29" s="262"/>
      <c r="L29" s="24"/>
      <c r="R29" s="95"/>
    </row>
    <row r="30" spans="2:18" s="101" customFormat="1" ht="13" x14ac:dyDescent="0.25">
      <c r="B30" s="13"/>
      <c r="C30" s="13"/>
      <c r="M30" s="24"/>
      <c r="R30" s="95"/>
    </row>
    <row r="31" spans="2:18" s="101" customFormat="1" ht="13" x14ac:dyDescent="0.25">
      <c r="B31" s="13"/>
      <c r="C31" s="13"/>
      <c r="R31" s="95"/>
    </row>
    <row r="32" spans="2:18" s="101" customFormat="1" ht="13" x14ac:dyDescent="0.25">
      <c r="B32" s="13"/>
      <c r="C32" s="13"/>
      <c r="M32" s="307"/>
      <c r="R32" s="95"/>
    </row>
    <row r="33" spans="2:18" s="101" customFormat="1" ht="13" x14ac:dyDescent="0.25">
      <c r="B33" s="13"/>
      <c r="C33" s="13"/>
      <c r="R33" s="95"/>
    </row>
    <row r="34" spans="2:18" s="101" customFormat="1" ht="13" x14ac:dyDescent="0.45">
      <c r="B34" s="13"/>
      <c r="C34" s="13"/>
    </row>
    <row r="35" spans="2:18" s="101" customFormat="1" ht="13" x14ac:dyDescent="0.25">
      <c r="B35" s="13"/>
      <c r="C35" s="13"/>
      <c r="R35" s="95"/>
    </row>
    <row r="36" spans="2:18" s="101" customFormat="1" ht="13" x14ac:dyDescent="0.25">
      <c r="B36" s="13"/>
      <c r="C36" s="13"/>
      <c r="R36" s="95"/>
    </row>
    <row r="37" spans="2:18" s="101" customFormat="1" ht="13" x14ac:dyDescent="0.25">
      <c r="B37" s="13"/>
      <c r="C37" s="13"/>
      <c r="R37" s="95"/>
    </row>
    <row r="38" spans="2:18" s="101" customFormat="1" ht="13" x14ac:dyDescent="0.25">
      <c r="B38" s="13"/>
      <c r="C38" s="13"/>
      <c r="R38" s="95"/>
    </row>
    <row r="39" spans="2:18" s="101" customFormat="1" ht="13" x14ac:dyDescent="0.25">
      <c r="B39" s="13"/>
      <c r="C39" s="13"/>
      <c r="R39" s="95"/>
    </row>
    <row r="40" spans="2:18" s="101" customFormat="1" ht="13" x14ac:dyDescent="0.25">
      <c r="B40" s="13"/>
      <c r="C40" s="13"/>
      <c r="R40" s="95"/>
    </row>
    <row r="41" spans="2:18" s="101" customFormat="1" ht="13" x14ac:dyDescent="0.25">
      <c r="B41" s="13"/>
      <c r="C41" s="13"/>
      <c r="R41" s="95"/>
    </row>
    <row r="42" spans="2:18" s="101" customFormat="1" ht="13" x14ac:dyDescent="0.25">
      <c r="B42" s="13"/>
      <c r="C42" s="13"/>
      <c r="R42" s="95"/>
    </row>
    <row r="43" spans="2:18" s="101" customFormat="1" ht="13" x14ac:dyDescent="0.25">
      <c r="B43" s="13"/>
      <c r="C43" s="13"/>
      <c r="R43" s="95"/>
    </row>
    <row r="44" spans="2:18" s="101" customFormat="1" ht="13" x14ac:dyDescent="0.25">
      <c r="B44" s="13"/>
      <c r="C44" s="13"/>
      <c r="R44" s="95"/>
    </row>
    <row r="45" spans="2:18" s="101" customFormat="1" ht="13" x14ac:dyDescent="0.25">
      <c r="B45" s="13"/>
      <c r="C45" s="13"/>
      <c r="R45" s="95"/>
    </row>
    <row r="46" spans="2:18" s="101" customFormat="1" ht="13" x14ac:dyDescent="0.25">
      <c r="B46" s="13"/>
      <c r="C46" s="13"/>
      <c r="R46" s="95"/>
    </row>
    <row r="47" spans="2:18" s="101" customFormat="1" ht="13" x14ac:dyDescent="0.25">
      <c r="B47" s="13"/>
      <c r="C47" s="13"/>
      <c r="R47" s="95"/>
    </row>
    <row r="48" spans="2:18" s="101" customFormat="1" ht="13" x14ac:dyDescent="0.25">
      <c r="B48" s="13"/>
      <c r="C48" s="13"/>
      <c r="R48" s="95"/>
    </row>
    <row r="49" spans="2:18" s="101" customFormat="1" ht="13" x14ac:dyDescent="0.25">
      <c r="B49" s="13"/>
      <c r="C49" s="13"/>
      <c r="R49" s="95"/>
    </row>
    <row r="50" spans="2:18" s="101" customFormat="1" ht="13" x14ac:dyDescent="0.25">
      <c r="B50" s="13"/>
      <c r="C50" s="13"/>
      <c r="R50" s="95"/>
    </row>
    <row r="51" spans="2:18" s="101" customFormat="1" ht="13" x14ac:dyDescent="0.25">
      <c r="B51" s="13"/>
      <c r="C51" s="13"/>
      <c r="R51" s="95"/>
    </row>
    <row r="52" spans="2:18" s="101" customFormat="1" x14ac:dyDescent="0.25">
      <c r="B52" s="13"/>
      <c r="C52" s="23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R52" s="95"/>
    </row>
    <row r="53" spans="2:18" s="101" customFormat="1" x14ac:dyDescent="0.25">
      <c r="B53" s="13"/>
      <c r="C53" s="23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R53" s="95"/>
    </row>
    <row r="54" spans="2:18" s="101" customFormat="1" x14ac:dyDescent="0.25">
      <c r="B54" s="13"/>
      <c r="C54" s="23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R54" s="95"/>
    </row>
    <row r="55" spans="2:18" s="101" customFormat="1" x14ac:dyDescent="0.25">
      <c r="B55" s="13"/>
      <c r="C55" s="23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R55" s="95"/>
    </row>
    <row r="56" spans="2:18" s="101" customFormat="1" x14ac:dyDescent="0.25">
      <c r="B56" s="13"/>
      <c r="C56" s="23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R56" s="95"/>
    </row>
    <row r="57" spans="2:18" s="101" customFormat="1" x14ac:dyDescent="0.25">
      <c r="B57" s="13"/>
      <c r="C57" s="23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R57" s="95"/>
    </row>
    <row r="58" spans="2:18" s="101" customFormat="1" x14ac:dyDescent="0.25">
      <c r="B58" s="13"/>
      <c r="C58" s="23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R58" s="95"/>
    </row>
    <row r="59" spans="2:18" s="101" customFormat="1" x14ac:dyDescent="0.45">
      <c r="B59" s="13"/>
      <c r="C59" s="23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2:18" s="101" customFormat="1" x14ac:dyDescent="0.45">
      <c r="B60" s="13"/>
      <c r="C60" s="23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2:18" s="101" customFormat="1" x14ac:dyDescent="0.45">
      <c r="B61" s="13"/>
      <c r="C61" s="23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2:18" s="101" customFormat="1" x14ac:dyDescent="0.45">
      <c r="B62" s="13"/>
      <c r="C62" s="23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2:18" s="101" customFormat="1" x14ac:dyDescent="0.45">
      <c r="B63" s="13"/>
      <c r="C63" s="2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2:18" s="101" customFormat="1" x14ac:dyDescent="0.45">
      <c r="B64" s="13"/>
      <c r="C64" s="23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s="101" customFormat="1" x14ac:dyDescent="0.45">
      <c r="B65" s="13"/>
      <c r="C65" s="23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s="101" customFormat="1" x14ac:dyDescent="0.45">
      <c r="B66" s="13"/>
      <c r="C66" s="23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s="101" customFormat="1" x14ac:dyDescent="0.45">
      <c r="B67" s="13"/>
      <c r="C67" s="23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s="101" customFormat="1" x14ac:dyDescent="0.45">
      <c r="B68" s="13"/>
      <c r="C68" s="23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s="101" customFormat="1" x14ac:dyDescent="0.45">
      <c r="B69" s="13"/>
      <c r="C69" s="2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s="101" customFormat="1" x14ac:dyDescent="0.45">
      <c r="B70" s="13"/>
      <c r="C70" s="23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s="101" customFormat="1" x14ac:dyDescent="0.45">
      <c r="B71" s="13"/>
      <c r="C71" s="2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s="101" customFormat="1" x14ac:dyDescent="0.45">
      <c r="B72" s="13"/>
      <c r="C72" s="23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s="101" customFormat="1" x14ac:dyDescent="0.45">
      <c r="B73" s="13"/>
      <c r="C73" s="2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s="101" customFormat="1" x14ac:dyDescent="0.45">
      <c r="B74" s="13"/>
      <c r="C74" s="23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s="101" customFormat="1" x14ac:dyDescent="0.45">
      <c r="B75" s="13"/>
      <c r="C75" s="2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s="101" customFormat="1" x14ac:dyDescent="0.45">
      <c r="B76" s="13"/>
      <c r="C76" s="2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2:16" s="101" customFormat="1" x14ac:dyDescent="0.45">
      <c r="B77" s="13"/>
      <c r="C77" s="23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2:16" s="101" customFormat="1" x14ac:dyDescent="0.45">
      <c r="B78" s="13"/>
      <c r="C78" s="23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2:16" s="101" customFormat="1" x14ac:dyDescent="0.45">
      <c r="B79" s="13"/>
      <c r="C79" s="23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2:16" s="101" customFormat="1" x14ac:dyDescent="0.45">
      <c r="B80" s="13"/>
      <c r="C80" s="23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2:16" s="101" customFormat="1" x14ac:dyDescent="0.45">
      <c r="B81" s="13"/>
      <c r="C81" s="23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2:16" s="101" customFormat="1" x14ac:dyDescent="0.45">
      <c r="B82" s="13"/>
      <c r="C82" s="23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2:16" s="101" customFormat="1" x14ac:dyDescent="0.45">
      <c r="B83" s="13"/>
      <c r="C83" s="2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2:16" s="101" customFormat="1" x14ac:dyDescent="0.45">
      <c r="B84" s="13"/>
      <c r="C84" s="23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2:16" s="101" customFormat="1" x14ac:dyDescent="0.45">
      <c r="B85" s="13"/>
      <c r="C85" s="23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2:16" s="101" customFormat="1" x14ac:dyDescent="0.45">
      <c r="B86" s="13"/>
      <c r="C86" s="23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2:16" s="101" customFormat="1" x14ac:dyDescent="0.45">
      <c r="B87" s="13"/>
      <c r="C87" s="23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2:16" s="101" customFormat="1" x14ac:dyDescent="0.45">
      <c r="B88" s="13"/>
      <c r="C88" s="2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2:16" s="101" customFormat="1" x14ac:dyDescent="0.45">
      <c r="B89" s="13"/>
      <c r="C89" s="23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2:16" s="101" customFormat="1" x14ac:dyDescent="0.45">
      <c r="B90" s="13"/>
      <c r="C90" s="2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2:16" s="101" customFormat="1" x14ac:dyDescent="0.45">
      <c r="B91" s="13"/>
      <c r="C91" s="2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2:16" s="101" customFormat="1" x14ac:dyDescent="0.45">
      <c r="B92" s="13"/>
      <c r="C92" s="23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2:16" s="101" customFormat="1" x14ac:dyDescent="0.45">
      <c r="B93" s="13"/>
      <c r="C93" s="23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2:16" s="101" customFormat="1" x14ac:dyDescent="0.45">
      <c r="B94" s="13"/>
      <c r="C94" s="2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2:16" s="101" customFormat="1" x14ac:dyDescent="0.45">
      <c r="B95" s="13"/>
      <c r="C95" s="23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2:16" s="101" customFormat="1" x14ac:dyDescent="0.45">
      <c r="B96" s="13"/>
      <c r="C96" s="23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2:16" s="101" customFormat="1" x14ac:dyDescent="0.45">
      <c r="B97" s="13"/>
      <c r="C97" s="23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2:16" s="101" customFormat="1" x14ac:dyDescent="0.45">
      <c r="B98" s="13"/>
      <c r="C98" s="23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2:16" s="101" customFormat="1" x14ac:dyDescent="0.45">
      <c r="B99" s="13"/>
      <c r="C99" s="23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2:16" s="101" customFormat="1" x14ac:dyDescent="0.45">
      <c r="B100" s="13"/>
      <c r="C100" s="23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2:16" s="101" customFormat="1" x14ac:dyDescent="0.45">
      <c r="B101" s="13"/>
      <c r="C101" s="2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2:16" s="101" customFormat="1" x14ac:dyDescent="0.45">
      <c r="B102" s="13"/>
      <c r="C102" s="23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2:16" s="101" customFormat="1" x14ac:dyDescent="0.45">
      <c r="B103" s="13"/>
      <c r="C103" s="23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2:16" s="101" customFormat="1" x14ac:dyDescent="0.45">
      <c r="B104" s="13"/>
      <c r="C104" s="2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2:16" s="101" customFormat="1" x14ac:dyDescent="0.45">
      <c r="B105" s="13"/>
      <c r="C105" s="23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2:16" s="101" customFormat="1" x14ac:dyDescent="0.45">
      <c r="B106" s="13"/>
      <c r="C106" s="23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2:16" s="101" customFormat="1" x14ac:dyDescent="0.45">
      <c r="B107" s="13"/>
      <c r="C107" s="23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2:16" s="101" customFormat="1" x14ac:dyDescent="0.45">
      <c r="B108" s="13"/>
      <c r="C108" s="23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</row>
    <row r="109" spans="2:16" s="101" customFormat="1" x14ac:dyDescent="0.45">
      <c r="B109" s="13"/>
      <c r="C109" s="23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 spans="2:16" s="101" customFormat="1" x14ac:dyDescent="0.45">
      <c r="B110" s="13"/>
      <c r="C110" s="23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2:16" s="101" customFormat="1" x14ac:dyDescent="0.45">
      <c r="B111" s="13"/>
      <c r="C111" s="23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 spans="2:16" s="101" customFormat="1" x14ac:dyDescent="0.45">
      <c r="B112" s="13"/>
      <c r="C112" s="2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 spans="2:16" s="101" customFormat="1" x14ac:dyDescent="0.45">
      <c r="B113" s="13"/>
      <c r="C113" s="23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2:16" s="101" customFormat="1" x14ac:dyDescent="0.45">
      <c r="B114" s="13"/>
      <c r="C114" s="2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2:16" s="101" customFormat="1" x14ac:dyDescent="0.45">
      <c r="B115" s="13"/>
      <c r="C115" s="23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 spans="2:16" s="101" customFormat="1" x14ac:dyDescent="0.45">
      <c r="B116" s="13"/>
      <c r="C116" s="23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2:16" s="101" customFormat="1" x14ac:dyDescent="0.45">
      <c r="B117" s="13"/>
      <c r="C117" s="23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 spans="2:16" s="101" customFormat="1" x14ac:dyDescent="0.45">
      <c r="B118" s="13"/>
      <c r="C118" s="23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</row>
    <row r="119" spans="2:16" s="101" customFormat="1" x14ac:dyDescent="0.45">
      <c r="B119" s="13"/>
      <c r="C119" s="23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2:16" s="101" customFormat="1" x14ac:dyDescent="0.45">
      <c r="B120" s="13"/>
      <c r="C120" s="23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</row>
    <row r="121" spans="2:16" s="101" customFormat="1" x14ac:dyDescent="0.45">
      <c r="B121" s="13"/>
      <c r="C121" s="23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</row>
    <row r="122" spans="2:16" s="101" customFormat="1" x14ac:dyDescent="0.45">
      <c r="B122" s="13"/>
      <c r="C122" s="23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</row>
    <row r="123" spans="2:16" s="101" customFormat="1" x14ac:dyDescent="0.45">
      <c r="B123" s="13"/>
      <c r="C123" s="23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</row>
    <row r="124" spans="2:16" s="101" customFormat="1" x14ac:dyDescent="0.45">
      <c r="B124" s="13"/>
      <c r="C124" s="23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</row>
    <row r="125" spans="2:16" s="101" customFormat="1" x14ac:dyDescent="0.45">
      <c r="B125" s="13"/>
      <c r="C125" s="23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</row>
  </sheetData>
  <mergeCells count="6">
    <mergeCell ref="B11:B12"/>
    <mergeCell ref="C11:C12"/>
    <mergeCell ref="B17:B18"/>
    <mergeCell ref="C17:C18"/>
    <mergeCell ref="B23:B24"/>
    <mergeCell ref="C23:C24"/>
  </mergeCells>
  <phoneticPr fontId="3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A425-2885-45BF-BA55-EC19BF05BC41}">
  <dimension ref="B2:AX25"/>
  <sheetViews>
    <sheetView zoomScale="90" zoomScaleNormal="90" workbookViewId="0">
      <selection activeCell="P38" sqref="P38"/>
    </sheetView>
  </sheetViews>
  <sheetFormatPr defaultColWidth="9" defaultRowHeight="14" x14ac:dyDescent="0.3"/>
  <cols>
    <col min="1" max="1" width="7.25" style="25" customWidth="1"/>
    <col min="2" max="2" width="17.25" style="37" customWidth="1"/>
    <col min="3" max="3" width="6.33203125" style="35" customWidth="1"/>
    <col min="4" max="5" width="6.5" style="36" customWidth="1"/>
    <col min="6" max="6" width="7.58203125" style="36" customWidth="1"/>
    <col min="7" max="7" width="6" style="25" bestFit="1" customWidth="1"/>
    <col min="8" max="8" width="6.75" style="25" customWidth="1"/>
    <col min="9" max="9" width="6" style="25" bestFit="1" customWidth="1"/>
    <col min="10" max="10" width="6.75" style="25" customWidth="1"/>
    <col min="11" max="11" width="6" style="25" bestFit="1" customWidth="1"/>
    <col min="12" max="12" width="6.75" style="25" customWidth="1"/>
    <col min="13" max="13" width="6" style="25" bestFit="1" customWidth="1"/>
    <col min="14" max="14" width="6.75" style="25" customWidth="1"/>
    <col min="15" max="15" width="6" style="25" bestFit="1" customWidth="1"/>
    <col min="16" max="16" width="6.75" style="25" customWidth="1"/>
    <col min="17" max="17" width="6" style="25" bestFit="1" customWidth="1"/>
    <col min="18" max="18" width="6.75" style="25" customWidth="1"/>
    <col min="19" max="19" width="5.75" style="25" customWidth="1"/>
    <col min="20" max="20" width="7.5" style="25" bestFit="1" customWidth="1"/>
    <col min="21" max="21" width="6.5" style="25" bestFit="1" customWidth="1"/>
    <col min="22" max="22" width="7.5" style="25" bestFit="1" customWidth="1"/>
    <col min="23" max="23" width="6.75" style="25" customWidth="1"/>
    <col min="24" max="24" width="7.5" style="25" bestFit="1" customWidth="1"/>
    <col min="25" max="25" width="7" style="25" customWidth="1"/>
    <col min="26" max="26" width="7.5" style="25" bestFit="1" customWidth="1"/>
    <col min="27" max="27" width="6.83203125" style="25" customWidth="1"/>
    <col min="28" max="28" width="7.5" style="25" bestFit="1" customWidth="1"/>
    <col min="29" max="29" width="6.5" style="25" bestFit="1" customWidth="1"/>
    <col min="30" max="30" width="7.5" style="25" bestFit="1" customWidth="1"/>
    <col min="31" max="32" width="6.5" style="25" bestFit="1" customWidth="1"/>
    <col min="33" max="33" width="7.33203125" style="25" customWidth="1"/>
    <col min="34" max="34" width="7.5" style="25" bestFit="1" customWidth="1"/>
    <col min="35" max="35" width="6.5" style="25" bestFit="1" customWidth="1"/>
    <col min="36" max="36" width="7.5" style="25" bestFit="1" customWidth="1"/>
    <col min="37" max="37" width="6.5" style="25" bestFit="1" customWidth="1"/>
    <col min="38" max="38" width="7.5" style="25" bestFit="1" customWidth="1"/>
    <col min="39" max="39" width="6.5" style="25" bestFit="1" customWidth="1"/>
    <col min="40" max="40" width="7.5" style="25" bestFit="1" customWidth="1"/>
    <col min="41" max="41" width="6.5" style="25" bestFit="1" customWidth="1"/>
    <col min="42" max="42" width="7.5" style="25" bestFit="1" customWidth="1"/>
    <col min="43" max="43" width="7.25" style="25" customWidth="1"/>
    <col min="44" max="44" width="7.5" style="25" bestFit="1" customWidth="1"/>
    <col min="45" max="45" width="6.5" style="25" bestFit="1" customWidth="1"/>
    <col min="46" max="46" width="7.5" style="25" bestFit="1" customWidth="1"/>
    <col min="47" max="47" width="6.5" style="25" bestFit="1" customWidth="1"/>
    <col min="48" max="48" width="7.5" style="25" bestFit="1" customWidth="1"/>
    <col min="49" max="49" width="6.5" style="25" bestFit="1" customWidth="1"/>
    <col min="50" max="50" width="7.5" style="25" bestFit="1" customWidth="1"/>
    <col min="51" max="16384" width="9" style="25"/>
  </cols>
  <sheetData>
    <row r="2" spans="2:50" s="95" customFormat="1" ht="13" x14ac:dyDescent="0.25">
      <c r="C2" s="100" t="s">
        <v>1304</v>
      </c>
      <c r="D2" s="101"/>
      <c r="E2" s="101"/>
    </row>
    <row r="3" spans="2:50" s="95" customFormat="1" ht="13" x14ac:dyDescent="0.25">
      <c r="C3" s="100"/>
      <c r="D3" s="101"/>
      <c r="E3" s="101"/>
    </row>
    <row r="4" spans="2:50" s="95" customFormat="1" ht="12.75" customHeight="1" x14ac:dyDescent="0.25">
      <c r="B4" s="317"/>
      <c r="C4" s="263" t="s">
        <v>72</v>
      </c>
      <c r="D4" s="263" t="s">
        <v>926</v>
      </c>
      <c r="E4" s="358" t="s">
        <v>927</v>
      </c>
      <c r="F4" s="359"/>
      <c r="G4" s="358" t="s">
        <v>172</v>
      </c>
      <c r="H4" s="359"/>
      <c r="I4" s="358" t="s">
        <v>173</v>
      </c>
      <c r="J4" s="359"/>
      <c r="K4" s="358" t="s">
        <v>103</v>
      </c>
      <c r="L4" s="359"/>
      <c r="M4" s="358" t="s">
        <v>175</v>
      </c>
      <c r="N4" s="359"/>
      <c r="O4" s="358" t="s">
        <v>74</v>
      </c>
      <c r="P4" s="359"/>
      <c r="Q4" s="358" t="s">
        <v>176</v>
      </c>
      <c r="R4" s="359"/>
      <c r="S4" s="358" t="s">
        <v>75</v>
      </c>
      <c r="T4" s="359"/>
      <c r="U4" s="358" t="s">
        <v>264</v>
      </c>
      <c r="V4" s="359"/>
      <c r="W4" s="358" t="s">
        <v>278</v>
      </c>
      <c r="X4" s="359"/>
      <c r="Y4" s="358" t="s">
        <v>333</v>
      </c>
      <c r="Z4" s="359"/>
      <c r="AA4" s="358" t="s">
        <v>1313</v>
      </c>
      <c r="AB4" s="359"/>
      <c r="AC4" s="358" t="s">
        <v>511</v>
      </c>
      <c r="AD4" s="359"/>
      <c r="AE4" s="358" t="s">
        <v>512</v>
      </c>
      <c r="AF4" s="359"/>
      <c r="AG4" s="358" t="s">
        <v>513</v>
      </c>
      <c r="AH4" s="359"/>
      <c r="AI4" s="358" t="s">
        <v>514</v>
      </c>
      <c r="AJ4" s="359"/>
      <c r="AK4" s="358" t="s">
        <v>515</v>
      </c>
      <c r="AL4" s="359"/>
      <c r="AM4" s="358" t="s">
        <v>1314</v>
      </c>
      <c r="AN4" s="359"/>
      <c r="AO4" s="358" t="s">
        <v>1315</v>
      </c>
      <c r="AP4" s="359"/>
      <c r="AQ4" s="358" t="s">
        <v>1316</v>
      </c>
      <c r="AR4" s="359"/>
      <c r="AS4" s="358" t="s">
        <v>1317</v>
      </c>
      <c r="AT4" s="359"/>
      <c r="AU4" s="358" t="s">
        <v>1318</v>
      </c>
      <c r="AV4" s="359"/>
      <c r="AW4" s="358" t="s">
        <v>1319</v>
      </c>
      <c r="AX4" s="359"/>
    </row>
    <row r="5" spans="2:50" s="95" customFormat="1" ht="12.75" customHeight="1" x14ac:dyDescent="0.25">
      <c r="B5" s="317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</row>
    <row r="6" spans="2:50" s="95" customFormat="1" ht="12.75" customHeight="1" x14ac:dyDescent="0.25">
      <c r="B6" s="354" t="s">
        <v>99</v>
      </c>
      <c r="C6" s="58" t="s">
        <v>1305</v>
      </c>
      <c r="D6" s="55">
        <v>19.25</v>
      </c>
      <c r="E6" s="40">
        <v>19.309999999999999</v>
      </c>
      <c r="F6" s="41">
        <f t="shared" ref="F6:F8" si="0">E6/D6*100</f>
        <v>100.3116883116883</v>
      </c>
      <c r="G6" s="40">
        <v>19.329999999999998</v>
      </c>
      <c r="H6" s="41">
        <f>G6/D6*100</f>
        <v>100.41558441558441</v>
      </c>
      <c r="I6" s="40">
        <v>20.34</v>
      </c>
      <c r="J6" s="41">
        <f>I6/D6*100</f>
        <v>105.66233766233766</v>
      </c>
      <c r="K6" s="40">
        <v>20.399999999999999</v>
      </c>
      <c r="L6" s="41">
        <f>K6/D6*100</f>
        <v>105.97402597402596</v>
      </c>
      <c r="M6" s="40">
        <v>20.62</v>
      </c>
      <c r="N6" s="41">
        <f>M6/D6*100</f>
        <v>107.11688311688312</v>
      </c>
      <c r="O6" s="40">
        <v>21.8</v>
      </c>
      <c r="P6" s="41">
        <f>O6/D6*100</f>
        <v>113.24675324675324</v>
      </c>
      <c r="Q6" s="40">
        <v>20.71</v>
      </c>
      <c r="R6" s="41">
        <f>Q6/D6*100</f>
        <v>107.58441558441558</v>
      </c>
      <c r="S6" s="40">
        <v>18.79</v>
      </c>
      <c r="T6" s="41">
        <f>S6/D6*100</f>
        <v>97.610389610389603</v>
      </c>
      <c r="U6" s="40">
        <v>18.16</v>
      </c>
      <c r="V6" s="47">
        <f>U6/D6*100</f>
        <v>94.337662337662337</v>
      </c>
      <c r="W6" s="49" t="s">
        <v>947</v>
      </c>
      <c r="X6" s="50"/>
      <c r="Y6" s="49"/>
      <c r="Z6" s="50"/>
      <c r="AA6" s="49"/>
      <c r="AB6" s="50"/>
      <c r="AC6" s="49"/>
      <c r="AD6" s="50"/>
      <c r="AE6" s="49"/>
      <c r="AF6" s="50"/>
      <c r="AG6" s="49"/>
      <c r="AH6" s="50"/>
      <c r="AI6" s="49"/>
      <c r="AJ6" s="50"/>
      <c r="AK6" s="49"/>
      <c r="AL6" s="50"/>
      <c r="AM6" s="49"/>
      <c r="AN6" s="50"/>
      <c r="AO6" s="49"/>
      <c r="AP6" s="50"/>
      <c r="AQ6" s="49"/>
      <c r="AR6" s="50"/>
      <c r="AS6" s="49"/>
      <c r="AT6" s="50"/>
      <c r="AU6" s="49"/>
      <c r="AV6" s="50"/>
      <c r="AW6" s="49"/>
      <c r="AX6" s="50"/>
    </row>
    <row r="7" spans="2:50" s="95" customFormat="1" ht="12.75" customHeight="1" x14ac:dyDescent="0.25">
      <c r="B7" s="354"/>
      <c r="C7" s="58" t="s">
        <v>1306</v>
      </c>
      <c r="D7" s="55">
        <v>18.43</v>
      </c>
      <c r="E7" s="40">
        <v>18.850000000000001</v>
      </c>
      <c r="F7" s="41">
        <f t="shared" si="0"/>
        <v>102.27889310906133</v>
      </c>
      <c r="G7" s="40">
        <v>18.78</v>
      </c>
      <c r="H7" s="41">
        <f t="shared" ref="H7:H10" si="1">G7/D7*100</f>
        <v>101.89907759088443</v>
      </c>
      <c r="I7" s="40">
        <v>19.52</v>
      </c>
      <c r="J7" s="41">
        <f t="shared" ref="J7:J10" si="2">I7/D7*100</f>
        <v>105.91427021161151</v>
      </c>
      <c r="K7" s="40">
        <v>19.670000000000002</v>
      </c>
      <c r="L7" s="41">
        <f t="shared" ref="L7:L10" si="3">K7/D7*100</f>
        <v>106.72816060770485</v>
      </c>
      <c r="M7" s="40">
        <v>19.46</v>
      </c>
      <c r="N7" s="41">
        <f t="shared" ref="N7:N10" si="4">M7/D7*100</f>
        <v>105.58871405317419</v>
      </c>
      <c r="O7" s="40">
        <v>19.850000000000001</v>
      </c>
      <c r="P7" s="41">
        <f t="shared" ref="P7:P10" si="5">O7/D7*100</f>
        <v>107.70482908301685</v>
      </c>
      <c r="Q7" s="40">
        <v>18.329999999999998</v>
      </c>
      <c r="R7" s="41">
        <f t="shared" ref="R7:R10" si="6">Q7/D7*100</f>
        <v>99.457406402604448</v>
      </c>
      <c r="S7" s="48">
        <v>16.2</v>
      </c>
      <c r="T7" s="41">
        <f t="shared" ref="T7:T10" si="7">S7/D7*100</f>
        <v>87.900162778079221</v>
      </c>
      <c r="U7" s="48">
        <v>15.57</v>
      </c>
      <c r="V7" s="47">
        <f t="shared" ref="V7:V10" si="8">U7/D7*100</f>
        <v>84.481823114487256</v>
      </c>
      <c r="W7" s="49" t="s">
        <v>1307</v>
      </c>
      <c r="X7" s="50"/>
      <c r="Y7" s="49"/>
      <c r="Z7" s="50"/>
      <c r="AA7" s="49"/>
      <c r="AB7" s="50"/>
      <c r="AC7" s="49"/>
      <c r="AD7" s="50"/>
      <c r="AE7" s="49"/>
      <c r="AF7" s="50"/>
      <c r="AG7" s="49"/>
      <c r="AH7" s="50"/>
      <c r="AI7" s="49"/>
      <c r="AJ7" s="50"/>
      <c r="AK7" s="49"/>
      <c r="AL7" s="50"/>
      <c r="AM7" s="49"/>
      <c r="AN7" s="50"/>
      <c r="AO7" s="49"/>
      <c r="AP7" s="50"/>
      <c r="AQ7" s="49"/>
      <c r="AR7" s="50"/>
      <c r="AS7" s="49"/>
      <c r="AT7" s="50"/>
      <c r="AU7" s="49"/>
      <c r="AV7" s="50"/>
      <c r="AW7" s="49"/>
      <c r="AX7" s="50"/>
    </row>
    <row r="8" spans="2:50" s="95" customFormat="1" ht="12.75" customHeight="1" x14ac:dyDescent="0.3">
      <c r="B8" s="354"/>
      <c r="C8" s="58" t="s">
        <v>1308</v>
      </c>
      <c r="D8" s="55">
        <v>19.79</v>
      </c>
      <c r="E8" s="40">
        <v>19.12</v>
      </c>
      <c r="F8" s="41">
        <f t="shared" si="0"/>
        <v>96.614451743304713</v>
      </c>
      <c r="G8" s="40">
        <v>19.62</v>
      </c>
      <c r="H8" s="41">
        <f t="shared" si="1"/>
        <v>99.14098029307732</v>
      </c>
      <c r="I8" s="40">
        <v>20.329999999999998</v>
      </c>
      <c r="J8" s="41">
        <f t="shared" si="2"/>
        <v>102.72865083375441</v>
      </c>
      <c r="K8" s="40">
        <v>20.39</v>
      </c>
      <c r="L8" s="41">
        <f t="shared" si="3"/>
        <v>103.03183425972715</v>
      </c>
      <c r="M8" s="40">
        <v>21.3</v>
      </c>
      <c r="N8" s="41">
        <f t="shared" si="4"/>
        <v>107.63011622031328</v>
      </c>
      <c r="O8" s="40">
        <v>21.77</v>
      </c>
      <c r="P8" s="41">
        <f t="shared" si="5"/>
        <v>110.00505305709956</v>
      </c>
      <c r="Q8" s="40">
        <v>19.22</v>
      </c>
      <c r="R8" s="41">
        <f t="shared" si="6"/>
        <v>97.119757453259226</v>
      </c>
      <c r="S8" s="48">
        <v>16</v>
      </c>
      <c r="T8" s="41">
        <f t="shared" si="7"/>
        <v>80.848913592723605</v>
      </c>
      <c r="U8" s="48">
        <v>16.79</v>
      </c>
      <c r="V8" s="47">
        <f t="shared" si="8"/>
        <v>84.84082870136433</v>
      </c>
      <c r="W8" s="48">
        <v>16.07</v>
      </c>
      <c r="X8" s="47">
        <f>W8/D8*100</f>
        <v>81.202627589691772</v>
      </c>
      <c r="Y8" s="49" t="s">
        <v>116</v>
      </c>
      <c r="Z8" s="54"/>
      <c r="AA8" s="49"/>
      <c r="AB8" s="54"/>
      <c r="AC8" s="49"/>
      <c r="AD8" s="54"/>
      <c r="AE8" s="49"/>
      <c r="AF8" s="54"/>
      <c r="AG8" s="49"/>
      <c r="AH8" s="54"/>
      <c r="AI8" s="49"/>
      <c r="AJ8" s="54"/>
      <c r="AK8" s="49"/>
      <c r="AL8" s="54"/>
      <c r="AM8" s="49"/>
      <c r="AN8" s="54"/>
      <c r="AO8" s="49"/>
      <c r="AP8" s="54"/>
      <c r="AQ8" s="49"/>
      <c r="AR8" s="54"/>
      <c r="AS8" s="49"/>
      <c r="AT8" s="54"/>
      <c r="AU8" s="49"/>
      <c r="AV8" s="54"/>
      <c r="AW8" s="49"/>
      <c r="AX8" s="54"/>
    </row>
    <row r="9" spans="2:50" s="95" customFormat="1" ht="12.75" customHeight="1" x14ac:dyDescent="0.25">
      <c r="B9" s="354"/>
      <c r="C9" s="58" t="s">
        <v>1309</v>
      </c>
      <c r="D9" s="55">
        <v>19.010000000000002</v>
      </c>
      <c r="E9" s="40">
        <v>18.940000000000001</v>
      </c>
      <c r="F9" s="41">
        <f>E9/D9*100</f>
        <v>99.63177275118359</v>
      </c>
      <c r="G9" s="40">
        <v>19.28</v>
      </c>
      <c r="H9" s="41">
        <f t="shared" si="1"/>
        <v>101.42030510257757</v>
      </c>
      <c r="I9" s="40">
        <v>19.600000000000001</v>
      </c>
      <c r="J9" s="41">
        <f t="shared" si="2"/>
        <v>103.10362966859547</v>
      </c>
      <c r="K9" s="40">
        <v>19.420000000000002</v>
      </c>
      <c r="L9" s="41">
        <f t="shared" si="3"/>
        <v>102.15675960021042</v>
      </c>
      <c r="M9" s="40">
        <v>20.03</v>
      </c>
      <c r="N9" s="41">
        <f t="shared" si="4"/>
        <v>105.365597054182</v>
      </c>
      <c r="O9" s="40">
        <v>20.94</v>
      </c>
      <c r="P9" s="41">
        <f t="shared" si="5"/>
        <v>110.15255128879538</v>
      </c>
      <c r="Q9" s="40">
        <v>20.45</v>
      </c>
      <c r="R9" s="41">
        <f t="shared" si="6"/>
        <v>107.57496054708047</v>
      </c>
      <c r="S9" s="40">
        <v>20.12</v>
      </c>
      <c r="T9" s="41">
        <f t="shared" si="7"/>
        <v>105.83903208837452</v>
      </c>
      <c r="U9" s="40">
        <v>20.18</v>
      </c>
      <c r="V9" s="47">
        <f t="shared" si="8"/>
        <v>106.15465544450289</v>
      </c>
      <c r="W9" s="40">
        <v>18.690000000000001</v>
      </c>
      <c r="X9" s="47">
        <f t="shared" ref="X9:X10" si="9">W9/D9*100</f>
        <v>98.316675433982113</v>
      </c>
      <c r="Y9" s="40">
        <v>18.309999999999999</v>
      </c>
      <c r="Z9" s="47">
        <f>Y9/D9*100</f>
        <v>96.317727511835855</v>
      </c>
      <c r="AA9" s="40">
        <v>18.53</v>
      </c>
      <c r="AB9" s="47">
        <f>AA9/D9*100</f>
        <v>97.475013150973169</v>
      </c>
      <c r="AC9" s="40">
        <v>18.649999999999999</v>
      </c>
      <c r="AD9" s="47">
        <f>AC9/D9*100</f>
        <v>98.106259863229866</v>
      </c>
      <c r="AE9" s="40">
        <v>18.29</v>
      </c>
      <c r="AF9" s="47">
        <f>AE9/D9*100</f>
        <v>96.212519726459746</v>
      </c>
      <c r="AG9" s="49" t="s">
        <v>119</v>
      </c>
      <c r="AH9" s="50"/>
      <c r="AI9" s="49"/>
      <c r="AJ9" s="50"/>
      <c r="AK9" s="49"/>
      <c r="AL9" s="50"/>
      <c r="AM9" s="49"/>
      <c r="AN9" s="50"/>
      <c r="AO9" s="49"/>
      <c r="AP9" s="50"/>
      <c r="AQ9" s="49"/>
      <c r="AR9" s="50"/>
      <c r="AS9" s="49"/>
      <c r="AT9" s="50"/>
      <c r="AU9" s="49"/>
      <c r="AV9" s="50"/>
      <c r="AW9" s="49"/>
      <c r="AX9" s="50"/>
    </row>
    <row r="10" spans="2:50" s="95" customFormat="1" ht="12.75" customHeight="1" x14ac:dyDescent="0.25">
      <c r="B10" s="354"/>
      <c r="C10" s="58" t="s">
        <v>1310</v>
      </c>
      <c r="D10" s="55">
        <v>20.13</v>
      </c>
      <c r="E10" s="40">
        <v>19.77</v>
      </c>
      <c r="F10" s="41">
        <f t="shared" ref="F10" si="10">E10/D10*100</f>
        <v>98.211624441132642</v>
      </c>
      <c r="G10" s="40">
        <v>19.95</v>
      </c>
      <c r="H10" s="41">
        <f t="shared" si="1"/>
        <v>99.105812220566321</v>
      </c>
      <c r="I10" s="40">
        <v>20.66</v>
      </c>
      <c r="J10" s="41">
        <f t="shared" si="2"/>
        <v>102.63288623944362</v>
      </c>
      <c r="K10" s="40">
        <v>20.71</v>
      </c>
      <c r="L10" s="41">
        <f t="shared" si="3"/>
        <v>102.88127173373076</v>
      </c>
      <c r="M10" s="40">
        <v>20.93</v>
      </c>
      <c r="N10" s="41">
        <f t="shared" si="4"/>
        <v>103.97416790859415</v>
      </c>
      <c r="O10" s="40">
        <v>21.64</v>
      </c>
      <c r="P10" s="41">
        <f t="shared" si="5"/>
        <v>107.50124192747144</v>
      </c>
      <c r="Q10" s="40">
        <v>18.78</v>
      </c>
      <c r="R10" s="41">
        <f t="shared" si="6"/>
        <v>93.293591654247393</v>
      </c>
      <c r="S10" s="48">
        <v>14.84</v>
      </c>
      <c r="T10" s="56">
        <f t="shared" si="7"/>
        <v>73.720814704421272</v>
      </c>
      <c r="U10" s="48">
        <v>14.92</v>
      </c>
      <c r="V10" s="50">
        <f t="shared" si="8"/>
        <v>74.118231495280682</v>
      </c>
      <c r="W10" s="48">
        <v>13.82</v>
      </c>
      <c r="X10" s="50">
        <f t="shared" si="9"/>
        <v>68.653750620963734</v>
      </c>
      <c r="Y10" s="48">
        <v>13.12</v>
      </c>
      <c r="Z10" s="50">
        <f t="shared" ref="Z10:Z15" si="11">Y10/D10*100</f>
        <v>65.176353700943864</v>
      </c>
      <c r="AA10" s="49" t="s">
        <v>81</v>
      </c>
      <c r="AB10" s="50"/>
      <c r="AC10" s="49"/>
      <c r="AD10" s="50"/>
      <c r="AE10" s="49"/>
      <c r="AF10" s="50"/>
      <c r="AG10" s="49"/>
      <c r="AH10" s="50"/>
      <c r="AI10" s="49"/>
      <c r="AJ10" s="50"/>
      <c r="AK10" s="49"/>
      <c r="AL10" s="50"/>
      <c r="AM10" s="49"/>
      <c r="AN10" s="50"/>
      <c r="AO10" s="49"/>
      <c r="AP10" s="50"/>
      <c r="AQ10" s="49"/>
      <c r="AR10" s="50"/>
      <c r="AS10" s="49"/>
      <c r="AT10" s="50"/>
      <c r="AU10" s="49"/>
      <c r="AV10" s="50"/>
      <c r="AW10" s="49"/>
      <c r="AX10" s="50"/>
    </row>
    <row r="11" spans="2:50" s="95" customFormat="1" ht="12.75" customHeight="1" x14ac:dyDescent="0.3">
      <c r="B11" s="367" t="s">
        <v>1311</v>
      </c>
      <c r="C11" s="58" t="s">
        <v>1007</v>
      </c>
      <c r="D11" s="55">
        <v>20.440000000000001</v>
      </c>
      <c r="E11" s="40">
        <v>19.760000000000002</v>
      </c>
      <c r="F11" s="41">
        <f t="shared" ref="F11:F20" si="12">E11/D11*100</f>
        <v>96.673189823874765</v>
      </c>
      <c r="G11" s="40">
        <v>20.329999999999998</v>
      </c>
      <c r="H11" s="41">
        <f t="shared" ref="H11:H20" si="13">G11/D11*100</f>
        <v>99.461839530332668</v>
      </c>
      <c r="I11" s="40">
        <v>21.22</v>
      </c>
      <c r="J11" s="41">
        <f t="shared" ref="J11:J20" si="14">I11/D11*100</f>
        <v>103.81604696673188</v>
      </c>
      <c r="K11" s="40">
        <v>20.3</v>
      </c>
      <c r="L11" s="41">
        <f t="shared" ref="L11:L20" si="15">K11/D11*100</f>
        <v>99.315068493150676</v>
      </c>
      <c r="M11" s="40">
        <v>20.48</v>
      </c>
      <c r="N11" s="41">
        <f t="shared" ref="N11:N20" si="16">M11/D11*100</f>
        <v>100.19569471624266</v>
      </c>
      <c r="O11" s="40">
        <v>21.02</v>
      </c>
      <c r="P11" s="41">
        <f t="shared" ref="P11:P20" si="17">O11/D11*100</f>
        <v>102.83757338551858</v>
      </c>
      <c r="Q11" s="40">
        <v>21.11</v>
      </c>
      <c r="R11" s="41">
        <f t="shared" ref="R11:R17" si="18">Q11/D11*100</f>
        <v>103.27788649706457</v>
      </c>
      <c r="S11" s="40">
        <v>20.98</v>
      </c>
      <c r="T11" s="41">
        <f t="shared" ref="T11:T17" si="19">S11/D11*100</f>
        <v>102.64187866927593</v>
      </c>
      <c r="U11" s="40">
        <v>19.97</v>
      </c>
      <c r="V11" s="47">
        <f t="shared" ref="V11:V17" si="20">U11/D11*100</f>
        <v>97.700587084148722</v>
      </c>
      <c r="W11" s="40">
        <v>18.940000000000001</v>
      </c>
      <c r="X11" s="47">
        <f t="shared" ref="X11:X17" si="21">W11/D11*100</f>
        <v>92.661448140900191</v>
      </c>
      <c r="Y11" s="40">
        <v>17.73</v>
      </c>
      <c r="Z11" s="47">
        <f t="shared" si="11"/>
        <v>86.74168297455968</v>
      </c>
      <c r="AA11" s="40">
        <v>16.89</v>
      </c>
      <c r="AB11" s="47">
        <f t="shared" ref="AB11:AB15" si="22">AA11/D11*100</f>
        <v>82.632093933463793</v>
      </c>
      <c r="AC11" s="48">
        <v>16.39</v>
      </c>
      <c r="AD11" s="47">
        <f t="shared" ref="AD11:AD15" si="23">AC11/D11*100</f>
        <v>80.185909980430523</v>
      </c>
      <c r="AE11" s="48">
        <v>15.87</v>
      </c>
      <c r="AF11" s="50">
        <f t="shared" ref="AF11:AF15" si="24">AE11/D11*100</f>
        <v>77.641878669275926</v>
      </c>
      <c r="AG11" s="40">
        <v>17.350000000000001</v>
      </c>
      <c r="AH11" s="47">
        <f t="shared" ref="AH11" si="25">AG11/D11*100</f>
        <v>84.882583170254406</v>
      </c>
      <c r="AI11" s="40">
        <v>17.170000000000002</v>
      </c>
      <c r="AJ11" s="47">
        <f>AI11/D11*100</f>
        <v>84.001956947162427</v>
      </c>
      <c r="AK11" s="40">
        <v>18.059999999999999</v>
      </c>
      <c r="AL11" s="47">
        <f>AK11/D11*100</f>
        <v>88.356164383561634</v>
      </c>
      <c r="AM11" s="40">
        <v>17.989999999999998</v>
      </c>
      <c r="AN11" s="47">
        <f>AM11/D11*100</f>
        <v>88.013698630136972</v>
      </c>
      <c r="AO11" s="40">
        <v>17.22</v>
      </c>
      <c r="AP11" s="47">
        <f>AO11/D11*100</f>
        <v>84.246575342465746</v>
      </c>
      <c r="AQ11" s="49" t="s">
        <v>933</v>
      </c>
      <c r="AR11" s="54"/>
      <c r="AS11" s="49"/>
      <c r="AT11" s="54"/>
      <c r="AU11" s="49"/>
      <c r="AV11" s="54"/>
      <c r="AW11" s="49"/>
      <c r="AX11" s="54"/>
    </row>
    <row r="12" spans="2:50" s="95" customFormat="1" ht="12.75" customHeight="1" x14ac:dyDescent="0.25">
      <c r="B12" s="367"/>
      <c r="C12" s="58" t="s">
        <v>1008</v>
      </c>
      <c r="D12" s="55">
        <v>21.31</v>
      </c>
      <c r="E12" s="40">
        <v>20.91</v>
      </c>
      <c r="F12" s="41">
        <f t="shared" si="12"/>
        <v>98.122946973251999</v>
      </c>
      <c r="G12" s="40">
        <v>21.18</v>
      </c>
      <c r="H12" s="41">
        <f t="shared" si="13"/>
        <v>99.389957766306907</v>
      </c>
      <c r="I12" s="40">
        <v>21.59</v>
      </c>
      <c r="J12" s="41">
        <f t="shared" si="14"/>
        <v>101.3139371187236</v>
      </c>
      <c r="K12" s="40">
        <v>21.22</v>
      </c>
      <c r="L12" s="41">
        <f t="shared" si="15"/>
        <v>99.577663068981707</v>
      </c>
      <c r="M12" s="40">
        <v>22.12</v>
      </c>
      <c r="N12" s="41">
        <f t="shared" si="16"/>
        <v>103.80103237916471</v>
      </c>
      <c r="O12" s="40">
        <v>22.6</v>
      </c>
      <c r="P12" s="41">
        <f t="shared" si="17"/>
        <v>106.05349601126233</v>
      </c>
      <c r="Q12" s="40">
        <v>24.19</v>
      </c>
      <c r="R12" s="41">
        <f t="shared" si="18"/>
        <v>113.51478179258565</v>
      </c>
      <c r="S12" s="40">
        <v>21.76</v>
      </c>
      <c r="T12" s="41">
        <f t="shared" si="19"/>
        <v>102.11168465509152</v>
      </c>
      <c r="U12" s="40">
        <v>21.71</v>
      </c>
      <c r="V12" s="47">
        <f t="shared" si="20"/>
        <v>101.87705302674802</v>
      </c>
      <c r="W12" s="40">
        <v>21.41</v>
      </c>
      <c r="X12" s="47">
        <f t="shared" si="21"/>
        <v>100.46926325668701</v>
      </c>
      <c r="Y12" s="40">
        <v>21.92</v>
      </c>
      <c r="Z12" s="47">
        <f t="shared" si="11"/>
        <v>102.86250586579074</v>
      </c>
      <c r="AA12" s="40">
        <v>21.71</v>
      </c>
      <c r="AB12" s="47">
        <f t="shared" si="22"/>
        <v>101.87705302674802</v>
      </c>
      <c r="AC12" s="40">
        <v>21.7</v>
      </c>
      <c r="AD12" s="47">
        <f t="shared" si="23"/>
        <v>101.83012670107931</v>
      </c>
      <c r="AE12" s="40">
        <v>19.87</v>
      </c>
      <c r="AF12" s="47">
        <f t="shared" si="24"/>
        <v>93.242609103707181</v>
      </c>
      <c r="AG12" s="40">
        <v>19.760000000000002</v>
      </c>
      <c r="AH12" s="47">
        <f>AG12/D12*100</f>
        <v>92.726419521351488</v>
      </c>
      <c r="AI12" s="40">
        <v>20.329999999999998</v>
      </c>
      <c r="AJ12" s="47">
        <f t="shared" ref="AJ12:AJ15" si="26">AI12/D12*100</f>
        <v>95.401220084467383</v>
      </c>
      <c r="AK12" s="40">
        <v>21.22</v>
      </c>
      <c r="AL12" s="47">
        <f t="shared" ref="AL12:AL15" si="27">AK12/D12*100</f>
        <v>99.577663068981707</v>
      </c>
      <c r="AM12" s="40">
        <v>20.41</v>
      </c>
      <c r="AN12" s="47">
        <f t="shared" ref="AN12:AN15" si="28">AM12/D12*100</f>
        <v>95.776630689816983</v>
      </c>
      <c r="AO12" s="40">
        <v>21.65</v>
      </c>
      <c r="AP12" s="47">
        <f t="shared" ref="AP12:AP15" si="29">AO12/D12*100</f>
        <v>101.5954950727358</v>
      </c>
      <c r="AQ12" s="40">
        <v>20.079999999999998</v>
      </c>
      <c r="AR12" s="47">
        <f>AQ12/D12*100</f>
        <v>94.228061942749889</v>
      </c>
      <c r="AS12" s="40">
        <v>20.170000000000002</v>
      </c>
      <c r="AT12" s="47">
        <f>AS12/D12*100</f>
        <v>94.650398873768196</v>
      </c>
      <c r="AU12" s="40">
        <v>19.489999999999998</v>
      </c>
      <c r="AV12" s="47">
        <f>AU12/D12*100</f>
        <v>91.45940872829658</v>
      </c>
      <c r="AW12" s="40">
        <v>21.36</v>
      </c>
      <c r="AX12" s="47">
        <f>AW12/D12*100</f>
        <v>100.23463162834349</v>
      </c>
    </row>
    <row r="13" spans="2:50" s="95" customFormat="1" ht="12.75" customHeight="1" x14ac:dyDescent="0.25">
      <c r="B13" s="367"/>
      <c r="C13" s="58" t="s">
        <v>1009</v>
      </c>
      <c r="D13" s="55">
        <v>20.02</v>
      </c>
      <c r="E13" s="40">
        <v>19.8</v>
      </c>
      <c r="F13" s="41">
        <f t="shared" si="12"/>
        <v>98.901098901098905</v>
      </c>
      <c r="G13" s="40">
        <v>20.6</v>
      </c>
      <c r="H13" s="41">
        <f t="shared" si="13"/>
        <v>102.8971028971029</v>
      </c>
      <c r="I13" s="40">
        <v>21.36</v>
      </c>
      <c r="J13" s="41">
        <f t="shared" si="14"/>
        <v>106.6933066933067</v>
      </c>
      <c r="K13" s="40">
        <v>21.03</v>
      </c>
      <c r="L13" s="41">
        <f t="shared" si="15"/>
        <v>105.04495504495506</v>
      </c>
      <c r="M13" s="40">
        <v>20.079999999999998</v>
      </c>
      <c r="N13" s="41">
        <f t="shared" si="16"/>
        <v>100.29970029970031</v>
      </c>
      <c r="O13" s="40">
        <v>20.64</v>
      </c>
      <c r="P13" s="41">
        <f t="shared" si="17"/>
        <v>103.09690309690309</v>
      </c>
      <c r="Q13" s="40">
        <v>21.36</v>
      </c>
      <c r="R13" s="41">
        <f t="shared" si="18"/>
        <v>106.6933066933067</v>
      </c>
      <c r="S13" s="40">
        <v>20.7</v>
      </c>
      <c r="T13" s="41">
        <f t="shared" si="19"/>
        <v>103.3966033966034</v>
      </c>
      <c r="U13" s="40">
        <v>18.329999999999998</v>
      </c>
      <c r="V13" s="47">
        <f t="shared" si="20"/>
        <v>91.558441558441544</v>
      </c>
      <c r="W13" s="40">
        <v>17.2</v>
      </c>
      <c r="X13" s="47">
        <f t="shared" si="21"/>
        <v>85.914085914085916</v>
      </c>
      <c r="Y13" s="40">
        <v>17.93</v>
      </c>
      <c r="Z13" s="47">
        <f t="shared" si="11"/>
        <v>89.560439560439562</v>
      </c>
      <c r="AA13" s="40">
        <v>18.72</v>
      </c>
      <c r="AB13" s="47">
        <f t="shared" si="22"/>
        <v>93.506493506493499</v>
      </c>
      <c r="AC13" s="40">
        <v>18.66</v>
      </c>
      <c r="AD13" s="47">
        <f t="shared" si="23"/>
        <v>93.206793206793208</v>
      </c>
      <c r="AE13" s="40">
        <v>18.54</v>
      </c>
      <c r="AF13" s="47">
        <f t="shared" si="24"/>
        <v>92.607392607392597</v>
      </c>
      <c r="AG13" s="48">
        <v>16.510000000000002</v>
      </c>
      <c r="AH13" s="47">
        <f t="shared" ref="AH13:AH15" si="30">AG13/D13*100</f>
        <v>82.467532467532479</v>
      </c>
      <c r="AI13" s="40">
        <v>18.48</v>
      </c>
      <c r="AJ13" s="47">
        <f t="shared" si="26"/>
        <v>92.307692307692307</v>
      </c>
      <c r="AK13" s="40">
        <v>19.21</v>
      </c>
      <c r="AL13" s="47">
        <f t="shared" si="27"/>
        <v>95.954045954045966</v>
      </c>
      <c r="AM13" s="40">
        <v>20.18</v>
      </c>
      <c r="AN13" s="47">
        <f t="shared" si="28"/>
        <v>100.79920079920079</v>
      </c>
      <c r="AO13" s="40">
        <v>22.11</v>
      </c>
      <c r="AP13" s="47">
        <f t="shared" si="29"/>
        <v>110.43956043956045</v>
      </c>
      <c r="AQ13" s="40">
        <v>20.97</v>
      </c>
      <c r="AR13" s="47">
        <f t="shared" ref="AR13:AR15" si="31">AQ13/D13*100</f>
        <v>104.74525474525474</v>
      </c>
      <c r="AS13" s="40">
        <v>21.52</v>
      </c>
      <c r="AT13" s="47">
        <f t="shared" ref="AT13:AT15" si="32">AS13/D13*100</f>
        <v>107.4925074925075</v>
      </c>
      <c r="AU13" s="40">
        <v>20.88</v>
      </c>
      <c r="AV13" s="47">
        <f t="shared" ref="AV13:AV15" si="33">AU13/D13*100</f>
        <v>104.2957042957043</v>
      </c>
      <c r="AW13" s="40">
        <v>21.1</v>
      </c>
      <c r="AX13" s="47">
        <f t="shared" ref="AX13:AX15" si="34">AW13/D13*100</f>
        <v>105.39460539460541</v>
      </c>
    </row>
    <row r="14" spans="2:50" s="95" customFormat="1" ht="12.75" customHeight="1" x14ac:dyDescent="0.25">
      <c r="B14" s="367"/>
      <c r="C14" s="58" t="s">
        <v>988</v>
      </c>
      <c r="D14" s="55">
        <v>20.11</v>
      </c>
      <c r="E14" s="40">
        <v>20.75</v>
      </c>
      <c r="F14" s="41">
        <f t="shared" si="12"/>
        <v>103.18249627051219</v>
      </c>
      <c r="G14" s="40">
        <v>20.87</v>
      </c>
      <c r="H14" s="41">
        <f t="shared" si="13"/>
        <v>103.77921432123323</v>
      </c>
      <c r="I14" s="40">
        <v>21.1</v>
      </c>
      <c r="J14" s="41">
        <f t="shared" si="14"/>
        <v>104.92292391844855</v>
      </c>
      <c r="K14" s="40">
        <v>20.71</v>
      </c>
      <c r="L14" s="41">
        <f t="shared" si="15"/>
        <v>102.98359025360517</v>
      </c>
      <c r="M14" s="40">
        <v>20.43</v>
      </c>
      <c r="N14" s="41">
        <f t="shared" si="16"/>
        <v>101.59124813525608</v>
      </c>
      <c r="O14" s="40">
        <v>20.86</v>
      </c>
      <c r="P14" s="41">
        <f t="shared" si="17"/>
        <v>103.72948781700646</v>
      </c>
      <c r="Q14" s="40">
        <v>21.74</v>
      </c>
      <c r="R14" s="41">
        <f t="shared" si="18"/>
        <v>108.10542018896072</v>
      </c>
      <c r="S14" s="40">
        <v>22.55</v>
      </c>
      <c r="T14" s="41">
        <f t="shared" si="19"/>
        <v>112.1332670313277</v>
      </c>
      <c r="U14" s="40">
        <v>21.38</v>
      </c>
      <c r="V14" s="47">
        <f t="shared" si="20"/>
        <v>106.31526603679762</v>
      </c>
      <c r="W14" s="40">
        <v>19.670000000000002</v>
      </c>
      <c r="X14" s="47">
        <f t="shared" si="21"/>
        <v>97.812033814022882</v>
      </c>
      <c r="Y14" s="40">
        <v>19.28</v>
      </c>
      <c r="Z14" s="47">
        <f t="shared" si="11"/>
        <v>95.872700149179522</v>
      </c>
      <c r="AA14" s="40">
        <v>19.37</v>
      </c>
      <c r="AB14" s="47">
        <f t="shared" si="22"/>
        <v>96.320238687220296</v>
      </c>
      <c r="AC14" s="40">
        <v>20.21</v>
      </c>
      <c r="AD14" s="47">
        <f t="shared" si="23"/>
        <v>100.49726504226753</v>
      </c>
      <c r="AE14" s="40">
        <v>19.47</v>
      </c>
      <c r="AF14" s="47">
        <f t="shared" si="24"/>
        <v>96.817503729487825</v>
      </c>
      <c r="AG14" s="40">
        <v>18.82</v>
      </c>
      <c r="AH14" s="47">
        <f t="shared" si="30"/>
        <v>93.585280954748882</v>
      </c>
      <c r="AI14" s="40">
        <v>19.47</v>
      </c>
      <c r="AJ14" s="47">
        <f t="shared" si="26"/>
        <v>96.817503729487825</v>
      </c>
      <c r="AK14" s="40">
        <v>19.82</v>
      </c>
      <c r="AL14" s="47">
        <f t="shared" si="27"/>
        <v>98.557931377424168</v>
      </c>
      <c r="AM14" s="40">
        <v>19.559999999999999</v>
      </c>
      <c r="AN14" s="47">
        <f t="shared" si="28"/>
        <v>97.265042267528585</v>
      </c>
      <c r="AO14" s="40">
        <v>21.36</v>
      </c>
      <c r="AP14" s="47">
        <f t="shared" si="29"/>
        <v>106.21581302834412</v>
      </c>
      <c r="AQ14" s="40">
        <v>20.8</v>
      </c>
      <c r="AR14" s="47">
        <f t="shared" si="31"/>
        <v>103.43112879164596</v>
      </c>
      <c r="AS14" s="40">
        <v>21.66</v>
      </c>
      <c r="AT14" s="47">
        <f t="shared" si="32"/>
        <v>107.7076081551467</v>
      </c>
      <c r="AU14" s="40">
        <v>21.58</v>
      </c>
      <c r="AV14" s="47">
        <f t="shared" si="33"/>
        <v>107.30979612133267</v>
      </c>
      <c r="AW14" s="40">
        <v>22.11</v>
      </c>
      <c r="AX14" s="47">
        <f t="shared" si="34"/>
        <v>109.94530084535057</v>
      </c>
    </row>
    <row r="15" spans="2:50" s="95" customFormat="1" ht="12.75" customHeight="1" x14ac:dyDescent="0.25">
      <c r="B15" s="367"/>
      <c r="C15" s="58" t="s">
        <v>1010</v>
      </c>
      <c r="D15" s="55">
        <v>19.82</v>
      </c>
      <c r="E15" s="40">
        <v>19.57</v>
      </c>
      <c r="F15" s="41">
        <f t="shared" si="12"/>
        <v>98.738647830474264</v>
      </c>
      <c r="G15" s="40">
        <v>19.829999999999998</v>
      </c>
      <c r="H15" s="41">
        <f t="shared" si="13"/>
        <v>100.05045408678102</v>
      </c>
      <c r="I15" s="40">
        <v>20.440000000000001</v>
      </c>
      <c r="J15" s="41">
        <f t="shared" si="14"/>
        <v>103.12815338042383</v>
      </c>
      <c r="K15" s="40">
        <v>20.64</v>
      </c>
      <c r="L15" s="41">
        <f t="shared" si="15"/>
        <v>104.13723511604441</v>
      </c>
      <c r="M15" s="40">
        <v>19.899999999999999</v>
      </c>
      <c r="N15" s="41">
        <f t="shared" si="16"/>
        <v>100.40363269424823</v>
      </c>
      <c r="O15" s="40">
        <v>22.54</v>
      </c>
      <c r="P15" s="41">
        <f t="shared" si="17"/>
        <v>113.72351160443996</v>
      </c>
      <c r="Q15" s="40">
        <v>23.42</v>
      </c>
      <c r="R15" s="41">
        <f t="shared" si="18"/>
        <v>118.16347124117056</v>
      </c>
      <c r="S15" s="40">
        <v>22.35</v>
      </c>
      <c r="T15" s="41">
        <f t="shared" si="19"/>
        <v>112.7648839556004</v>
      </c>
      <c r="U15" s="40">
        <v>22.34</v>
      </c>
      <c r="V15" s="47">
        <f t="shared" si="20"/>
        <v>112.71442986881937</v>
      </c>
      <c r="W15" s="40">
        <v>19.97</v>
      </c>
      <c r="X15" s="47">
        <f t="shared" si="21"/>
        <v>100.75681130171543</v>
      </c>
      <c r="Y15" s="40">
        <v>19.37</v>
      </c>
      <c r="Z15" s="47">
        <f t="shared" si="11"/>
        <v>97.729566094853681</v>
      </c>
      <c r="AA15" s="40">
        <v>20.74</v>
      </c>
      <c r="AB15" s="47">
        <f t="shared" si="22"/>
        <v>104.64177598385469</v>
      </c>
      <c r="AC15" s="40">
        <v>20.75</v>
      </c>
      <c r="AD15" s="47">
        <f t="shared" si="23"/>
        <v>104.69223007063573</v>
      </c>
      <c r="AE15" s="40">
        <v>19.600000000000001</v>
      </c>
      <c r="AF15" s="47">
        <f t="shared" si="24"/>
        <v>98.890010090817356</v>
      </c>
      <c r="AG15" s="40">
        <v>18.39</v>
      </c>
      <c r="AH15" s="47">
        <f t="shared" si="30"/>
        <v>92.785065590312826</v>
      </c>
      <c r="AI15" s="40">
        <v>19.170000000000002</v>
      </c>
      <c r="AJ15" s="47">
        <f t="shared" si="26"/>
        <v>96.720484359233112</v>
      </c>
      <c r="AK15" s="40">
        <v>20.61</v>
      </c>
      <c r="AL15" s="47">
        <f t="shared" si="27"/>
        <v>103.98587285570132</v>
      </c>
      <c r="AM15" s="40">
        <v>20.82</v>
      </c>
      <c r="AN15" s="47">
        <f t="shared" si="28"/>
        <v>105.04540867810293</v>
      </c>
      <c r="AO15" s="40">
        <v>21.56</v>
      </c>
      <c r="AP15" s="47">
        <f t="shared" si="29"/>
        <v>108.77901109989909</v>
      </c>
      <c r="AQ15" s="40">
        <v>20.75</v>
      </c>
      <c r="AR15" s="47">
        <f t="shared" si="31"/>
        <v>104.69223007063573</v>
      </c>
      <c r="AS15" s="40">
        <v>20.98</v>
      </c>
      <c r="AT15" s="47">
        <f t="shared" si="32"/>
        <v>105.85267406659939</v>
      </c>
      <c r="AU15" s="40">
        <v>20.239999999999998</v>
      </c>
      <c r="AV15" s="47">
        <f t="shared" si="33"/>
        <v>102.11907164480323</v>
      </c>
      <c r="AW15" s="40">
        <v>19.399999999999999</v>
      </c>
      <c r="AX15" s="47">
        <f t="shared" si="34"/>
        <v>97.880928355196758</v>
      </c>
    </row>
    <row r="16" spans="2:50" s="95" customFormat="1" ht="12.75" customHeight="1" x14ac:dyDescent="0.25">
      <c r="B16" s="367" t="s">
        <v>1312</v>
      </c>
      <c r="C16" s="58" t="s">
        <v>1011</v>
      </c>
      <c r="D16" s="55">
        <v>20.260000000000002</v>
      </c>
      <c r="E16" s="40">
        <v>19.79</v>
      </c>
      <c r="F16" s="41">
        <f t="shared" si="12"/>
        <v>97.680157946692987</v>
      </c>
      <c r="G16" s="40">
        <v>19.670000000000002</v>
      </c>
      <c r="H16" s="41">
        <f t="shared" si="13"/>
        <v>97.087857847976309</v>
      </c>
      <c r="I16" s="40">
        <v>20.49</v>
      </c>
      <c r="J16" s="41">
        <f t="shared" si="14"/>
        <v>101.13524185587363</v>
      </c>
      <c r="K16" s="40">
        <v>19.97</v>
      </c>
      <c r="L16" s="41">
        <f t="shared" si="15"/>
        <v>98.56860809476801</v>
      </c>
      <c r="M16" s="40">
        <v>19.87</v>
      </c>
      <c r="N16" s="41">
        <f t="shared" si="16"/>
        <v>98.075024679170781</v>
      </c>
      <c r="O16" s="40">
        <v>20.93</v>
      </c>
      <c r="P16" s="41">
        <f t="shared" si="17"/>
        <v>103.30700888450146</v>
      </c>
      <c r="Q16" s="40">
        <v>21.95</v>
      </c>
      <c r="R16" s="41">
        <f t="shared" si="18"/>
        <v>108.34155972359328</v>
      </c>
      <c r="S16" s="40">
        <v>21.39</v>
      </c>
      <c r="T16" s="41">
        <f t="shared" si="19"/>
        <v>105.57749259624876</v>
      </c>
      <c r="U16" s="40">
        <v>21.01</v>
      </c>
      <c r="V16" s="47">
        <f t="shared" si="20"/>
        <v>103.70187561697928</v>
      </c>
      <c r="W16" s="40">
        <v>19.97</v>
      </c>
      <c r="X16" s="47">
        <f t="shared" si="21"/>
        <v>98.56860809476801</v>
      </c>
      <c r="Y16" s="40">
        <v>19.760000000000002</v>
      </c>
      <c r="Z16" s="47">
        <f>Y16/D16*100</f>
        <v>97.532082922013814</v>
      </c>
      <c r="AA16" s="40">
        <v>19.7</v>
      </c>
      <c r="AB16" s="47">
        <f>AA16/D16*100</f>
        <v>97.235932872655468</v>
      </c>
      <c r="AC16" s="40">
        <v>19.579999999999998</v>
      </c>
      <c r="AD16" s="47">
        <f>AC16/D16*100</f>
        <v>96.643632773938776</v>
      </c>
      <c r="AE16" s="40">
        <v>19.95</v>
      </c>
      <c r="AF16" s="47">
        <f>AE16/D16*100</f>
        <v>98.469891411648561</v>
      </c>
      <c r="AG16" s="40">
        <v>18.41</v>
      </c>
      <c r="AH16" s="47">
        <f>AG16/D16*100</f>
        <v>90.868706811451133</v>
      </c>
      <c r="AI16" s="40">
        <v>19.41</v>
      </c>
      <c r="AJ16" s="47">
        <f>AI16/D16*100</f>
        <v>95.804540967423492</v>
      </c>
      <c r="AK16" s="40">
        <v>20.38</v>
      </c>
      <c r="AL16" s="47">
        <f>AK16/D16*100</f>
        <v>100.59230009871666</v>
      </c>
      <c r="AM16" s="40">
        <v>20.04</v>
      </c>
      <c r="AN16" s="47">
        <f>AM16/D16*100</f>
        <v>98.914116485686066</v>
      </c>
      <c r="AO16" s="40">
        <v>21.08</v>
      </c>
      <c r="AP16" s="47">
        <f>AO16/D16*100</f>
        <v>104.04738400789732</v>
      </c>
      <c r="AQ16" s="40">
        <v>20.53</v>
      </c>
      <c r="AR16" s="47">
        <f>AQ16/D16*100</f>
        <v>101.33267522211253</v>
      </c>
      <c r="AS16" s="40">
        <v>20.309999999999999</v>
      </c>
      <c r="AT16" s="47">
        <f>AS16/D16*100</f>
        <v>100.24679170779859</v>
      </c>
      <c r="AU16" s="40">
        <v>20.36</v>
      </c>
      <c r="AV16" s="47">
        <f>AU16/D16*100</f>
        <v>100.49358341559721</v>
      </c>
      <c r="AW16" s="40">
        <v>20.66</v>
      </c>
      <c r="AX16" s="47">
        <f>AW16/D16*100</f>
        <v>101.97433366238893</v>
      </c>
    </row>
    <row r="17" spans="2:50" s="95" customFormat="1" ht="12.75" customHeight="1" x14ac:dyDescent="0.25">
      <c r="B17" s="367"/>
      <c r="C17" s="58" t="s">
        <v>1012</v>
      </c>
      <c r="D17" s="55">
        <v>20.62</v>
      </c>
      <c r="E17" s="40">
        <v>20.78</v>
      </c>
      <c r="F17" s="41">
        <f t="shared" si="12"/>
        <v>100.77594568380212</v>
      </c>
      <c r="G17" s="40">
        <v>20.28</v>
      </c>
      <c r="H17" s="41">
        <f t="shared" si="13"/>
        <v>98.351115421920468</v>
      </c>
      <c r="I17" s="40">
        <v>21.71</v>
      </c>
      <c r="J17" s="41">
        <f t="shared" si="14"/>
        <v>105.28612997090204</v>
      </c>
      <c r="K17" s="40">
        <v>20.82</v>
      </c>
      <c r="L17" s="41">
        <f t="shared" si="15"/>
        <v>100.96993210475267</v>
      </c>
      <c r="M17" s="40">
        <v>20.75</v>
      </c>
      <c r="N17" s="41">
        <f t="shared" si="16"/>
        <v>100.63045586808923</v>
      </c>
      <c r="O17" s="40">
        <v>22.95</v>
      </c>
      <c r="P17" s="41">
        <f t="shared" si="17"/>
        <v>111.29970902036857</v>
      </c>
      <c r="Q17" s="40">
        <v>23.4</v>
      </c>
      <c r="R17" s="41">
        <f t="shared" si="18"/>
        <v>113.48205625606207</v>
      </c>
      <c r="S17" s="40">
        <v>22.08</v>
      </c>
      <c r="T17" s="41">
        <f t="shared" si="19"/>
        <v>107.08050436469445</v>
      </c>
      <c r="U17" s="40">
        <v>21.95</v>
      </c>
      <c r="V17" s="47">
        <f t="shared" si="20"/>
        <v>106.45004849660522</v>
      </c>
      <c r="W17" s="40">
        <v>19.75</v>
      </c>
      <c r="X17" s="47">
        <f t="shared" si="21"/>
        <v>95.780795344325895</v>
      </c>
      <c r="Y17" s="40">
        <v>20.07</v>
      </c>
      <c r="Z17" s="47">
        <f>Y17/D17*100</f>
        <v>97.332686711930165</v>
      </c>
      <c r="AA17" s="40">
        <v>20.86</v>
      </c>
      <c r="AB17" s="47">
        <f>AA17/D17*100</f>
        <v>101.1639185257032</v>
      </c>
      <c r="AC17" s="40">
        <v>20.05</v>
      </c>
      <c r="AD17" s="47">
        <f>AC17/D17*100</f>
        <v>97.235693501454904</v>
      </c>
      <c r="AE17" s="40">
        <v>20.22</v>
      </c>
      <c r="AF17" s="47">
        <f>AE17/D17*100</f>
        <v>98.060135790494655</v>
      </c>
      <c r="AG17" s="40">
        <v>20.71</v>
      </c>
      <c r="AH17" s="47">
        <f>AG17/D17*100</f>
        <v>100.43646944713871</v>
      </c>
      <c r="AI17" s="40">
        <v>20.190000000000001</v>
      </c>
      <c r="AJ17" s="47">
        <f>AI17/D17*100</f>
        <v>97.914645974781763</v>
      </c>
      <c r="AK17" s="40">
        <v>21.08</v>
      </c>
      <c r="AL17" s="47">
        <f>AK17/D17*100</f>
        <v>102.23084384093113</v>
      </c>
      <c r="AM17" s="40">
        <v>21.29</v>
      </c>
      <c r="AN17" s="47">
        <f>AM17/D17*100</f>
        <v>103.24927255092142</v>
      </c>
      <c r="AO17" s="40">
        <v>22.12</v>
      </c>
      <c r="AP17" s="47">
        <f>AO17/D17*100</f>
        <v>107.274490785645</v>
      </c>
      <c r="AQ17" s="40">
        <v>21.26</v>
      </c>
      <c r="AR17" s="47">
        <f>AQ17/D17*100</f>
        <v>103.10378273520855</v>
      </c>
      <c r="AS17" s="40">
        <v>22.01</v>
      </c>
      <c r="AT17" s="47">
        <f>AS17/D17*100</f>
        <v>106.74102812803103</v>
      </c>
      <c r="AU17" s="40">
        <v>21.99</v>
      </c>
      <c r="AV17" s="47">
        <f>AU17/D17*100</f>
        <v>106.64403491755576</v>
      </c>
      <c r="AW17" s="40">
        <v>22.07</v>
      </c>
      <c r="AX17" s="47">
        <f>AW17/D17*100</f>
        <v>107.03200775945683</v>
      </c>
    </row>
    <row r="18" spans="2:50" s="95" customFormat="1" ht="12.75" customHeight="1" x14ac:dyDescent="0.25">
      <c r="B18" s="367"/>
      <c r="C18" s="58" t="s">
        <v>1013</v>
      </c>
      <c r="D18" s="55">
        <v>22.35</v>
      </c>
      <c r="E18" s="40">
        <v>21.97</v>
      </c>
      <c r="F18" s="41">
        <f t="shared" si="12"/>
        <v>98.299776286353463</v>
      </c>
      <c r="G18" s="40">
        <v>21.59</v>
      </c>
      <c r="H18" s="41">
        <f t="shared" si="13"/>
        <v>96.599552572706926</v>
      </c>
      <c r="I18" s="40">
        <v>21.75</v>
      </c>
      <c r="J18" s="41">
        <f t="shared" si="14"/>
        <v>97.315436241610726</v>
      </c>
      <c r="K18" s="40">
        <v>21.46</v>
      </c>
      <c r="L18" s="41">
        <f t="shared" si="15"/>
        <v>96.017897091722588</v>
      </c>
      <c r="M18" s="40">
        <v>21.66</v>
      </c>
      <c r="N18" s="41">
        <f t="shared" si="16"/>
        <v>96.912751677852356</v>
      </c>
      <c r="O18" s="40">
        <v>21.3</v>
      </c>
      <c r="P18" s="41">
        <f t="shared" si="17"/>
        <v>95.302013422818789</v>
      </c>
      <c r="Q18" s="40">
        <v>22.04</v>
      </c>
      <c r="R18" s="41">
        <f t="shared" ref="R18" si="35">Q18/D18*100</f>
        <v>98.612975391498864</v>
      </c>
      <c r="S18" s="40">
        <v>22.86</v>
      </c>
      <c r="T18" s="41">
        <f t="shared" ref="T18" si="36">S18/D18*100</f>
        <v>102.28187919463085</v>
      </c>
      <c r="U18" s="40">
        <v>20.5</v>
      </c>
      <c r="V18" s="47">
        <f t="shared" ref="V18" si="37">U18/D18*100</f>
        <v>91.722595078299776</v>
      </c>
      <c r="W18" s="40">
        <v>18.73</v>
      </c>
      <c r="X18" s="47">
        <f t="shared" ref="X18" si="38">W18/D18*100</f>
        <v>83.803131991051444</v>
      </c>
      <c r="Y18" s="40">
        <v>18.66</v>
      </c>
      <c r="Z18" s="47">
        <f>Y18/D18*100</f>
        <v>83.489932885906043</v>
      </c>
      <c r="AA18" s="40">
        <v>19.12</v>
      </c>
      <c r="AB18" s="47">
        <f>AA18/D18*100</f>
        <v>85.548098434004473</v>
      </c>
      <c r="AC18" s="40">
        <v>20.170000000000002</v>
      </c>
      <c r="AD18" s="47">
        <f>AC18/D18*100</f>
        <v>90.246085011185684</v>
      </c>
      <c r="AE18" s="40">
        <v>19.510000000000002</v>
      </c>
      <c r="AF18" s="47">
        <f>AE18/D18*100</f>
        <v>87.293064876957487</v>
      </c>
      <c r="AG18" s="40">
        <v>18.14</v>
      </c>
      <c r="AH18" s="47">
        <f>AG18/D18*100</f>
        <v>81.163310961968676</v>
      </c>
      <c r="AI18" s="40">
        <v>19.22</v>
      </c>
      <c r="AJ18" s="47">
        <f>AI18/D18*100</f>
        <v>85.995525727069349</v>
      </c>
      <c r="AK18" s="40">
        <v>19.71</v>
      </c>
      <c r="AL18" s="47">
        <f>AK18/D18*100</f>
        <v>88.187919463087255</v>
      </c>
      <c r="AM18" s="40">
        <v>19.82</v>
      </c>
      <c r="AN18" s="47">
        <f>AM18/D18*100</f>
        <v>88.680089485458609</v>
      </c>
      <c r="AO18" s="40">
        <v>21.63</v>
      </c>
      <c r="AP18" s="47">
        <f>AO18/D18*100</f>
        <v>96.77852348993288</v>
      </c>
      <c r="AQ18" s="40">
        <v>20.71</v>
      </c>
      <c r="AR18" s="47">
        <f>AQ18/D18*100</f>
        <v>92.662192393736021</v>
      </c>
      <c r="AS18" s="40">
        <v>21.32</v>
      </c>
      <c r="AT18" s="47">
        <f>AS18/D18*100</f>
        <v>95.391498881431758</v>
      </c>
      <c r="AU18" s="40">
        <v>20.53</v>
      </c>
      <c r="AV18" s="47">
        <f>AU18/D18*100</f>
        <v>91.856823266219237</v>
      </c>
      <c r="AW18" s="40">
        <v>20.23</v>
      </c>
      <c r="AX18" s="47">
        <f>AW18/D18*100</f>
        <v>90.514541387024607</v>
      </c>
    </row>
    <row r="19" spans="2:50" s="95" customFormat="1" ht="12.75" customHeight="1" x14ac:dyDescent="0.25">
      <c r="B19" s="367"/>
      <c r="C19" s="58" t="s">
        <v>1014</v>
      </c>
      <c r="D19" s="55">
        <v>19.21</v>
      </c>
      <c r="E19" s="40">
        <v>18.63</v>
      </c>
      <c r="F19" s="41">
        <f t="shared" si="12"/>
        <v>96.980739198334192</v>
      </c>
      <c r="G19" s="40">
        <v>18.97</v>
      </c>
      <c r="H19" s="41">
        <f t="shared" si="13"/>
        <v>98.750650702758975</v>
      </c>
      <c r="I19" s="40">
        <v>19.7</v>
      </c>
      <c r="J19" s="41">
        <f t="shared" si="14"/>
        <v>102.55075481520042</v>
      </c>
      <c r="K19" s="40">
        <v>19.57</v>
      </c>
      <c r="L19" s="41">
        <f t="shared" si="15"/>
        <v>101.87402394586154</v>
      </c>
      <c r="M19" s="40">
        <v>18.78</v>
      </c>
      <c r="N19" s="41">
        <f t="shared" si="16"/>
        <v>97.761582509109843</v>
      </c>
      <c r="O19" s="40">
        <v>21.42</v>
      </c>
      <c r="P19" s="41">
        <f t="shared" si="17"/>
        <v>111.50442477876106</v>
      </c>
      <c r="Q19" s="40">
        <v>20.81</v>
      </c>
      <c r="R19" s="41">
        <f>Q19/D19*100</f>
        <v>108.32899531494012</v>
      </c>
      <c r="S19" s="40">
        <v>19.420000000000002</v>
      </c>
      <c r="T19" s="41">
        <f>S19/D19*100</f>
        <v>101.0931806350859</v>
      </c>
      <c r="U19" s="40">
        <v>19.48</v>
      </c>
      <c r="V19" s="47">
        <f>U19/D19*100</f>
        <v>101.40551795939614</v>
      </c>
      <c r="W19" s="40">
        <v>19.86</v>
      </c>
      <c r="X19" s="47">
        <f>W19/D19*100</f>
        <v>103.38365434669443</v>
      </c>
      <c r="Y19" s="40">
        <v>19.149999999999999</v>
      </c>
      <c r="Z19" s="47">
        <f>Y19/D19*100</f>
        <v>99.687662675689737</v>
      </c>
      <c r="AA19" s="40">
        <v>19.170000000000002</v>
      </c>
      <c r="AB19" s="47">
        <f>AA19/D19*100</f>
        <v>99.791775117126505</v>
      </c>
      <c r="AC19" s="40">
        <v>19.05</v>
      </c>
      <c r="AD19" s="47">
        <f>AC19/D19*100</f>
        <v>99.167100468505993</v>
      </c>
      <c r="AE19" s="40">
        <v>18.5</v>
      </c>
      <c r="AF19" s="47">
        <f>AE19/D19*100</f>
        <v>96.304008328995309</v>
      </c>
      <c r="AG19" s="40">
        <v>19.010000000000002</v>
      </c>
      <c r="AH19" s="47">
        <f>AG19/D19*100</f>
        <v>98.958875585632484</v>
      </c>
      <c r="AI19" s="40">
        <v>19.61</v>
      </c>
      <c r="AJ19" s="47">
        <f>AI19/D19*100</f>
        <v>102.08224882873502</v>
      </c>
      <c r="AK19" s="40">
        <v>20.48</v>
      </c>
      <c r="AL19" s="47">
        <f>AK19/D19*100</f>
        <v>106.61114003123373</v>
      </c>
      <c r="AM19" s="40">
        <v>20.04</v>
      </c>
      <c r="AN19" s="47">
        <f>AM19/D19*100</f>
        <v>104.32066631962518</v>
      </c>
      <c r="AO19" s="40">
        <v>21.17</v>
      </c>
      <c r="AP19" s="47">
        <f>AO19/D19*100</f>
        <v>110.20301926080167</v>
      </c>
      <c r="AQ19" s="40">
        <v>20.8</v>
      </c>
      <c r="AR19" s="47">
        <f>AQ19/D19*100</f>
        <v>108.27693909422176</v>
      </c>
      <c r="AS19" s="40">
        <v>20.96</v>
      </c>
      <c r="AT19" s="47">
        <f>AS19/D19*100</f>
        <v>109.10983862571577</v>
      </c>
      <c r="AU19" s="40">
        <v>21.42</v>
      </c>
      <c r="AV19" s="47">
        <f>AU19/D19*100</f>
        <v>111.50442477876106</v>
      </c>
      <c r="AW19" s="40">
        <v>22.12</v>
      </c>
      <c r="AX19" s="47">
        <f>AW19/D19*100</f>
        <v>115.14836022904737</v>
      </c>
    </row>
    <row r="20" spans="2:50" s="95" customFormat="1" ht="12.75" customHeight="1" x14ac:dyDescent="0.25">
      <c r="B20" s="367"/>
      <c r="C20" s="58" t="s">
        <v>993</v>
      </c>
      <c r="D20" s="55">
        <v>22.13</v>
      </c>
      <c r="E20" s="40">
        <v>21.61</v>
      </c>
      <c r="F20" s="41">
        <f t="shared" si="12"/>
        <v>97.650248531405339</v>
      </c>
      <c r="G20" s="40">
        <v>21.53</v>
      </c>
      <c r="H20" s="41">
        <f t="shared" si="13"/>
        <v>97.288748305467692</v>
      </c>
      <c r="I20" s="40">
        <v>22.12</v>
      </c>
      <c r="J20" s="41">
        <f t="shared" si="14"/>
        <v>99.954812471757805</v>
      </c>
      <c r="K20" s="40">
        <v>21.83</v>
      </c>
      <c r="L20" s="41">
        <f t="shared" si="15"/>
        <v>98.644374152733832</v>
      </c>
      <c r="M20" s="40">
        <v>20.440000000000001</v>
      </c>
      <c r="N20" s="41">
        <f t="shared" si="16"/>
        <v>92.363307727067337</v>
      </c>
      <c r="O20" s="40">
        <v>23.22</v>
      </c>
      <c r="P20" s="41">
        <f t="shared" si="17"/>
        <v>104.92544057840037</v>
      </c>
      <c r="Q20" s="40">
        <v>22.7</v>
      </c>
      <c r="R20" s="41">
        <f>Q20/D20*100</f>
        <v>102.57568910980569</v>
      </c>
      <c r="S20" s="40">
        <v>23.67</v>
      </c>
      <c r="T20" s="41">
        <f>S20/D20*100</f>
        <v>106.95887934929959</v>
      </c>
      <c r="U20" s="40">
        <v>23.58</v>
      </c>
      <c r="V20" s="47">
        <f>U20/D20*100</f>
        <v>106.55219159511975</v>
      </c>
      <c r="W20" s="40">
        <v>21</v>
      </c>
      <c r="X20" s="47">
        <f>W20/D20*100</f>
        <v>94.893809308630821</v>
      </c>
      <c r="Y20" s="40">
        <v>20.16</v>
      </c>
      <c r="Z20" s="47">
        <f>Y20/D20*100</f>
        <v>91.098056936285587</v>
      </c>
      <c r="AA20" s="40">
        <v>19.309999999999999</v>
      </c>
      <c r="AB20" s="47">
        <f>AA20/D20*100</f>
        <v>87.257117035698144</v>
      </c>
      <c r="AC20" s="40">
        <v>19.28</v>
      </c>
      <c r="AD20" s="47">
        <f>AC20/D20*100</f>
        <v>87.121554450971544</v>
      </c>
      <c r="AE20" s="40">
        <v>19.68</v>
      </c>
      <c r="AF20" s="47">
        <f>AE20/D20*100</f>
        <v>88.92905558065975</v>
      </c>
      <c r="AG20" s="40">
        <v>18.43</v>
      </c>
      <c r="AH20" s="47">
        <f>AG20/D20*100</f>
        <v>83.280614550384087</v>
      </c>
      <c r="AI20" s="40">
        <v>19.07</v>
      </c>
      <c r="AJ20" s="47">
        <f>AI20/D20*100</f>
        <v>86.172616357885218</v>
      </c>
      <c r="AK20" s="40">
        <v>20.66</v>
      </c>
      <c r="AL20" s="47">
        <f>AK20/D20*100</f>
        <v>93.357433348395844</v>
      </c>
      <c r="AM20" s="40">
        <v>20.69</v>
      </c>
      <c r="AN20" s="47">
        <f>AM20/D20*100</f>
        <v>93.492995933122472</v>
      </c>
      <c r="AO20" s="40">
        <v>21.47</v>
      </c>
      <c r="AP20" s="47">
        <f>AO20/D20*100</f>
        <v>97.017623136014464</v>
      </c>
      <c r="AQ20" s="40">
        <v>21.07</v>
      </c>
      <c r="AR20" s="47">
        <f>AQ20/D20*100</f>
        <v>95.210122006326259</v>
      </c>
      <c r="AS20" s="40">
        <v>21.29</v>
      </c>
      <c r="AT20" s="47">
        <f>AS20/D20*100</f>
        <v>96.204247627654766</v>
      </c>
      <c r="AU20" s="40">
        <v>20.87</v>
      </c>
      <c r="AV20" s="47">
        <f>AU20/D20*100</f>
        <v>94.306371441482156</v>
      </c>
      <c r="AW20" s="40">
        <v>21.6</v>
      </c>
      <c r="AX20" s="47">
        <f>AW20/D20*100</f>
        <v>97.605061003163144</v>
      </c>
    </row>
    <row r="21" spans="2:50" s="95" customFormat="1" ht="12.75" customHeight="1" x14ac:dyDescent="0.3">
      <c r="B21" s="1"/>
      <c r="C21" s="264"/>
      <c r="D21" s="265" t="s">
        <v>13</v>
      </c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</row>
    <row r="22" spans="2:50" s="95" customFormat="1" ht="13" x14ac:dyDescent="0.3">
      <c r="C22" s="264"/>
      <c r="D22" s="266" t="s">
        <v>107</v>
      </c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</row>
    <row r="23" spans="2:50" s="95" customFormat="1" ht="12.5" x14ac:dyDescent="0.25"/>
    <row r="24" spans="2:50" s="95" customFormat="1" ht="12.5" x14ac:dyDescent="0.25">
      <c r="B24" s="5"/>
      <c r="C24" s="96"/>
      <c r="D24" s="98"/>
      <c r="E24" s="98"/>
      <c r="F24" s="98"/>
    </row>
    <row r="25" spans="2:50" s="95" customFormat="1" ht="12.5" x14ac:dyDescent="0.25">
      <c r="B25" s="5"/>
      <c r="C25" s="96"/>
      <c r="D25" s="98"/>
      <c r="E25" s="98"/>
      <c r="F25" s="98"/>
    </row>
  </sheetData>
  <mergeCells count="26">
    <mergeCell ref="U4:V4"/>
    <mergeCell ref="W4:X4"/>
    <mergeCell ref="Y4:Z4"/>
    <mergeCell ref="AA4:AB4"/>
    <mergeCell ref="S4:T4"/>
    <mergeCell ref="B16:B20"/>
    <mergeCell ref="B11:B15"/>
    <mergeCell ref="Q4:R4"/>
    <mergeCell ref="B6:B10"/>
    <mergeCell ref="E4:F4"/>
    <mergeCell ref="G4:H4"/>
    <mergeCell ref="I4:J4"/>
    <mergeCell ref="K4:L4"/>
    <mergeCell ref="M4:N4"/>
    <mergeCell ref="O4:P4"/>
    <mergeCell ref="AC4:AD4"/>
    <mergeCell ref="AS4:AT4"/>
    <mergeCell ref="AU4:AV4"/>
    <mergeCell ref="AW4:AX4"/>
    <mergeCell ref="AG4:AH4"/>
    <mergeCell ref="AI4:AJ4"/>
    <mergeCell ref="AK4:AL4"/>
    <mergeCell ref="AM4:AN4"/>
    <mergeCell ref="AO4:AP4"/>
    <mergeCell ref="AQ4:AR4"/>
    <mergeCell ref="AE4:AF4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3A55-9915-4A4B-9723-D7682DEB2168}">
  <dimension ref="B2:V27"/>
  <sheetViews>
    <sheetView zoomScale="90" zoomScaleNormal="90" workbookViewId="0">
      <selection activeCell="E33" sqref="E33"/>
    </sheetView>
  </sheetViews>
  <sheetFormatPr defaultColWidth="9" defaultRowHeight="14" x14ac:dyDescent="0.3"/>
  <cols>
    <col min="1" max="1" width="9" style="25"/>
    <col min="2" max="2" width="18.5" style="37" customWidth="1"/>
    <col min="3" max="3" width="6.33203125" style="35" customWidth="1"/>
    <col min="4" max="5" width="6.5" style="36" customWidth="1"/>
    <col min="6" max="6" width="7.58203125" style="36" customWidth="1"/>
    <col min="7" max="7" width="6.58203125" style="25" bestFit="1" customWidth="1"/>
    <col min="8" max="8" width="6.75" style="25" customWidth="1"/>
    <col min="9" max="9" width="6.58203125" style="25" bestFit="1" customWidth="1"/>
    <col min="10" max="10" width="6.75" style="25" customWidth="1"/>
    <col min="11" max="11" width="6.58203125" style="25" bestFit="1" customWidth="1"/>
    <col min="12" max="12" width="6.75" style="25" customWidth="1"/>
    <col min="13" max="13" width="6.58203125" style="25" bestFit="1" customWidth="1"/>
    <col min="14" max="14" width="6.75" style="25" customWidth="1"/>
    <col min="15" max="15" width="6.58203125" style="25" bestFit="1" customWidth="1"/>
    <col min="16" max="16" width="6.75" style="25" customWidth="1"/>
    <col min="17" max="17" width="6.58203125" style="25" bestFit="1" customWidth="1"/>
    <col min="18" max="18" width="6.75" style="25" customWidth="1"/>
    <col min="19" max="19" width="5.75" style="25" customWidth="1"/>
    <col min="20" max="20" width="7.58203125" style="25" bestFit="1" customWidth="1"/>
    <col min="21" max="21" width="6.58203125" style="25" bestFit="1" customWidth="1"/>
    <col min="22" max="22" width="7.58203125" style="25" bestFit="1" customWidth="1"/>
    <col min="23" max="16384" width="9" style="25"/>
  </cols>
  <sheetData>
    <row r="2" spans="2:22" s="95" customFormat="1" ht="13" x14ac:dyDescent="0.25">
      <c r="C2" s="100" t="s">
        <v>108</v>
      </c>
      <c r="D2" s="101"/>
      <c r="E2" s="101"/>
    </row>
    <row r="3" spans="2:22" s="95" customFormat="1" ht="13" x14ac:dyDescent="0.25">
      <c r="C3" s="100"/>
      <c r="D3" s="101"/>
      <c r="E3" s="101"/>
    </row>
    <row r="4" spans="2:22" s="95" customFormat="1" ht="12.5" x14ac:dyDescent="0.25">
      <c r="B4" s="4"/>
      <c r="C4" s="27" t="s">
        <v>72</v>
      </c>
      <c r="D4" s="27" t="s">
        <v>172</v>
      </c>
      <c r="E4" s="357" t="s">
        <v>173</v>
      </c>
      <c r="F4" s="357"/>
      <c r="G4" s="357" t="s">
        <v>102</v>
      </c>
      <c r="H4" s="357"/>
      <c r="I4" s="357" t="s">
        <v>174</v>
      </c>
      <c r="J4" s="357"/>
      <c r="K4" s="357" t="s">
        <v>103</v>
      </c>
      <c r="L4" s="357"/>
      <c r="M4" s="357" t="s">
        <v>175</v>
      </c>
      <c r="N4" s="357"/>
      <c r="O4" s="357" t="s">
        <v>74</v>
      </c>
      <c r="P4" s="357"/>
      <c r="Q4" s="357" t="s">
        <v>176</v>
      </c>
      <c r="R4" s="357"/>
      <c r="S4" s="357" t="s">
        <v>75</v>
      </c>
      <c r="T4" s="357"/>
      <c r="U4" s="357" t="s">
        <v>106</v>
      </c>
      <c r="V4" s="357"/>
    </row>
    <row r="5" spans="2:22" s="95" customFormat="1" ht="12.5" x14ac:dyDescent="0.25">
      <c r="B5" s="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2:22" s="95" customFormat="1" ht="12.5" x14ac:dyDescent="0.25">
      <c r="B6" s="354" t="s">
        <v>199</v>
      </c>
      <c r="C6" s="58" t="s">
        <v>177</v>
      </c>
      <c r="D6" s="39">
        <v>19.440000000000001</v>
      </c>
      <c r="E6" s="40">
        <v>18.91</v>
      </c>
      <c r="F6" s="41">
        <f t="shared" ref="F6:F22" si="0">E6/D6*100</f>
        <v>97.273662551440324</v>
      </c>
      <c r="G6" s="40">
        <v>19.21</v>
      </c>
      <c r="H6" s="41">
        <f>G6/D6*100</f>
        <v>98.81687242798354</v>
      </c>
      <c r="I6" s="40">
        <v>19.239999999999998</v>
      </c>
      <c r="J6" s="41">
        <f>I6/D6*100</f>
        <v>98.971193415637842</v>
      </c>
      <c r="K6" s="40">
        <v>19.37</v>
      </c>
      <c r="L6" s="41">
        <f>K6/D6*100</f>
        <v>99.639917695473244</v>
      </c>
      <c r="M6" s="40">
        <v>19.43</v>
      </c>
      <c r="N6" s="41">
        <f>M6/D6*100</f>
        <v>99.94855967078189</v>
      </c>
      <c r="O6" s="40">
        <v>19.48</v>
      </c>
      <c r="P6" s="41">
        <f>O6/D6*100</f>
        <v>100.20576131687243</v>
      </c>
      <c r="Q6" s="40">
        <v>20.14</v>
      </c>
      <c r="R6" s="41">
        <f>Q6/D6*100</f>
        <v>103.60082304526748</v>
      </c>
      <c r="S6" s="40">
        <v>20.28</v>
      </c>
      <c r="T6" s="41">
        <f>S6/D6*100</f>
        <v>104.32098765432099</v>
      </c>
      <c r="U6" s="40">
        <v>19.53</v>
      </c>
      <c r="V6" s="41">
        <f>U6/D6*100</f>
        <v>100.46296296296295</v>
      </c>
    </row>
    <row r="7" spans="2:22" s="95" customFormat="1" ht="12.5" x14ac:dyDescent="0.25">
      <c r="B7" s="354"/>
      <c r="C7" s="58" t="s">
        <v>178</v>
      </c>
      <c r="D7" s="39">
        <v>19.09</v>
      </c>
      <c r="E7" s="40">
        <v>18.809999999999999</v>
      </c>
      <c r="F7" s="41">
        <f t="shared" si="0"/>
        <v>98.53326348873756</v>
      </c>
      <c r="G7" s="40">
        <v>18.420000000000002</v>
      </c>
      <c r="H7" s="41">
        <f t="shared" ref="H7:H23" si="1">G7/D7*100</f>
        <v>96.490309062336308</v>
      </c>
      <c r="I7" s="40">
        <v>18.73</v>
      </c>
      <c r="J7" s="41">
        <f t="shared" ref="J7:J23" si="2">I7/D7*100</f>
        <v>98.114195914091155</v>
      </c>
      <c r="K7" s="40">
        <v>19.170000000000002</v>
      </c>
      <c r="L7" s="41">
        <f t="shared" ref="L7:L23" si="3">K7/D7*100</f>
        <v>100.41906757464642</v>
      </c>
      <c r="M7" s="40">
        <v>19.170000000000002</v>
      </c>
      <c r="N7" s="41">
        <f t="shared" ref="N7:N19" si="4">M7/D7*100</f>
        <v>100.41906757464642</v>
      </c>
      <c r="O7" s="40">
        <v>19.510000000000002</v>
      </c>
      <c r="P7" s="41">
        <f t="shared" ref="P7:P13" si="5">O7/D7*100</f>
        <v>102.20010476689367</v>
      </c>
      <c r="Q7" s="40">
        <v>19.739999999999998</v>
      </c>
      <c r="R7" s="41">
        <f t="shared" ref="R7:R13" si="6">Q7/D7*100</f>
        <v>103.40492404400207</v>
      </c>
      <c r="S7" s="40">
        <v>19.71</v>
      </c>
      <c r="T7" s="41">
        <f t="shared" ref="T7:T13" si="7">S7/D7*100</f>
        <v>103.24777370350971</v>
      </c>
      <c r="U7" s="40">
        <v>19.239999999999998</v>
      </c>
      <c r="V7" s="41">
        <f t="shared" ref="V7:V13" si="8">U7/D7*100</f>
        <v>100.78575170246202</v>
      </c>
    </row>
    <row r="8" spans="2:22" s="95" customFormat="1" ht="12.5" x14ac:dyDescent="0.25">
      <c r="B8" s="354"/>
      <c r="C8" s="58" t="s">
        <v>179</v>
      </c>
      <c r="D8" s="39">
        <v>19.12</v>
      </c>
      <c r="E8" s="40">
        <v>18.28</v>
      </c>
      <c r="F8" s="41">
        <f t="shared" si="0"/>
        <v>95.606694560669453</v>
      </c>
      <c r="G8" s="40">
        <v>18.23</v>
      </c>
      <c r="H8" s="41">
        <f t="shared" si="1"/>
        <v>95.345188284518827</v>
      </c>
      <c r="I8" s="40">
        <v>17.95</v>
      </c>
      <c r="J8" s="41">
        <f t="shared" si="2"/>
        <v>93.880753138075306</v>
      </c>
      <c r="K8" s="40">
        <v>19.07</v>
      </c>
      <c r="L8" s="41">
        <f t="shared" si="3"/>
        <v>99.738493723849359</v>
      </c>
      <c r="M8" s="40">
        <v>19.16</v>
      </c>
      <c r="N8" s="41">
        <f t="shared" si="4"/>
        <v>100.20920502092051</v>
      </c>
      <c r="O8" s="40">
        <v>19.309999999999999</v>
      </c>
      <c r="P8" s="41">
        <f t="shared" si="5"/>
        <v>100.99372384937237</v>
      </c>
      <c r="Q8" s="40">
        <v>19.5</v>
      </c>
      <c r="R8" s="41">
        <f t="shared" si="6"/>
        <v>101.98744769874477</v>
      </c>
      <c r="S8" s="40">
        <v>19.45</v>
      </c>
      <c r="T8" s="41">
        <f t="shared" si="7"/>
        <v>101.72594142259412</v>
      </c>
      <c r="U8" s="40">
        <v>18.89</v>
      </c>
      <c r="V8" s="41">
        <f t="shared" si="8"/>
        <v>98.79707112970712</v>
      </c>
    </row>
    <row r="9" spans="2:22" s="95" customFormat="1" ht="12.5" x14ac:dyDescent="0.25">
      <c r="B9" s="354"/>
      <c r="C9" s="58" t="s">
        <v>180</v>
      </c>
      <c r="D9" s="39">
        <v>20.02</v>
      </c>
      <c r="E9" s="40">
        <v>19.399999999999999</v>
      </c>
      <c r="F9" s="41">
        <f t="shared" si="0"/>
        <v>96.903096903096895</v>
      </c>
      <c r="G9" s="40">
        <v>19.66</v>
      </c>
      <c r="H9" s="41">
        <f t="shared" si="1"/>
        <v>98.201798201798212</v>
      </c>
      <c r="I9" s="40">
        <v>19.63</v>
      </c>
      <c r="J9" s="41">
        <f t="shared" si="2"/>
        <v>98.051948051948045</v>
      </c>
      <c r="K9" s="40">
        <v>19.71</v>
      </c>
      <c r="L9" s="41">
        <f t="shared" si="3"/>
        <v>98.451548451548447</v>
      </c>
      <c r="M9" s="40">
        <v>20</v>
      </c>
      <c r="N9" s="41">
        <f t="shared" si="4"/>
        <v>99.900099900099903</v>
      </c>
      <c r="O9" s="40">
        <v>20.53</v>
      </c>
      <c r="P9" s="41">
        <f t="shared" si="5"/>
        <v>102.54745254745255</v>
      </c>
      <c r="Q9" s="40">
        <v>20.02</v>
      </c>
      <c r="R9" s="41">
        <f t="shared" si="6"/>
        <v>100</v>
      </c>
      <c r="S9" s="40">
        <v>20.67</v>
      </c>
      <c r="T9" s="41">
        <f t="shared" si="7"/>
        <v>103.24675324675326</v>
      </c>
      <c r="U9" s="40">
        <v>20.6</v>
      </c>
      <c r="V9" s="41">
        <f t="shared" si="8"/>
        <v>102.8971028971029</v>
      </c>
    </row>
    <row r="10" spans="2:22" s="95" customFormat="1" ht="12.5" x14ac:dyDescent="0.25">
      <c r="B10" s="354" t="s">
        <v>200</v>
      </c>
      <c r="C10" s="58" t="s">
        <v>181</v>
      </c>
      <c r="D10" s="39">
        <v>19.61</v>
      </c>
      <c r="E10" s="40">
        <v>19.690000000000001</v>
      </c>
      <c r="F10" s="41">
        <f t="shared" si="0"/>
        <v>100.40795512493628</v>
      </c>
      <c r="G10" s="40">
        <v>19.38</v>
      </c>
      <c r="H10" s="41">
        <f t="shared" si="1"/>
        <v>98.827129015808254</v>
      </c>
      <c r="I10" s="40">
        <v>19.440000000000001</v>
      </c>
      <c r="J10" s="41">
        <f t="shared" si="2"/>
        <v>99.133095359510463</v>
      </c>
      <c r="K10" s="40">
        <v>20.47</v>
      </c>
      <c r="L10" s="41">
        <f t="shared" si="3"/>
        <v>104.38551759306476</v>
      </c>
      <c r="M10" s="40">
        <v>20.190000000000001</v>
      </c>
      <c r="N10" s="41">
        <f t="shared" si="4"/>
        <v>102.95767465578787</v>
      </c>
      <c r="O10" s="40">
        <v>20.190000000000001</v>
      </c>
      <c r="P10" s="41">
        <f t="shared" si="5"/>
        <v>102.95767465578787</v>
      </c>
      <c r="Q10" s="40">
        <v>19.12</v>
      </c>
      <c r="R10" s="41">
        <f t="shared" si="6"/>
        <v>97.501274859765431</v>
      </c>
      <c r="S10" s="40">
        <v>18.29</v>
      </c>
      <c r="T10" s="41">
        <f t="shared" si="7"/>
        <v>93.26874043855176</v>
      </c>
      <c r="U10" s="40">
        <v>17.52</v>
      </c>
      <c r="V10" s="41">
        <f t="shared" si="8"/>
        <v>89.342172361040284</v>
      </c>
    </row>
    <row r="11" spans="2:22" s="95" customFormat="1" ht="12.5" x14ac:dyDescent="0.25">
      <c r="B11" s="354"/>
      <c r="C11" s="58" t="s">
        <v>182</v>
      </c>
      <c r="D11" s="39">
        <v>16.739999999999998</v>
      </c>
      <c r="E11" s="40">
        <v>15.99</v>
      </c>
      <c r="F11" s="41">
        <f t="shared" si="0"/>
        <v>95.519713261648747</v>
      </c>
      <c r="G11" s="40">
        <v>16.22</v>
      </c>
      <c r="H11" s="41">
        <f t="shared" si="1"/>
        <v>96.89366786140981</v>
      </c>
      <c r="I11" s="40">
        <v>16.239999999999998</v>
      </c>
      <c r="J11" s="41">
        <f t="shared" si="2"/>
        <v>97.013142174432502</v>
      </c>
      <c r="K11" s="40">
        <v>17</v>
      </c>
      <c r="L11" s="41">
        <f t="shared" si="3"/>
        <v>101.55316606929512</v>
      </c>
      <c r="M11" s="40">
        <v>17.09</v>
      </c>
      <c r="N11" s="41">
        <f t="shared" si="4"/>
        <v>102.09080047789728</v>
      </c>
      <c r="O11" s="40">
        <v>17.3</v>
      </c>
      <c r="P11" s="41">
        <f t="shared" si="5"/>
        <v>103.34528076463563</v>
      </c>
      <c r="Q11" s="40">
        <v>17.2</v>
      </c>
      <c r="R11" s="41">
        <f t="shared" si="6"/>
        <v>102.7479091995221</v>
      </c>
      <c r="S11" s="40">
        <v>17.62</v>
      </c>
      <c r="T11" s="41">
        <f t="shared" si="7"/>
        <v>105.25686977299881</v>
      </c>
      <c r="U11" s="40">
        <v>15.52</v>
      </c>
      <c r="V11" s="41">
        <f t="shared" si="8"/>
        <v>92.712066905615302</v>
      </c>
    </row>
    <row r="12" spans="2:22" s="95" customFormat="1" ht="12.5" x14ac:dyDescent="0.25">
      <c r="B12" s="354"/>
      <c r="C12" s="58" t="s">
        <v>183</v>
      </c>
      <c r="D12" s="39">
        <v>18.98</v>
      </c>
      <c r="E12" s="40">
        <v>18.559999999999999</v>
      </c>
      <c r="F12" s="41">
        <f t="shared" si="0"/>
        <v>97.787144362486828</v>
      </c>
      <c r="G12" s="40">
        <v>18.84</v>
      </c>
      <c r="H12" s="41">
        <f t="shared" si="1"/>
        <v>99.262381454162281</v>
      </c>
      <c r="I12" s="40">
        <v>19.09</v>
      </c>
      <c r="J12" s="41">
        <f t="shared" si="2"/>
        <v>100.5795574288725</v>
      </c>
      <c r="K12" s="40">
        <v>19.71</v>
      </c>
      <c r="L12" s="41">
        <f t="shared" si="3"/>
        <v>103.84615384615385</v>
      </c>
      <c r="M12" s="40">
        <v>18.95</v>
      </c>
      <c r="N12" s="41">
        <f t="shared" si="4"/>
        <v>99.841938883034771</v>
      </c>
      <c r="O12" s="40">
        <v>19.72</v>
      </c>
      <c r="P12" s="41">
        <f t="shared" si="5"/>
        <v>103.89884088514225</v>
      </c>
      <c r="Q12" s="40">
        <v>19.97</v>
      </c>
      <c r="R12" s="41">
        <f t="shared" si="6"/>
        <v>105.21601685985247</v>
      </c>
      <c r="S12" s="40">
        <v>20.57</v>
      </c>
      <c r="T12" s="41">
        <f t="shared" si="7"/>
        <v>108.377239199157</v>
      </c>
      <c r="U12" s="40">
        <v>20.16</v>
      </c>
      <c r="V12" s="41">
        <f t="shared" si="8"/>
        <v>106.21707060063224</v>
      </c>
    </row>
    <row r="13" spans="2:22" s="95" customFormat="1" ht="12.5" x14ac:dyDescent="0.25">
      <c r="B13" s="354"/>
      <c r="C13" s="58" t="s">
        <v>184</v>
      </c>
      <c r="D13" s="39">
        <v>17.23</v>
      </c>
      <c r="E13" s="40">
        <v>17.309999999999999</v>
      </c>
      <c r="F13" s="41">
        <f t="shared" si="0"/>
        <v>100.46430644225188</v>
      </c>
      <c r="G13" s="40">
        <v>17</v>
      </c>
      <c r="H13" s="41">
        <f t="shared" si="1"/>
        <v>98.665118978525825</v>
      </c>
      <c r="I13" s="40">
        <v>17.260000000000002</v>
      </c>
      <c r="J13" s="41">
        <f t="shared" si="2"/>
        <v>100.17411491584447</v>
      </c>
      <c r="K13" s="40">
        <v>18.02</v>
      </c>
      <c r="L13" s="41">
        <f t="shared" si="3"/>
        <v>104.58502611723736</v>
      </c>
      <c r="M13" s="40">
        <v>17.420000000000002</v>
      </c>
      <c r="N13" s="41">
        <f t="shared" si="4"/>
        <v>101.10272780034823</v>
      </c>
      <c r="O13" s="40">
        <v>17.989999999999998</v>
      </c>
      <c r="P13" s="41">
        <f t="shared" si="5"/>
        <v>104.41091120139289</v>
      </c>
      <c r="Q13" s="40">
        <v>17.5</v>
      </c>
      <c r="R13" s="41">
        <f t="shared" si="6"/>
        <v>101.56703424260012</v>
      </c>
      <c r="S13" s="40">
        <v>15.23</v>
      </c>
      <c r="T13" s="41">
        <f t="shared" si="7"/>
        <v>88.392338943702839</v>
      </c>
      <c r="U13" s="40">
        <v>15.17</v>
      </c>
      <c r="V13" s="41">
        <f t="shared" si="8"/>
        <v>88.044109112013928</v>
      </c>
    </row>
    <row r="14" spans="2:22" s="95" customFormat="1" ht="13" x14ac:dyDescent="0.25">
      <c r="B14" s="354" t="s">
        <v>857</v>
      </c>
      <c r="C14" s="58" t="s">
        <v>185</v>
      </c>
      <c r="D14" s="39">
        <v>19.579999999999998</v>
      </c>
      <c r="E14" s="40">
        <v>18.72</v>
      </c>
      <c r="F14" s="41">
        <f t="shared" si="0"/>
        <v>95.607763023493362</v>
      </c>
      <c r="G14" s="40">
        <v>17.32</v>
      </c>
      <c r="H14" s="41">
        <f t="shared" si="1"/>
        <v>88.45760980592442</v>
      </c>
      <c r="I14" s="40">
        <v>16.21</v>
      </c>
      <c r="J14" s="41">
        <f t="shared" si="2"/>
        <v>82.788559754851903</v>
      </c>
      <c r="K14" s="40">
        <v>15.21</v>
      </c>
      <c r="L14" s="41">
        <f t="shared" si="3"/>
        <v>77.681307456588371</v>
      </c>
      <c r="M14" s="40">
        <v>14.21</v>
      </c>
      <c r="N14" s="41">
        <f t="shared" si="4"/>
        <v>72.574055158324839</v>
      </c>
      <c r="O14" s="42" t="s">
        <v>186</v>
      </c>
      <c r="P14" s="41"/>
      <c r="Q14" s="42"/>
      <c r="R14" s="41"/>
      <c r="S14" s="42"/>
      <c r="T14" s="41"/>
      <c r="U14" s="42"/>
      <c r="V14" s="41"/>
    </row>
    <row r="15" spans="2:22" s="95" customFormat="1" ht="13" x14ac:dyDescent="0.25">
      <c r="B15" s="354"/>
      <c r="C15" s="58" t="s">
        <v>187</v>
      </c>
      <c r="D15" s="39">
        <v>17.7</v>
      </c>
      <c r="E15" s="40">
        <v>16.670000000000002</v>
      </c>
      <c r="F15" s="41">
        <f t="shared" si="0"/>
        <v>94.180790960451986</v>
      </c>
      <c r="G15" s="40">
        <v>14.86</v>
      </c>
      <c r="H15" s="41">
        <f t="shared" si="1"/>
        <v>83.954802259887003</v>
      </c>
      <c r="I15" s="40">
        <v>14</v>
      </c>
      <c r="J15" s="41">
        <f t="shared" si="2"/>
        <v>79.096045197740111</v>
      </c>
      <c r="K15" s="40">
        <v>13.73</v>
      </c>
      <c r="L15" s="41">
        <f t="shared" si="3"/>
        <v>77.570621468926561</v>
      </c>
      <c r="M15" s="40">
        <v>12.98</v>
      </c>
      <c r="N15" s="41">
        <f t="shared" si="4"/>
        <v>73.333333333333343</v>
      </c>
      <c r="O15" s="42" t="s">
        <v>188</v>
      </c>
      <c r="P15" s="41"/>
      <c r="Q15" s="42"/>
      <c r="R15" s="41"/>
      <c r="S15" s="42"/>
      <c r="T15" s="41"/>
      <c r="U15" s="42"/>
      <c r="V15" s="41"/>
    </row>
    <row r="16" spans="2:22" s="95" customFormat="1" ht="12" customHeight="1" x14ac:dyDescent="0.25">
      <c r="B16" s="354"/>
      <c r="C16" s="58" t="s">
        <v>189</v>
      </c>
      <c r="D16" s="39">
        <v>17.649999999999999</v>
      </c>
      <c r="E16" s="40">
        <v>17.010000000000002</v>
      </c>
      <c r="F16" s="41">
        <f t="shared" si="0"/>
        <v>96.373937677053846</v>
      </c>
      <c r="G16" s="40">
        <v>15.59</v>
      </c>
      <c r="H16" s="41">
        <f t="shared" si="1"/>
        <v>88.328611898017002</v>
      </c>
      <c r="I16" s="40">
        <v>14.71</v>
      </c>
      <c r="J16" s="41">
        <f t="shared" si="2"/>
        <v>83.342776203966025</v>
      </c>
      <c r="K16" s="40">
        <v>13.69</v>
      </c>
      <c r="L16" s="41">
        <f t="shared" si="3"/>
        <v>77.563739376770542</v>
      </c>
      <c r="M16" s="40">
        <v>13.54</v>
      </c>
      <c r="N16" s="41">
        <f t="shared" si="4"/>
        <v>76.713881019830026</v>
      </c>
      <c r="O16" s="42" t="s">
        <v>190</v>
      </c>
      <c r="P16" s="41"/>
      <c r="Q16" s="42"/>
      <c r="R16" s="41"/>
      <c r="S16" s="42"/>
      <c r="T16" s="41"/>
      <c r="U16" s="42"/>
      <c r="V16" s="41"/>
    </row>
    <row r="17" spans="2:22" s="95" customFormat="1" ht="13" x14ac:dyDescent="0.25">
      <c r="B17" s="354"/>
      <c r="C17" s="58" t="s">
        <v>191</v>
      </c>
      <c r="D17" s="39">
        <v>18.18</v>
      </c>
      <c r="E17" s="40">
        <v>17.38</v>
      </c>
      <c r="F17" s="41">
        <f t="shared" si="0"/>
        <v>95.599559955995588</v>
      </c>
      <c r="G17" s="40">
        <v>15.64</v>
      </c>
      <c r="H17" s="41">
        <f t="shared" si="1"/>
        <v>86.028602860286028</v>
      </c>
      <c r="I17" s="40">
        <v>14.78</v>
      </c>
      <c r="J17" s="41">
        <f t="shared" si="2"/>
        <v>81.298129812981301</v>
      </c>
      <c r="K17" s="40">
        <v>13.72</v>
      </c>
      <c r="L17" s="41">
        <f t="shared" si="3"/>
        <v>75.467546754675467</v>
      </c>
      <c r="M17" s="40">
        <v>13.34</v>
      </c>
      <c r="N17" s="41">
        <f t="shared" si="4"/>
        <v>73.377337733773373</v>
      </c>
      <c r="O17" s="42" t="s">
        <v>190</v>
      </c>
      <c r="P17" s="41"/>
      <c r="Q17" s="42"/>
      <c r="R17" s="41"/>
      <c r="S17" s="42"/>
      <c r="T17" s="41"/>
      <c r="U17" s="42"/>
      <c r="V17" s="41"/>
    </row>
    <row r="18" spans="2:22" s="95" customFormat="1" ht="13" x14ac:dyDescent="0.25">
      <c r="B18" s="354"/>
      <c r="C18" s="58" t="s">
        <v>192</v>
      </c>
      <c r="D18" s="39">
        <v>17.53</v>
      </c>
      <c r="E18" s="40">
        <v>17.059999999999999</v>
      </c>
      <c r="F18" s="41">
        <f t="shared" si="0"/>
        <v>97.31888191671419</v>
      </c>
      <c r="G18" s="40">
        <v>15.79</v>
      </c>
      <c r="H18" s="41">
        <f t="shared" si="1"/>
        <v>90.074158585282362</v>
      </c>
      <c r="I18" s="40">
        <v>14.98</v>
      </c>
      <c r="J18" s="41">
        <f t="shared" si="2"/>
        <v>85.453508271534503</v>
      </c>
      <c r="K18" s="40">
        <v>13.79</v>
      </c>
      <c r="L18" s="41">
        <f t="shared" si="3"/>
        <v>78.665145464917273</v>
      </c>
      <c r="M18" s="40">
        <v>12.11</v>
      </c>
      <c r="N18" s="41">
        <f t="shared" si="4"/>
        <v>69.081574443810595</v>
      </c>
      <c r="O18" s="42" t="s">
        <v>190</v>
      </c>
      <c r="P18" s="41"/>
      <c r="Q18" s="42"/>
      <c r="R18" s="41"/>
      <c r="S18" s="42"/>
      <c r="T18" s="41"/>
      <c r="U18" s="42"/>
      <c r="V18" s="41"/>
    </row>
    <row r="19" spans="2:22" s="95" customFormat="1" ht="13" x14ac:dyDescent="0.25">
      <c r="B19" s="354" t="s">
        <v>858</v>
      </c>
      <c r="C19" s="58" t="s">
        <v>193</v>
      </c>
      <c r="D19" s="39">
        <v>17.899999999999999</v>
      </c>
      <c r="E19" s="40">
        <v>16.7</v>
      </c>
      <c r="F19" s="41">
        <f t="shared" si="0"/>
        <v>93.296089385474872</v>
      </c>
      <c r="G19" s="40">
        <v>15.62</v>
      </c>
      <c r="H19" s="41">
        <f t="shared" si="1"/>
        <v>87.262569832402235</v>
      </c>
      <c r="I19" s="40">
        <v>14.68</v>
      </c>
      <c r="J19" s="41">
        <f t="shared" si="2"/>
        <v>82.011173184357546</v>
      </c>
      <c r="K19" s="40">
        <v>13.5</v>
      </c>
      <c r="L19" s="41">
        <f t="shared" si="3"/>
        <v>75.41899441340783</v>
      </c>
      <c r="M19" s="40">
        <v>13.07</v>
      </c>
      <c r="N19" s="41">
        <f t="shared" si="4"/>
        <v>73.016759776536318</v>
      </c>
      <c r="O19" s="42" t="s">
        <v>126</v>
      </c>
      <c r="P19" s="41"/>
      <c r="Q19" s="42"/>
      <c r="R19" s="41"/>
      <c r="S19" s="42"/>
      <c r="T19" s="41"/>
      <c r="U19" s="42"/>
      <c r="V19" s="41"/>
    </row>
    <row r="20" spans="2:22" s="95" customFormat="1" ht="13" x14ac:dyDescent="0.25">
      <c r="B20" s="354"/>
      <c r="C20" s="58" t="s">
        <v>194</v>
      </c>
      <c r="D20" s="39">
        <v>17.649999999999999</v>
      </c>
      <c r="E20" s="40">
        <v>16.84</v>
      </c>
      <c r="F20" s="41">
        <f t="shared" si="0"/>
        <v>95.410764872521256</v>
      </c>
      <c r="G20" s="40">
        <v>15.37</v>
      </c>
      <c r="H20" s="41">
        <f t="shared" si="1"/>
        <v>87.082152974504254</v>
      </c>
      <c r="I20" s="40">
        <v>14.63</v>
      </c>
      <c r="J20" s="41">
        <f t="shared" si="2"/>
        <v>82.889518413597742</v>
      </c>
      <c r="K20" s="40">
        <v>13.71</v>
      </c>
      <c r="L20" s="41">
        <f t="shared" si="3"/>
        <v>77.677053824362616</v>
      </c>
      <c r="M20" s="43" t="s">
        <v>188</v>
      </c>
      <c r="N20" s="41"/>
      <c r="O20" s="42"/>
      <c r="P20" s="41"/>
      <c r="Q20" s="42"/>
      <c r="R20" s="41"/>
      <c r="S20" s="42"/>
      <c r="T20" s="41"/>
      <c r="U20" s="42"/>
      <c r="V20" s="41"/>
    </row>
    <row r="21" spans="2:22" s="95" customFormat="1" ht="13" x14ac:dyDescent="0.25">
      <c r="B21" s="354"/>
      <c r="C21" s="58" t="s">
        <v>195</v>
      </c>
      <c r="D21" s="39">
        <v>18.45</v>
      </c>
      <c r="E21" s="40">
        <v>17.989999999999998</v>
      </c>
      <c r="F21" s="41">
        <f t="shared" si="0"/>
        <v>97.506775067750667</v>
      </c>
      <c r="G21" s="40">
        <v>16.239999999999998</v>
      </c>
      <c r="H21" s="41">
        <f t="shared" si="1"/>
        <v>88.021680216802167</v>
      </c>
      <c r="I21" s="40">
        <v>15.44</v>
      </c>
      <c r="J21" s="41">
        <f t="shared" si="2"/>
        <v>83.685636856368561</v>
      </c>
      <c r="K21" s="40">
        <v>14.34</v>
      </c>
      <c r="L21" s="41">
        <f t="shared" si="3"/>
        <v>77.723577235772353</v>
      </c>
      <c r="M21" s="40">
        <v>14.01</v>
      </c>
      <c r="N21" s="41">
        <f>M21/D21*100</f>
        <v>75.934959349593498</v>
      </c>
      <c r="O21" s="42" t="s">
        <v>190</v>
      </c>
      <c r="P21" s="41"/>
      <c r="Q21" s="42"/>
      <c r="R21" s="41"/>
      <c r="S21" s="42"/>
      <c r="T21" s="41"/>
      <c r="U21" s="42"/>
      <c r="V21" s="41"/>
    </row>
    <row r="22" spans="2:22" s="95" customFormat="1" ht="13" x14ac:dyDescent="0.25">
      <c r="B22" s="354"/>
      <c r="C22" s="58" t="s">
        <v>196</v>
      </c>
      <c r="D22" s="39">
        <v>18.28</v>
      </c>
      <c r="E22" s="40">
        <v>17.23</v>
      </c>
      <c r="F22" s="41">
        <f t="shared" si="0"/>
        <v>94.256017505470453</v>
      </c>
      <c r="G22" s="40">
        <v>16.010000000000002</v>
      </c>
      <c r="H22" s="41">
        <f t="shared" si="1"/>
        <v>87.582056892778994</v>
      </c>
      <c r="I22" s="40">
        <v>14.93</v>
      </c>
      <c r="J22" s="41">
        <f t="shared" si="2"/>
        <v>81.673960612691459</v>
      </c>
      <c r="K22" s="40">
        <v>13.99</v>
      </c>
      <c r="L22" s="41">
        <f t="shared" si="3"/>
        <v>76.531728665207879</v>
      </c>
      <c r="M22" s="43" t="s">
        <v>197</v>
      </c>
      <c r="N22" s="41"/>
      <c r="O22" s="40"/>
      <c r="P22" s="41"/>
      <c r="Q22" s="40"/>
      <c r="R22" s="41"/>
      <c r="S22" s="40"/>
      <c r="T22" s="41"/>
      <c r="U22" s="40"/>
      <c r="V22" s="41"/>
    </row>
    <row r="23" spans="2:22" s="95" customFormat="1" ht="13" x14ac:dyDescent="0.25">
      <c r="B23" s="354"/>
      <c r="C23" s="58" t="s">
        <v>198</v>
      </c>
      <c r="D23" s="39">
        <v>18.7</v>
      </c>
      <c r="E23" s="40">
        <v>17.84</v>
      </c>
      <c r="F23" s="41">
        <f>E23/D23*100</f>
        <v>95.401069518716582</v>
      </c>
      <c r="G23" s="40">
        <v>16.29</v>
      </c>
      <c r="H23" s="41">
        <f t="shared" si="1"/>
        <v>87.112299465240639</v>
      </c>
      <c r="I23" s="40">
        <v>15.3</v>
      </c>
      <c r="J23" s="41">
        <f t="shared" si="2"/>
        <v>81.818181818181827</v>
      </c>
      <c r="K23" s="40">
        <v>14.7</v>
      </c>
      <c r="L23" s="41">
        <f t="shared" si="3"/>
        <v>78.609625668449198</v>
      </c>
      <c r="M23" s="43" t="s">
        <v>197</v>
      </c>
      <c r="N23" s="41"/>
      <c r="O23" s="40"/>
      <c r="P23" s="41"/>
      <c r="Q23" s="40"/>
      <c r="R23" s="41"/>
      <c r="S23" s="40"/>
      <c r="T23" s="41"/>
      <c r="U23" s="40"/>
      <c r="V23" s="41"/>
    </row>
    <row r="24" spans="2:22" s="95" customFormat="1" ht="13" x14ac:dyDescent="0.3">
      <c r="B24" s="5"/>
      <c r="C24" s="96"/>
      <c r="D24" s="97" t="s">
        <v>13</v>
      </c>
      <c r="E24" s="98"/>
      <c r="F24" s="98"/>
    </row>
    <row r="25" spans="2:22" s="95" customFormat="1" ht="13" x14ac:dyDescent="0.3">
      <c r="B25" s="5"/>
      <c r="C25" s="96"/>
      <c r="D25" s="26" t="s">
        <v>107</v>
      </c>
      <c r="E25" s="98"/>
      <c r="F25" s="98"/>
    </row>
    <row r="26" spans="2:22" s="95" customFormat="1" ht="12.5" x14ac:dyDescent="0.25">
      <c r="B26" s="5"/>
      <c r="C26" s="96"/>
      <c r="D26" s="98"/>
      <c r="E26" s="98"/>
      <c r="F26" s="98"/>
    </row>
    <row r="27" spans="2:22" s="95" customFormat="1" ht="12.5" x14ac:dyDescent="0.25">
      <c r="B27" s="5"/>
      <c r="C27" s="96"/>
      <c r="D27" s="98"/>
      <c r="E27" s="98"/>
      <c r="F27" s="98"/>
    </row>
  </sheetData>
  <mergeCells count="13">
    <mergeCell ref="B19:B23"/>
    <mergeCell ref="S4:T4"/>
    <mergeCell ref="U4:V4"/>
    <mergeCell ref="B6:B9"/>
    <mergeCell ref="B10:B13"/>
    <mergeCell ref="B14:B18"/>
    <mergeCell ref="K4:L4"/>
    <mergeCell ref="M4:N4"/>
    <mergeCell ref="O4:P4"/>
    <mergeCell ref="Q4:R4"/>
    <mergeCell ref="E4:F4"/>
    <mergeCell ref="G4:H4"/>
    <mergeCell ref="I4:J4"/>
  </mergeCells>
  <phoneticPr fontId="3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B754-33AB-43B6-A107-E65A524A4CE6}">
  <dimension ref="B2:BF37"/>
  <sheetViews>
    <sheetView zoomScale="90" zoomScaleNormal="90" workbookViewId="0">
      <selection activeCell="C42" sqref="C42"/>
    </sheetView>
  </sheetViews>
  <sheetFormatPr defaultColWidth="9" defaultRowHeight="14" x14ac:dyDescent="0.3"/>
  <cols>
    <col min="1" max="1" width="9" style="25"/>
    <col min="2" max="2" width="6.75" style="25" customWidth="1"/>
    <col min="3" max="3" width="8.08203125" style="25" customWidth="1"/>
    <col min="4" max="4" width="22.83203125" style="25" customWidth="1"/>
    <col min="5" max="5" width="33.5" style="25" customWidth="1"/>
    <col min="6" max="6" width="6.08203125" style="25" customWidth="1"/>
    <col min="7" max="7" width="29" style="25" bestFit="1" customWidth="1"/>
    <col min="8" max="8" width="15.08203125" style="25" customWidth="1"/>
    <col min="9" max="9" width="7" style="25" customWidth="1"/>
    <col min="10" max="10" width="18.5" style="37" customWidth="1"/>
    <col min="11" max="11" width="6.33203125" style="35" customWidth="1"/>
    <col min="12" max="13" width="6.5" style="36" customWidth="1"/>
    <col min="14" max="14" width="7.58203125" style="36" customWidth="1"/>
    <col min="15" max="15" width="6" style="25" bestFit="1" customWidth="1"/>
    <col min="16" max="16" width="6.75" style="25" customWidth="1"/>
    <col min="17" max="17" width="6" style="25" bestFit="1" customWidth="1"/>
    <col min="18" max="18" width="6.75" style="25" customWidth="1"/>
    <col min="19" max="19" width="6" style="25" bestFit="1" customWidth="1"/>
    <col min="20" max="20" width="6.75" style="25" customWidth="1"/>
    <col min="21" max="21" width="6" style="25" bestFit="1" customWidth="1"/>
    <col min="22" max="22" width="6.75" style="25" customWidth="1"/>
    <col min="23" max="23" width="6" style="25" bestFit="1" customWidth="1"/>
    <col min="24" max="24" width="6.75" style="25" customWidth="1"/>
    <col min="25" max="25" width="6" style="25" bestFit="1" customWidth="1"/>
    <col min="26" max="26" width="6.75" style="25" customWidth="1"/>
    <col min="27" max="27" width="5.75" style="25" customWidth="1"/>
    <col min="28" max="28" width="7.5" style="25" bestFit="1" customWidth="1"/>
    <col min="29" max="29" width="6.33203125" style="25" bestFit="1" customWidth="1"/>
    <col min="30" max="30" width="7.5" style="25" bestFit="1" customWidth="1"/>
    <col min="31" max="31" width="7.75" style="25" customWidth="1"/>
    <col min="32" max="32" width="7.5" style="25" bestFit="1" customWidth="1"/>
    <col min="33" max="33" width="6.83203125" style="25" customWidth="1"/>
    <col min="34" max="34" width="7.5" style="25" bestFit="1" customWidth="1"/>
    <col min="35" max="35" width="7.75" style="25" customWidth="1"/>
    <col min="36" max="36" width="7.5" style="25" bestFit="1" customWidth="1"/>
    <col min="37" max="37" width="6.33203125" style="25" bestFit="1" customWidth="1"/>
    <col min="38" max="38" width="7.5" style="25" bestFit="1" customWidth="1"/>
    <col min="39" max="39" width="6.33203125" style="25" bestFit="1" customWidth="1"/>
    <col min="40" max="40" width="6.5" style="25" bestFit="1" customWidth="1"/>
    <col min="41" max="41" width="7.58203125" style="25" customWidth="1"/>
    <col min="42" max="42" width="7.5" style="25" bestFit="1" customWidth="1"/>
    <col min="43" max="43" width="6.33203125" style="25" bestFit="1" customWidth="1"/>
    <col min="44" max="44" width="7.5" style="25" bestFit="1" customWidth="1"/>
    <col min="45" max="45" width="6.33203125" style="25" bestFit="1" customWidth="1"/>
    <col min="46" max="46" width="7.5" style="25" bestFit="1" customWidth="1"/>
    <col min="47" max="47" width="6.33203125" style="25" bestFit="1" customWidth="1"/>
    <col min="48" max="48" width="7.5" style="25" bestFit="1" customWidth="1"/>
    <col min="49" max="49" width="6.33203125" style="25" bestFit="1" customWidth="1"/>
    <col min="50" max="50" width="7.5" style="25" bestFit="1" customWidth="1"/>
    <col min="51" max="51" width="7.08203125" style="25" customWidth="1"/>
    <col min="52" max="52" width="7.5" style="25" bestFit="1" customWidth="1"/>
    <col min="53" max="53" width="6.33203125" style="25" bestFit="1" customWidth="1"/>
    <col min="54" max="54" width="7.5" style="25" bestFit="1" customWidth="1"/>
    <col min="55" max="55" width="6.33203125" style="25" bestFit="1" customWidth="1"/>
    <col min="56" max="56" width="7.5" style="25" bestFit="1" customWidth="1"/>
    <col min="57" max="57" width="6.33203125" style="25" bestFit="1" customWidth="1"/>
    <col min="58" max="58" width="7.5" style="25" bestFit="1" customWidth="1"/>
    <col min="59" max="16384" width="9" style="25"/>
  </cols>
  <sheetData>
    <row r="2" spans="2:58" s="95" customFormat="1" ht="13" x14ac:dyDescent="0.25">
      <c r="B2" s="100" t="s">
        <v>1087</v>
      </c>
      <c r="K2" s="96"/>
      <c r="L2" s="101"/>
      <c r="M2" s="101"/>
    </row>
    <row r="3" spans="2:58" s="95" customFormat="1" ht="13" x14ac:dyDescent="0.3">
      <c r="J3" s="99" t="s">
        <v>1320</v>
      </c>
      <c r="K3" s="100"/>
      <c r="L3" s="101"/>
      <c r="M3" s="101"/>
    </row>
    <row r="4" spans="2:58" s="95" customFormat="1" ht="12.5" x14ac:dyDescent="0.25">
      <c r="J4" s="317"/>
      <c r="K4" s="263" t="s">
        <v>72</v>
      </c>
      <c r="L4" s="263" t="s">
        <v>926</v>
      </c>
      <c r="M4" s="358" t="s">
        <v>927</v>
      </c>
      <c r="N4" s="359"/>
      <c r="O4" s="358" t="s">
        <v>172</v>
      </c>
      <c r="P4" s="359"/>
      <c r="Q4" s="358" t="s">
        <v>173</v>
      </c>
      <c r="R4" s="359"/>
      <c r="S4" s="358" t="s">
        <v>103</v>
      </c>
      <c r="T4" s="359"/>
      <c r="U4" s="358" t="s">
        <v>175</v>
      </c>
      <c r="V4" s="359"/>
      <c r="W4" s="358" t="s">
        <v>74</v>
      </c>
      <c r="X4" s="359"/>
      <c r="Y4" s="358" t="s">
        <v>176</v>
      </c>
      <c r="Z4" s="359"/>
      <c r="AA4" s="358" t="s">
        <v>75</v>
      </c>
      <c r="AB4" s="359"/>
      <c r="AC4" s="358" t="s">
        <v>264</v>
      </c>
      <c r="AD4" s="359"/>
      <c r="AE4" s="358" t="s">
        <v>278</v>
      </c>
      <c r="AF4" s="359"/>
      <c r="AG4" s="358" t="s">
        <v>333</v>
      </c>
      <c r="AH4" s="359"/>
      <c r="AI4" s="358" t="s">
        <v>1313</v>
      </c>
      <c r="AJ4" s="359"/>
      <c r="AK4" s="358" t="s">
        <v>511</v>
      </c>
      <c r="AL4" s="359"/>
      <c r="AM4" s="358" t="s">
        <v>512</v>
      </c>
      <c r="AN4" s="359"/>
      <c r="AO4" s="358" t="s">
        <v>513</v>
      </c>
      <c r="AP4" s="359"/>
      <c r="AQ4" s="358" t="s">
        <v>514</v>
      </c>
      <c r="AR4" s="359"/>
      <c r="AS4" s="358" t="s">
        <v>515</v>
      </c>
      <c r="AT4" s="359"/>
      <c r="AU4" s="358" t="s">
        <v>1314</v>
      </c>
      <c r="AV4" s="359"/>
      <c r="AW4" s="358" t="s">
        <v>1315</v>
      </c>
      <c r="AX4" s="359"/>
      <c r="AY4" s="358" t="s">
        <v>1316</v>
      </c>
      <c r="AZ4" s="359"/>
      <c r="BA4" s="358" t="s">
        <v>1317</v>
      </c>
      <c r="BB4" s="359"/>
      <c r="BC4" s="358" t="s">
        <v>1318</v>
      </c>
      <c r="BD4" s="359"/>
      <c r="BE4" s="358" t="s">
        <v>1319</v>
      </c>
      <c r="BF4" s="359"/>
    </row>
    <row r="5" spans="2:58" s="95" customFormat="1" ht="12.75" customHeight="1" x14ac:dyDescent="0.3">
      <c r="B5" s="6" t="s">
        <v>132</v>
      </c>
      <c r="C5" s="6" t="s">
        <v>136</v>
      </c>
      <c r="D5" s="6" t="s">
        <v>578</v>
      </c>
      <c r="E5" s="6" t="s">
        <v>1005</v>
      </c>
      <c r="F5" s="5"/>
      <c r="G5" s="103" t="s">
        <v>71</v>
      </c>
      <c r="J5" s="317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</row>
    <row r="6" spans="2:58" s="95" customFormat="1" ht="12.75" customHeight="1" x14ac:dyDescent="0.25">
      <c r="B6" s="3">
        <v>27</v>
      </c>
      <c r="C6" s="3">
        <v>1</v>
      </c>
      <c r="D6" s="3"/>
      <c r="E6" s="3"/>
      <c r="F6" s="1"/>
      <c r="J6" s="354" t="s">
        <v>99</v>
      </c>
      <c r="K6" s="58" t="s">
        <v>1305</v>
      </c>
      <c r="L6" s="55">
        <v>19.25</v>
      </c>
      <c r="M6" s="40">
        <v>19.309999999999999</v>
      </c>
      <c r="N6" s="41">
        <f t="shared" ref="N6:N8" si="0">M6/L6*100</f>
        <v>100.3116883116883</v>
      </c>
      <c r="O6" s="40">
        <v>19.329999999999998</v>
      </c>
      <c r="P6" s="41">
        <f>O6/L6*100</f>
        <v>100.41558441558441</v>
      </c>
      <c r="Q6" s="40">
        <v>20.34</v>
      </c>
      <c r="R6" s="41">
        <f>Q6/L6*100</f>
        <v>105.66233766233766</v>
      </c>
      <c r="S6" s="40">
        <v>20.399999999999999</v>
      </c>
      <c r="T6" s="41">
        <f>S6/L6*100</f>
        <v>105.97402597402596</v>
      </c>
      <c r="U6" s="40">
        <v>20.62</v>
      </c>
      <c r="V6" s="41">
        <f>U6/L6*100</f>
        <v>107.11688311688312</v>
      </c>
      <c r="W6" s="40">
        <v>21.8</v>
      </c>
      <c r="X6" s="41">
        <f>W6/L6*100</f>
        <v>113.24675324675324</v>
      </c>
      <c r="Y6" s="40">
        <v>20.71</v>
      </c>
      <c r="Z6" s="41">
        <f>Y6/L6*100</f>
        <v>107.58441558441558</v>
      </c>
      <c r="AA6" s="40">
        <v>18.79</v>
      </c>
      <c r="AB6" s="41">
        <f>AA6/L6*100</f>
        <v>97.610389610389603</v>
      </c>
      <c r="AC6" s="40">
        <v>18.16</v>
      </c>
      <c r="AD6" s="47">
        <f>AC6/L6*100</f>
        <v>94.337662337662337</v>
      </c>
      <c r="AE6" s="49" t="s">
        <v>947</v>
      </c>
      <c r="AF6" s="50"/>
      <c r="AG6" s="49"/>
      <c r="AH6" s="50"/>
      <c r="AI6" s="49"/>
      <c r="AJ6" s="50"/>
      <c r="AK6" s="49"/>
      <c r="AL6" s="50"/>
      <c r="AM6" s="49"/>
      <c r="AN6" s="50"/>
      <c r="AO6" s="49"/>
      <c r="AP6" s="50"/>
      <c r="AQ6" s="49"/>
      <c r="AR6" s="50"/>
      <c r="AS6" s="49"/>
      <c r="AT6" s="50"/>
      <c r="AU6" s="49"/>
      <c r="AV6" s="50"/>
      <c r="AW6" s="49"/>
      <c r="AX6" s="50"/>
      <c r="AY6" s="49"/>
      <c r="AZ6" s="50"/>
      <c r="BA6" s="49"/>
      <c r="BB6" s="50"/>
      <c r="BC6" s="49"/>
      <c r="BD6" s="50"/>
      <c r="BE6" s="49"/>
      <c r="BF6" s="50"/>
    </row>
    <row r="7" spans="2:58" s="95" customFormat="1" ht="12.75" customHeight="1" x14ac:dyDescent="0.3">
      <c r="B7" s="3">
        <v>30</v>
      </c>
      <c r="C7" s="3">
        <v>1</v>
      </c>
      <c r="D7" s="3"/>
      <c r="E7" s="3"/>
      <c r="F7" s="1"/>
      <c r="G7" s="7" t="s">
        <v>140</v>
      </c>
      <c r="H7" s="3"/>
      <c r="J7" s="354"/>
      <c r="K7" s="58" t="s">
        <v>1306</v>
      </c>
      <c r="L7" s="55">
        <v>18.43</v>
      </c>
      <c r="M7" s="40">
        <v>18.850000000000001</v>
      </c>
      <c r="N7" s="41">
        <f t="shared" si="0"/>
        <v>102.27889310906133</v>
      </c>
      <c r="O7" s="40">
        <v>18.78</v>
      </c>
      <c r="P7" s="41">
        <f t="shared" ref="P7:P10" si="1">O7/L7*100</f>
        <v>101.89907759088443</v>
      </c>
      <c r="Q7" s="40">
        <v>19.52</v>
      </c>
      <c r="R7" s="41">
        <f t="shared" ref="R7:R10" si="2">Q7/L7*100</f>
        <v>105.91427021161151</v>
      </c>
      <c r="S7" s="40">
        <v>19.670000000000002</v>
      </c>
      <c r="T7" s="41">
        <f t="shared" ref="T7:T10" si="3">S7/L7*100</f>
        <v>106.72816060770485</v>
      </c>
      <c r="U7" s="40">
        <v>19.46</v>
      </c>
      <c r="V7" s="41">
        <f t="shared" ref="V7:V10" si="4">U7/L7*100</f>
        <v>105.58871405317419</v>
      </c>
      <c r="W7" s="40">
        <v>19.850000000000001</v>
      </c>
      <c r="X7" s="41">
        <f t="shared" ref="X7:X10" si="5">W7/L7*100</f>
        <v>107.70482908301685</v>
      </c>
      <c r="Y7" s="40">
        <v>18.329999999999998</v>
      </c>
      <c r="Z7" s="41">
        <f t="shared" ref="Z7:Z10" si="6">Y7/L7*100</f>
        <v>99.457406402604448</v>
      </c>
      <c r="AA7" s="48">
        <v>16.2</v>
      </c>
      <c r="AB7" s="41">
        <f t="shared" ref="AB7:AB10" si="7">AA7/L7*100</f>
        <v>87.900162778079221</v>
      </c>
      <c r="AC7" s="48">
        <v>15.57</v>
      </c>
      <c r="AD7" s="47">
        <f t="shared" ref="AD7:AD10" si="8">AC7/L7*100</f>
        <v>84.481823114487256</v>
      </c>
      <c r="AE7" s="49" t="s">
        <v>1307</v>
      </c>
      <c r="AF7" s="50"/>
      <c r="AG7" s="49"/>
      <c r="AH7" s="50"/>
      <c r="AI7" s="49"/>
      <c r="AJ7" s="50"/>
      <c r="AK7" s="49"/>
      <c r="AL7" s="50"/>
      <c r="AM7" s="49"/>
      <c r="AN7" s="50"/>
      <c r="AO7" s="49"/>
      <c r="AP7" s="50"/>
      <c r="AQ7" s="49"/>
      <c r="AR7" s="50"/>
      <c r="AS7" s="49"/>
      <c r="AT7" s="50"/>
      <c r="AU7" s="49"/>
      <c r="AV7" s="50"/>
      <c r="AW7" s="49"/>
      <c r="AX7" s="50"/>
      <c r="AY7" s="49"/>
      <c r="AZ7" s="50"/>
      <c r="BA7" s="49"/>
      <c r="BB7" s="50"/>
      <c r="BC7" s="49"/>
      <c r="BD7" s="50"/>
      <c r="BE7" s="49"/>
      <c r="BF7" s="50"/>
    </row>
    <row r="8" spans="2:58" s="95" customFormat="1" ht="12.75" customHeight="1" x14ac:dyDescent="0.3">
      <c r="B8" s="3">
        <v>32</v>
      </c>
      <c r="C8" s="3">
        <v>1</v>
      </c>
      <c r="D8" s="3"/>
      <c r="E8" s="3"/>
      <c r="F8" s="1"/>
      <c r="G8" s="2"/>
      <c r="H8" s="3"/>
      <c r="J8" s="354"/>
      <c r="K8" s="58" t="s">
        <v>1308</v>
      </c>
      <c r="L8" s="55">
        <v>19.79</v>
      </c>
      <c r="M8" s="40">
        <v>19.12</v>
      </c>
      <c r="N8" s="41">
        <f t="shared" si="0"/>
        <v>96.614451743304713</v>
      </c>
      <c r="O8" s="40">
        <v>19.62</v>
      </c>
      <c r="P8" s="41">
        <f t="shared" si="1"/>
        <v>99.14098029307732</v>
      </c>
      <c r="Q8" s="40">
        <v>20.329999999999998</v>
      </c>
      <c r="R8" s="41">
        <f t="shared" si="2"/>
        <v>102.72865083375441</v>
      </c>
      <c r="S8" s="40">
        <v>20.39</v>
      </c>
      <c r="T8" s="41">
        <f t="shared" si="3"/>
        <v>103.03183425972715</v>
      </c>
      <c r="U8" s="40">
        <v>21.3</v>
      </c>
      <c r="V8" s="41">
        <f t="shared" si="4"/>
        <v>107.63011622031328</v>
      </c>
      <c r="W8" s="40">
        <v>21.77</v>
      </c>
      <c r="X8" s="41">
        <f t="shared" si="5"/>
        <v>110.00505305709956</v>
      </c>
      <c r="Y8" s="40">
        <v>19.22</v>
      </c>
      <c r="Z8" s="41">
        <f t="shared" si="6"/>
        <v>97.119757453259226</v>
      </c>
      <c r="AA8" s="48">
        <v>16</v>
      </c>
      <c r="AB8" s="41">
        <f t="shared" si="7"/>
        <v>80.848913592723605</v>
      </c>
      <c r="AC8" s="48">
        <v>16.79</v>
      </c>
      <c r="AD8" s="47">
        <f t="shared" si="8"/>
        <v>84.84082870136433</v>
      </c>
      <c r="AE8" s="48">
        <v>16.07</v>
      </c>
      <c r="AF8" s="47">
        <f>AE8/L8*100</f>
        <v>81.202627589691772</v>
      </c>
      <c r="AG8" s="49" t="s">
        <v>116</v>
      </c>
      <c r="AH8" s="54"/>
      <c r="AI8" s="49"/>
      <c r="AJ8" s="54"/>
      <c r="AK8" s="49"/>
      <c r="AL8" s="54"/>
      <c r="AM8" s="49"/>
      <c r="AN8" s="54"/>
      <c r="AO8" s="49"/>
      <c r="AP8" s="54"/>
      <c r="AQ8" s="49"/>
      <c r="AR8" s="54"/>
      <c r="AS8" s="49"/>
      <c r="AT8" s="54"/>
      <c r="AU8" s="49"/>
      <c r="AV8" s="54"/>
      <c r="AW8" s="49"/>
      <c r="AX8" s="54"/>
      <c r="AY8" s="49"/>
      <c r="AZ8" s="54"/>
      <c r="BA8" s="49"/>
      <c r="BB8" s="54"/>
      <c r="BC8" s="49"/>
      <c r="BD8" s="54"/>
      <c r="BE8" s="49"/>
      <c r="BF8" s="54"/>
    </row>
    <row r="9" spans="2:58" s="95" customFormat="1" ht="12.75" customHeight="1" x14ac:dyDescent="0.25">
      <c r="B9" s="3">
        <v>35</v>
      </c>
      <c r="C9" s="3">
        <v>1</v>
      </c>
      <c r="D9" s="3"/>
      <c r="E9" s="3"/>
      <c r="F9" s="1"/>
      <c r="G9" s="2" t="s">
        <v>141</v>
      </c>
      <c r="H9" s="3"/>
      <c r="J9" s="354"/>
      <c r="K9" s="58" t="s">
        <v>1309</v>
      </c>
      <c r="L9" s="55">
        <v>19.010000000000002</v>
      </c>
      <c r="M9" s="40">
        <v>18.940000000000001</v>
      </c>
      <c r="N9" s="41">
        <f>M9/L9*100</f>
        <v>99.63177275118359</v>
      </c>
      <c r="O9" s="40">
        <v>19.28</v>
      </c>
      <c r="P9" s="41">
        <f t="shared" si="1"/>
        <v>101.42030510257757</v>
      </c>
      <c r="Q9" s="40">
        <v>19.600000000000001</v>
      </c>
      <c r="R9" s="41">
        <f t="shared" si="2"/>
        <v>103.10362966859547</v>
      </c>
      <c r="S9" s="40">
        <v>19.420000000000002</v>
      </c>
      <c r="T9" s="41">
        <f t="shared" si="3"/>
        <v>102.15675960021042</v>
      </c>
      <c r="U9" s="40">
        <v>20.03</v>
      </c>
      <c r="V9" s="41">
        <f t="shared" si="4"/>
        <v>105.365597054182</v>
      </c>
      <c r="W9" s="40">
        <v>20.94</v>
      </c>
      <c r="X9" s="41">
        <f t="shared" si="5"/>
        <v>110.15255128879538</v>
      </c>
      <c r="Y9" s="40">
        <v>20.45</v>
      </c>
      <c r="Z9" s="41">
        <f t="shared" si="6"/>
        <v>107.57496054708047</v>
      </c>
      <c r="AA9" s="40">
        <v>20.12</v>
      </c>
      <c r="AB9" s="41">
        <f t="shared" si="7"/>
        <v>105.83903208837452</v>
      </c>
      <c r="AC9" s="40">
        <v>20.18</v>
      </c>
      <c r="AD9" s="47">
        <f t="shared" si="8"/>
        <v>106.15465544450289</v>
      </c>
      <c r="AE9" s="40">
        <v>18.690000000000001</v>
      </c>
      <c r="AF9" s="47">
        <f t="shared" ref="AF9:AF10" si="9">AE9/L9*100</f>
        <v>98.316675433982113</v>
      </c>
      <c r="AG9" s="40">
        <v>18.309999999999999</v>
      </c>
      <c r="AH9" s="47">
        <f>AG9/L9*100</f>
        <v>96.317727511835855</v>
      </c>
      <c r="AI9" s="40">
        <v>18.53</v>
      </c>
      <c r="AJ9" s="47">
        <f>AI9/L9*100</f>
        <v>97.475013150973169</v>
      </c>
      <c r="AK9" s="40">
        <v>18.649999999999999</v>
      </c>
      <c r="AL9" s="47">
        <f>AK9/L9*100</f>
        <v>98.106259863229866</v>
      </c>
      <c r="AM9" s="40">
        <v>18.29</v>
      </c>
      <c r="AN9" s="47">
        <f>AM9/L9*100</f>
        <v>96.212519726459746</v>
      </c>
      <c r="AO9" s="49" t="s">
        <v>119</v>
      </c>
      <c r="AP9" s="50"/>
      <c r="AQ9" s="49"/>
      <c r="AR9" s="50"/>
      <c r="AS9" s="49"/>
      <c r="AT9" s="50"/>
      <c r="AU9" s="49"/>
      <c r="AV9" s="50"/>
      <c r="AW9" s="49"/>
      <c r="AX9" s="50"/>
      <c r="AY9" s="49"/>
      <c r="AZ9" s="50"/>
      <c r="BA9" s="49"/>
      <c r="BB9" s="50"/>
      <c r="BC9" s="49"/>
      <c r="BD9" s="50"/>
      <c r="BE9" s="49"/>
      <c r="BF9" s="50"/>
    </row>
    <row r="10" spans="2:58" s="95" customFormat="1" ht="12.75" customHeight="1" x14ac:dyDescent="0.25">
      <c r="B10" s="3">
        <v>42</v>
      </c>
      <c r="C10" s="3">
        <v>1</v>
      </c>
      <c r="D10" s="3"/>
      <c r="E10" s="3"/>
      <c r="F10" s="1"/>
      <c r="G10" s="2" t="s">
        <v>142</v>
      </c>
      <c r="H10" s="3">
        <v>16.98</v>
      </c>
      <c r="J10" s="354"/>
      <c r="K10" s="58" t="s">
        <v>1310</v>
      </c>
      <c r="L10" s="55">
        <v>20.13</v>
      </c>
      <c r="M10" s="40">
        <v>19.77</v>
      </c>
      <c r="N10" s="41">
        <f t="shared" ref="N10" si="10">M10/L10*100</f>
        <v>98.211624441132642</v>
      </c>
      <c r="O10" s="40">
        <v>19.95</v>
      </c>
      <c r="P10" s="41">
        <f t="shared" si="1"/>
        <v>99.105812220566321</v>
      </c>
      <c r="Q10" s="40">
        <v>20.66</v>
      </c>
      <c r="R10" s="41">
        <f t="shared" si="2"/>
        <v>102.63288623944362</v>
      </c>
      <c r="S10" s="40">
        <v>20.71</v>
      </c>
      <c r="T10" s="41">
        <f t="shared" si="3"/>
        <v>102.88127173373076</v>
      </c>
      <c r="U10" s="40">
        <v>20.93</v>
      </c>
      <c r="V10" s="41">
        <f t="shared" si="4"/>
        <v>103.97416790859415</v>
      </c>
      <c r="W10" s="40">
        <v>21.64</v>
      </c>
      <c r="X10" s="41">
        <f t="shared" si="5"/>
        <v>107.50124192747144</v>
      </c>
      <c r="Y10" s="40">
        <v>18.78</v>
      </c>
      <c r="Z10" s="41">
        <f t="shared" si="6"/>
        <v>93.293591654247393</v>
      </c>
      <c r="AA10" s="48">
        <v>14.84</v>
      </c>
      <c r="AB10" s="56">
        <f t="shared" si="7"/>
        <v>73.720814704421272</v>
      </c>
      <c r="AC10" s="48">
        <v>14.92</v>
      </c>
      <c r="AD10" s="50">
        <f t="shared" si="8"/>
        <v>74.118231495280682</v>
      </c>
      <c r="AE10" s="48">
        <v>13.82</v>
      </c>
      <c r="AF10" s="50">
        <f t="shared" si="9"/>
        <v>68.653750620963734</v>
      </c>
      <c r="AG10" s="48">
        <v>13.12</v>
      </c>
      <c r="AH10" s="50">
        <f t="shared" ref="AH10:AH15" si="11">AG10/L10*100</f>
        <v>65.176353700943864</v>
      </c>
      <c r="AI10" s="49" t="s">
        <v>81</v>
      </c>
      <c r="AJ10" s="50"/>
      <c r="AK10" s="49"/>
      <c r="AL10" s="50"/>
      <c r="AM10" s="49"/>
      <c r="AN10" s="50"/>
      <c r="AO10" s="49"/>
      <c r="AP10" s="50"/>
      <c r="AQ10" s="49"/>
      <c r="AR10" s="50"/>
      <c r="AS10" s="49"/>
      <c r="AT10" s="50"/>
      <c r="AU10" s="49"/>
      <c r="AV10" s="50"/>
      <c r="AW10" s="49"/>
      <c r="AX10" s="50"/>
      <c r="AY10" s="49"/>
      <c r="AZ10" s="50"/>
      <c r="BA10" s="49"/>
      <c r="BB10" s="50"/>
      <c r="BC10" s="49"/>
      <c r="BD10" s="50"/>
      <c r="BE10" s="49"/>
      <c r="BF10" s="50"/>
    </row>
    <row r="11" spans="2:58" s="95" customFormat="1" ht="12.75" customHeight="1" x14ac:dyDescent="0.3">
      <c r="B11" s="3">
        <v>57</v>
      </c>
      <c r="C11" s="3"/>
      <c r="D11" s="3">
        <v>1</v>
      </c>
      <c r="E11" s="3"/>
      <c r="F11" s="1"/>
      <c r="G11" s="2" t="s">
        <v>143</v>
      </c>
      <c r="H11" s="3">
        <v>2</v>
      </c>
      <c r="J11" s="367" t="s">
        <v>1311</v>
      </c>
      <c r="K11" s="58" t="s">
        <v>1007</v>
      </c>
      <c r="L11" s="55">
        <v>20.440000000000001</v>
      </c>
      <c r="M11" s="40">
        <v>19.760000000000002</v>
      </c>
      <c r="N11" s="41">
        <f t="shared" ref="N11:N20" si="12">M11/L11*100</f>
        <v>96.673189823874765</v>
      </c>
      <c r="O11" s="40">
        <v>20.329999999999998</v>
      </c>
      <c r="P11" s="41">
        <f t="shared" ref="P11:P20" si="13">O11/L11*100</f>
        <v>99.461839530332668</v>
      </c>
      <c r="Q11" s="40">
        <v>21.22</v>
      </c>
      <c r="R11" s="41">
        <f t="shared" ref="R11:R20" si="14">Q11/L11*100</f>
        <v>103.81604696673188</v>
      </c>
      <c r="S11" s="40">
        <v>20.3</v>
      </c>
      <c r="T11" s="41">
        <f t="shared" ref="T11:T20" si="15">S11/L11*100</f>
        <v>99.315068493150676</v>
      </c>
      <c r="U11" s="40">
        <v>20.48</v>
      </c>
      <c r="V11" s="41">
        <f t="shared" ref="V11:V20" si="16">U11/L11*100</f>
        <v>100.19569471624266</v>
      </c>
      <c r="W11" s="40">
        <v>21.02</v>
      </c>
      <c r="X11" s="41">
        <f t="shared" ref="X11:X20" si="17">W11/L11*100</f>
        <v>102.83757338551858</v>
      </c>
      <c r="Y11" s="40">
        <v>21.11</v>
      </c>
      <c r="Z11" s="41">
        <f t="shared" ref="Z11:Z17" si="18">Y11/L11*100</f>
        <v>103.27788649706457</v>
      </c>
      <c r="AA11" s="40">
        <v>20.98</v>
      </c>
      <c r="AB11" s="41">
        <f t="shared" ref="AB11:AB17" si="19">AA11/L11*100</f>
        <v>102.64187866927593</v>
      </c>
      <c r="AC11" s="40">
        <v>19.97</v>
      </c>
      <c r="AD11" s="47">
        <f t="shared" ref="AD11:AD17" si="20">AC11/L11*100</f>
        <v>97.700587084148722</v>
      </c>
      <c r="AE11" s="40">
        <v>18.940000000000001</v>
      </c>
      <c r="AF11" s="47">
        <f t="shared" ref="AF11:AF17" si="21">AE11/L11*100</f>
        <v>92.661448140900191</v>
      </c>
      <c r="AG11" s="40">
        <v>17.73</v>
      </c>
      <c r="AH11" s="47">
        <f t="shared" si="11"/>
        <v>86.74168297455968</v>
      </c>
      <c r="AI11" s="40">
        <v>16.89</v>
      </c>
      <c r="AJ11" s="47">
        <f t="shared" ref="AJ11:AJ15" si="22">AI11/L11*100</f>
        <v>82.632093933463793</v>
      </c>
      <c r="AK11" s="48">
        <v>16.39</v>
      </c>
      <c r="AL11" s="47">
        <f t="shared" ref="AL11:AL15" si="23">AK11/L11*100</f>
        <v>80.185909980430523</v>
      </c>
      <c r="AM11" s="48">
        <v>15.87</v>
      </c>
      <c r="AN11" s="50">
        <f t="shared" ref="AN11:AN15" si="24">AM11/L11*100</f>
        <v>77.641878669275926</v>
      </c>
      <c r="AO11" s="40">
        <v>17.350000000000001</v>
      </c>
      <c r="AP11" s="47">
        <f t="shared" ref="AP11" si="25">AO11/L11*100</f>
        <v>84.882583170254406</v>
      </c>
      <c r="AQ11" s="40">
        <v>17.170000000000002</v>
      </c>
      <c r="AR11" s="47">
        <f>AQ11/L11*100</f>
        <v>84.001956947162427</v>
      </c>
      <c r="AS11" s="40">
        <v>18.059999999999999</v>
      </c>
      <c r="AT11" s="47">
        <f>AS11/L11*100</f>
        <v>88.356164383561634</v>
      </c>
      <c r="AU11" s="40">
        <v>17.989999999999998</v>
      </c>
      <c r="AV11" s="47">
        <f>AU11/L11*100</f>
        <v>88.013698630136972</v>
      </c>
      <c r="AW11" s="40">
        <v>17.22</v>
      </c>
      <c r="AX11" s="47">
        <f>AW11/L11*100</f>
        <v>84.246575342465746</v>
      </c>
      <c r="AY11" s="49" t="s">
        <v>933</v>
      </c>
      <c r="AZ11" s="54"/>
      <c r="BA11" s="49"/>
      <c r="BB11" s="54"/>
      <c r="BC11" s="49"/>
      <c r="BD11" s="54"/>
      <c r="BE11" s="49"/>
      <c r="BF11" s="54"/>
    </row>
    <row r="12" spans="2:58" s="95" customFormat="1" ht="12.75" customHeight="1" x14ac:dyDescent="0.3">
      <c r="B12" s="3">
        <v>80</v>
      </c>
      <c r="C12" s="3"/>
      <c r="D12" s="3">
        <v>0</v>
      </c>
      <c r="E12" s="3">
        <v>0</v>
      </c>
      <c r="F12" s="1"/>
      <c r="G12" s="7" t="s">
        <v>47</v>
      </c>
      <c r="H12" s="8">
        <v>2.0000000000000001E-4</v>
      </c>
      <c r="J12" s="367"/>
      <c r="K12" s="58" t="s">
        <v>1008</v>
      </c>
      <c r="L12" s="55">
        <v>21.31</v>
      </c>
      <c r="M12" s="40">
        <v>20.91</v>
      </c>
      <c r="N12" s="41">
        <f t="shared" si="12"/>
        <v>98.122946973251999</v>
      </c>
      <c r="O12" s="40">
        <v>21.18</v>
      </c>
      <c r="P12" s="41">
        <f t="shared" si="13"/>
        <v>99.389957766306907</v>
      </c>
      <c r="Q12" s="40">
        <v>21.59</v>
      </c>
      <c r="R12" s="41">
        <f t="shared" si="14"/>
        <v>101.3139371187236</v>
      </c>
      <c r="S12" s="40">
        <v>21.22</v>
      </c>
      <c r="T12" s="41">
        <f t="shared" si="15"/>
        <v>99.577663068981707</v>
      </c>
      <c r="U12" s="40">
        <v>22.12</v>
      </c>
      <c r="V12" s="41">
        <f t="shared" si="16"/>
        <v>103.80103237916471</v>
      </c>
      <c r="W12" s="40">
        <v>22.6</v>
      </c>
      <c r="X12" s="41">
        <f t="shared" si="17"/>
        <v>106.05349601126233</v>
      </c>
      <c r="Y12" s="40">
        <v>24.19</v>
      </c>
      <c r="Z12" s="41">
        <f t="shared" si="18"/>
        <v>113.51478179258565</v>
      </c>
      <c r="AA12" s="40">
        <v>21.76</v>
      </c>
      <c r="AB12" s="41">
        <f t="shared" si="19"/>
        <v>102.11168465509152</v>
      </c>
      <c r="AC12" s="40">
        <v>21.71</v>
      </c>
      <c r="AD12" s="47">
        <f t="shared" si="20"/>
        <v>101.87705302674802</v>
      </c>
      <c r="AE12" s="40">
        <v>21.41</v>
      </c>
      <c r="AF12" s="47">
        <f t="shared" si="21"/>
        <v>100.46926325668701</v>
      </c>
      <c r="AG12" s="40">
        <v>21.92</v>
      </c>
      <c r="AH12" s="47">
        <f t="shared" si="11"/>
        <v>102.86250586579074</v>
      </c>
      <c r="AI12" s="40">
        <v>21.71</v>
      </c>
      <c r="AJ12" s="47">
        <f t="shared" si="22"/>
        <v>101.87705302674802</v>
      </c>
      <c r="AK12" s="40">
        <v>21.7</v>
      </c>
      <c r="AL12" s="47">
        <f t="shared" si="23"/>
        <v>101.83012670107931</v>
      </c>
      <c r="AM12" s="40">
        <v>19.87</v>
      </c>
      <c r="AN12" s="47">
        <f t="shared" si="24"/>
        <v>93.242609103707181</v>
      </c>
      <c r="AO12" s="40">
        <v>19.760000000000002</v>
      </c>
      <c r="AP12" s="47">
        <f>AO12/L12*100</f>
        <v>92.726419521351488</v>
      </c>
      <c r="AQ12" s="40">
        <v>20.329999999999998</v>
      </c>
      <c r="AR12" s="47">
        <f t="shared" ref="AR12:AR15" si="26">AQ12/L12*100</f>
        <v>95.401220084467383</v>
      </c>
      <c r="AS12" s="40">
        <v>21.22</v>
      </c>
      <c r="AT12" s="47">
        <f t="shared" ref="AT12:AT15" si="27">AS12/L12*100</f>
        <v>99.577663068981707</v>
      </c>
      <c r="AU12" s="40">
        <v>20.41</v>
      </c>
      <c r="AV12" s="47">
        <f t="shared" ref="AV12:AV15" si="28">AU12/L12*100</f>
        <v>95.776630689816983</v>
      </c>
      <c r="AW12" s="40">
        <v>21.65</v>
      </c>
      <c r="AX12" s="47">
        <f t="shared" ref="AX12:AX15" si="29">AW12/L12*100</f>
        <v>101.5954950727358</v>
      </c>
      <c r="AY12" s="40">
        <v>20.079999999999998</v>
      </c>
      <c r="AZ12" s="47">
        <f>AY12/L12*100</f>
        <v>94.228061942749889</v>
      </c>
      <c r="BA12" s="40">
        <v>20.170000000000002</v>
      </c>
      <c r="BB12" s="47">
        <f>BA12/L12*100</f>
        <v>94.650398873768196</v>
      </c>
      <c r="BC12" s="40">
        <v>19.489999999999998</v>
      </c>
      <c r="BD12" s="47">
        <f>BC12/L12*100</f>
        <v>91.45940872829658</v>
      </c>
      <c r="BE12" s="40">
        <v>21.36</v>
      </c>
      <c r="BF12" s="47">
        <f>BE12/L12*100</f>
        <v>100.23463162834349</v>
      </c>
    </row>
    <row r="13" spans="2:58" s="95" customFormat="1" ht="12.75" customHeight="1" x14ac:dyDescent="0.3">
      <c r="B13" s="3">
        <v>80</v>
      </c>
      <c r="C13" s="3"/>
      <c r="D13" s="3">
        <v>0</v>
      </c>
      <c r="E13" s="3">
        <v>0</v>
      </c>
      <c r="F13" s="1"/>
      <c r="G13" s="7" t="s">
        <v>49</v>
      </c>
      <c r="H13" s="8" t="s">
        <v>50</v>
      </c>
      <c r="J13" s="367"/>
      <c r="K13" s="58" t="s">
        <v>1009</v>
      </c>
      <c r="L13" s="55">
        <v>20.02</v>
      </c>
      <c r="M13" s="40">
        <v>19.8</v>
      </c>
      <c r="N13" s="41">
        <f t="shared" si="12"/>
        <v>98.901098901098905</v>
      </c>
      <c r="O13" s="40">
        <v>20.6</v>
      </c>
      <c r="P13" s="41">
        <f t="shared" si="13"/>
        <v>102.8971028971029</v>
      </c>
      <c r="Q13" s="40">
        <v>21.36</v>
      </c>
      <c r="R13" s="41">
        <f t="shared" si="14"/>
        <v>106.6933066933067</v>
      </c>
      <c r="S13" s="40">
        <v>21.03</v>
      </c>
      <c r="T13" s="41">
        <f t="shared" si="15"/>
        <v>105.04495504495506</v>
      </c>
      <c r="U13" s="40">
        <v>20.079999999999998</v>
      </c>
      <c r="V13" s="41">
        <f t="shared" si="16"/>
        <v>100.29970029970031</v>
      </c>
      <c r="W13" s="40">
        <v>20.64</v>
      </c>
      <c r="X13" s="41">
        <f t="shared" si="17"/>
        <v>103.09690309690309</v>
      </c>
      <c r="Y13" s="40">
        <v>21.36</v>
      </c>
      <c r="Z13" s="41">
        <f t="shared" si="18"/>
        <v>106.6933066933067</v>
      </c>
      <c r="AA13" s="40">
        <v>20.7</v>
      </c>
      <c r="AB13" s="41">
        <f t="shared" si="19"/>
        <v>103.3966033966034</v>
      </c>
      <c r="AC13" s="40">
        <v>18.329999999999998</v>
      </c>
      <c r="AD13" s="47">
        <f t="shared" si="20"/>
        <v>91.558441558441544</v>
      </c>
      <c r="AE13" s="40">
        <v>17.2</v>
      </c>
      <c r="AF13" s="47">
        <f t="shared" si="21"/>
        <v>85.914085914085916</v>
      </c>
      <c r="AG13" s="40">
        <v>17.93</v>
      </c>
      <c r="AH13" s="47">
        <f t="shared" si="11"/>
        <v>89.560439560439562</v>
      </c>
      <c r="AI13" s="40">
        <v>18.72</v>
      </c>
      <c r="AJ13" s="47">
        <f t="shared" si="22"/>
        <v>93.506493506493499</v>
      </c>
      <c r="AK13" s="40">
        <v>18.66</v>
      </c>
      <c r="AL13" s="47">
        <f t="shared" si="23"/>
        <v>93.206793206793208</v>
      </c>
      <c r="AM13" s="40">
        <v>18.54</v>
      </c>
      <c r="AN13" s="47">
        <f t="shared" si="24"/>
        <v>92.607392607392597</v>
      </c>
      <c r="AO13" s="48">
        <v>16.510000000000002</v>
      </c>
      <c r="AP13" s="47">
        <f t="shared" ref="AP13:AP15" si="30">AO13/L13*100</f>
        <v>82.467532467532479</v>
      </c>
      <c r="AQ13" s="40">
        <v>18.48</v>
      </c>
      <c r="AR13" s="47">
        <f t="shared" si="26"/>
        <v>92.307692307692307</v>
      </c>
      <c r="AS13" s="40">
        <v>19.21</v>
      </c>
      <c r="AT13" s="47">
        <f t="shared" si="27"/>
        <v>95.954045954045966</v>
      </c>
      <c r="AU13" s="40">
        <v>20.18</v>
      </c>
      <c r="AV13" s="47">
        <f t="shared" si="28"/>
        <v>100.79920079920079</v>
      </c>
      <c r="AW13" s="40">
        <v>22.11</v>
      </c>
      <c r="AX13" s="47">
        <f t="shared" si="29"/>
        <v>110.43956043956045</v>
      </c>
      <c r="AY13" s="40">
        <v>20.97</v>
      </c>
      <c r="AZ13" s="47">
        <f t="shared" ref="AZ13:AZ15" si="31">AY13/L13*100</f>
        <v>104.74525474525474</v>
      </c>
      <c r="BA13" s="40">
        <v>21.52</v>
      </c>
      <c r="BB13" s="47">
        <f t="shared" ref="BB13:BB15" si="32">BA13/L13*100</f>
        <v>107.4925074925075</v>
      </c>
      <c r="BC13" s="40">
        <v>20.88</v>
      </c>
      <c r="BD13" s="47">
        <f t="shared" ref="BD13:BD15" si="33">BC13/L13*100</f>
        <v>104.2957042957043</v>
      </c>
      <c r="BE13" s="40">
        <v>21.1</v>
      </c>
      <c r="BF13" s="47">
        <f t="shared" ref="BF13:BF15" si="34">BE13/L13*100</f>
        <v>105.39460539460541</v>
      </c>
    </row>
    <row r="14" spans="2:58" s="95" customFormat="1" ht="12.75" customHeight="1" x14ac:dyDescent="0.25">
      <c r="B14" s="3">
        <v>80</v>
      </c>
      <c r="C14" s="3"/>
      <c r="D14" s="3">
        <v>0</v>
      </c>
      <c r="E14" s="3">
        <v>0</v>
      </c>
      <c r="F14" s="1"/>
      <c r="G14" s="2" t="s">
        <v>144</v>
      </c>
      <c r="H14" s="3" t="s">
        <v>52</v>
      </c>
      <c r="J14" s="367"/>
      <c r="K14" s="58" t="s">
        <v>988</v>
      </c>
      <c r="L14" s="55">
        <v>20.11</v>
      </c>
      <c r="M14" s="40">
        <v>20.75</v>
      </c>
      <c r="N14" s="41">
        <f t="shared" si="12"/>
        <v>103.18249627051219</v>
      </c>
      <c r="O14" s="40">
        <v>20.87</v>
      </c>
      <c r="P14" s="41">
        <f t="shared" si="13"/>
        <v>103.77921432123323</v>
      </c>
      <c r="Q14" s="40">
        <v>21.1</v>
      </c>
      <c r="R14" s="41">
        <f t="shared" si="14"/>
        <v>104.92292391844855</v>
      </c>
      <c r="S14" s="40">
        <v>20.71</v>
      </c>
      <c r="T14" s="41">
        <f t="shared" si="15"/>
        <v>102.98359025360517</v>
      </c>
      <c r="U14" s="40">
        <v>20.43</v>
      </c>
      <c r="V14" s="41">
        <f t="shared" si="16"/>
        <v>101.59124813525608</v>
      </c>
      <c r="W14" s="40">
        <v>20.86</v>
      </c>
      <c r="X14" s="41">
        <f t="shared" si="17"/>
        <v>103.72948781700646</v>
      </c>
      <c r="Y14" s="40">
        <v>21.74</v>
      </c>
      <c r="Z14" s="41">
        <f t="shared" si="18"/>
        <v>108.10542018896072</v>
      </c>
      <c r="AA14" s="40">
        <v>22.55</v>
      </c>
      <c r="AB14" s="41">
        <f t="shared" si="19"/>
        <v>112.1332670313277</v>
      </c>
      <c r="AC14" s="40">
        <v>21.38</v>
      </c>
      <c r="AD14" s="47">
        <f t="shared" si="20"/>
        <v>106.31526603679762</v>
      </c>
      <c r="AE14" s="40">
        <v>19.670000000000002</v>
      </c>
      <c r="AF14" s="47">
        <f t="shared" si="21"/>
        <v>97.812033814022882</v>
      </c>
      <c r="AG14" s="40">
        <v>19.28</v>
      </c>
      <c r="AH14" s="47">
        <f t="shared" si="11"/>
        <v>95.872700149179522</v>
      </c>
      <c r="AI14" s="40">
        <v>19.37</v>
      </c>
      <c r="AJ14" s="47">
        <f t="shared" si="22"/>
        <v>96.320238687220296</v>
      </c>
      <c r="AK14" s="40">
        <v>20.21</v>
      </c>
      <c r="AL14" s="47">
        <f t="shared" si="23"/>
        <v>100.49726504226753</v>
      </c>
      <c r="AM14" s="40">
        <v>19.47</v>
      </c>
      <c r="AN14" s="47">
        <f t="shared" si="24"/>
        <v>96.817503729487825</v>
      </c>
      <c r="AO14" s="40">
        <v>18.82</v>
      </c>
      <c r="AP14" s="47">
        <f t="shared" si="30"/>
        <v>93.585280954748882</v>
      </c>
      <c r="AQ14" s="40">
        <v>19.47</v>
      </c>
      <c r="AR14" s="47">
        <f t="shared" si="26"/>
        <v>96.817503729487825</v>
      </c>
      <c r="AS14" s="40">
        <v>19.82</v>
      </c>
      <c r="AT14" s="47">
        <f t="shared" si="27"/>
        <v>98.557931377424168</v>
      </c>
      <c r="AU14" s="40">
        <v>19.559999999999999</v>
      </c>
      <c r="AV14" s="47">
        <f t="shared" si="28"/>
        <v>97.265042267528585</v>
      </c>
      <c r="AW14" s="40">
        <v>21.36</v>
      </c>
      <c r="AX14" s="47">
        <f t="shared" si="29"/>
        <v>106.21581302834412</v>
      </c>
      <c r="AY14" s="40">
        <v>20.8</v>
      </c>
      <c r="AZ14" s="47">
        <f t="shared" si="31"/>
        <v>103.43112879164596</v>
      </c>
      <c r="BA14" s="40">
        <v>21.66</v>
      </c>
      <c r="BB14" s="47">
        <f t="shared" si="32"/>
        <v>107.7076081551467</v>
      </c>
      <c r="BC14" s="40">
        <v>21.58</v>
      </c>
      <c r="BD14" s="47">
        <f t="shared" si="33"/>
        <v>107.30979612133267</v>
      </c>
      <c r="BE14" s="40">
        <v>22.11</v>
      </c>
      <c r="BF14" s="47">
        <f t="shared" si="34"/>
        <v>109.94530084535057</v>
      </c>
    </row>
    <row r="15" spans="2:58" s="95" customFormat="1" ht="12.75" customHeight="1" x14ac:dyDescent="0.25">
      <c r="B15" s="3">
        <v>80</v>
      </c>
      <c r="C15" s="3"/>
      <c r="D15" s="3">
        <v>0</v>
      </c>
      <c r="E15" s="3">
        <v>0</v>
      </c>
      <c r="F15" s="1"/>
      <c r="G15" s="2"/>
      <c r="H15" s="3"/>
      <c r="J15" s="367"/>
      <c r="K15" s="58" t="s">
        <v>1010</v>
      </c>
      <c r="L15" s="55">
        <v>19.82</v>
      </c>
      <c r="M15" s="40">
        <v>19.57</v>
      </c>
      <c r="N15" s="41">
        <f t="shared" si="12"/>
        <v>98.738647830474264</v>
      </c>
      <c r="O15" s="40">
        <v>19.829999999999998</v>
      </c>
      <c r="P15" s="41">
        <f t="shared" si="13"/>
        <v>100.05045408678102</v>
      </c>
      <c r="Q15" s="40">
        <v>20.440000000000001</v>
      </c>
      <c r="R15" s="41">
        <f t="shared" si="14"/>
        <v>103.12815338042383</v>
      </c>
      <c r="S15" s="40">
        <v>20.64</v>
      </c>
      <c r="T15" s="41">
        <f t="shared" si="15"/>
        <v>104.13723511604441</v>
      </c>
      <c r="U15" s="40">
        <v>19.899999999999999</v>
      </c>
      <c r="V15" s="41">
        <f t="shared" si="16"/>
        <v>100.40363269424823</v>
      </c>
      <c r="W15" s="40">
        <v>22.54</v>
      </c>
      <c r="X15" s="41">
        <f t="shared" si="17"/>
        <v>113.72351160443996</v>
      </c>
      <c r="Y15" s="40">
        <v>23.42</v>
      </c>
      <c r="Z15" s="41">
        <f t="shared" si="18"/>
        <v>118.16347124117056</v>
      </c>
      <c r="AA15" s="40">
        <v>22.35</v>
      </c>
      <c r="AB15" s="41">
        <f t="shared" si="19"/>
        <v>112.7648839556004</v>
      </c>
      <c r="AC15" s="40">
        <v>22.34</v>
      </c>
      <c r="AD15" s="47">
        <f t="shared" si="20"/>
        <v>112.71442986881937</v>
      </c>
      <c r="AE15" s="40">
        <v>19.97</v>
      </c>
      <c r="AF15" s="47">
        <f t="shared" si="21"/>
        <v>100.75681130171543</v>
      </c>
      <c r="AG15" s="40">
        <v>19.37</v>
      </c>
      <c r="AH15" s="47">
        <f t="shared" si="11"/>
        <v>97.729566094853681</v>
      </c>
      <c r="AI15" s="40">
        <v>20.74</v>
      </c>
      <c r="AJ15" s="47">
        <f t="shared" si="22"/>
        <v>104.64177598385469</v>
      </c>
      <c r="AK15" s="40">
        <v>20.75</v>
      </c>
      <c r="AL15" s="47">
        <f t="shared" si="23"/>
        <v>104.69223007063573</v>
      </c>
      <c r="AM15" s="40">
        <v>19.600000000000001</v>
      </c>
      <c r="AN15" s="47">
        <f t="shared" si="24"/>
        <v>98.890010090817356</v>
      </c>
      <c r="AO15" s="40">
        <v>18.39</v>
      </c>
      <c r="AP15" s="47">
        <f t="shared" si="30"/>
        <v>92.785065590312826</v>
      </c>
      <c r="AQ15" s="40">
        <v>19.170000000000002</v>
      </c>
      <c r="AR15" s="47">
        <f t="shared" si="26"/>
        <v>96.720484359233112</v>
      </c>
      <c r="AS15" s="40">
        <v>20.61</v>
      </c>
      <c r="AT15" s="47">
        <f t="shared" si="27"/>
        <v>103.98587285570132</v>
      </c>
      <c r="AU15" s="40">
        <v>20.82</v>
      </c>
      <c r="AV15" s="47">
        <f t="shared" si="28"/>
        <v>105.04540867810293</v>
      </c>
      <c r="AW15" s="40">
        <v>21.56</v>
      </c>
      <c r="AX15" s="47">
        <f t="shared" si="29"/>
        <v>108.77901109989909</v>
      </c>
      <c r="AY15" s="40">
        <v>20.75</v>
      </c>
      <c r="AZ15" s="47">
        <f t="shared" si="31"/>
        <v>104.69223007063573</v>
      </c>
      <c r="BA15" s="40">
        <v>20.98</v>
      </c>
      <c r="BB15" s="47">
        <f t="shared" si="32"/>
        <v>105.85267406659939</v>
      </c>
      <c r="BC15" s="40">
        <v>20.239999999999998</v>
      </c>
      <c r="BD15" s="47">
        <f t="shared" si="33"/>
        <v>102.11907164480323</v>
      </c>
      <c r="BE15" s="40">
        <v>19.399999999999999</v>
      </c>
      <c r="BF15" s="47">
        <f t="shared" si="34"/>
        <v>97.880928355196758</v>
      </c>
    </row>
    <row r="16" spans="2:58" s="95" customFormat="1" ht="12.75" customHeight="1" x14ac:dyDescent="0.25">
      <c r="B16" s="3">
        <v>80</v>
      </c>
      <c r="C16" s="3"/>
      <c r="D16" s="3"/>
      <c r="E16" s="3">
        <v>0</v>
      </c>
      <c r="F16" s="1"/>
      <c r="G16" s="2" t="s">
        <v>145</v>
      </c>
      <c r="H16" s="3"/>
      <c r="J16" s="367" t="s">
        <v>1312</v>
      </c>
      <c r="K16" s="58" t="s">
        <v>1011</v>
      </c>
      <c r="L16" s="55">
        <v>20.260000000000002</v>
      </c>
      <c r="M16" s="40">
        <v>19.79</v>
      </c>
      <c r="N16" s="41">
        <f t="shared" si="12"/>
        <v>97.680157946692987</v>
      </c>
      <c r="O16" s="40">
        <v>19.670000000000002</v>
      </c>
      <c r="P16" s="41">
        <f t="shared" si="13"/>
        <v>97.087857847976309</v>
      </c>
      <c r="Q16" s="40">
        <v>20.49</v>
      </c>
      <c r="R16" s="41">
        <f t="shared" si="14"/>
        <v>101.13524185587363</v>
      </c>
      <c r="S16" s="40">
        <v>19.97</v>
      </c>
      <c r="T16" s="41">
        <f t="shared" si="15"/>
        <v>98.56860809476801</v>
      </c>
      <c r="U16" s="40">
        <v>19.87</v>
      </c>
      <c r="V16" s="41">
        <f t="shared" si="16"/>
        <v>98.075024679170781</v>
      </c>
      <c r="W16" s="40">
        <v>20.93</v>
      </c>
      <c r="X16" s="41">
        <f t="shared" si="17"/>
        <v>103.30700888450146</v>
      </c>
      <c r="Y16" s="40">
        <v>21.95</v>
      </c>
      <c r="Z16" s="41">
        <f t="shared" si="18"/>
        <v>108.34155972359328</v>
      </c>
      <c r="AA16" s="40">
        <v>21.39</v>
      </c>
      <c r="AB16" s="41">
        <f t="shared" si="19"/>
        <v>105.57749259624876</v>
      </c>
      <c r="AC16" s="40">
        <v>21.01</v>
      </c>
      <c r="AD16" s="47">
        <f t="shared" si="20"/>
        <v>103.70187561697928</v>
      </c>
      <c r="AE16" s="40">
        <v>19.97</v>
      </c>
      <c r="AF16" s="47">
        <f t="shared" si="21"/>
        <v>98.56860809476801</v>
      </c>
      <c r="AG16" s="40">
        <v>19.760000000000002</v>
      </c>
      <c r="AH16" s="47">
        <f>AG16/L16*100</f>
        <v>97.532082922013814</v>
      </c>
      <c r="AI16" s="40">
        <v>19.7</v>
      </c>
      <c r="AJ16" s="47">
        <f>AI16/L16*100</f>
        <v>97.235932872655468</v>
      </c>
      <c r="AK16" s="40">
        <v>19.579999999999998</v>
      </c>
      <c r="AL16" s="47">
        <f>AK16/L16*100</f>
        <v>96.643632773938776</v>
      </c>
      <c r="AM16" s="40">
        <v>19.95</v>
      </c>
      <c r="AN16" s="47">
        <f>AM16/L16*100</f>
        <v>98.469891411648561</v>
      </c>
      <c r="AO16" s="40">
        <v>18.41</v>
      </c>
      <c r="AP16" s="47">
        <f>AO16/L16*100</f>
        <v>90.868706811451133</v>
      </c>
      <c r="AQ16" s="40">
        <v>19.41</v>
      </c>
      <c r="AR16" s="47">
        <f>AQ16/L16*100</f>
        <v>95.804540967423492</v>
      </c>
      <c r="AS16" s="40">
        <v>20.38</v>
      </c>
      <c r="AT16" s="47">
        <f>AS16/L16*100</f>
        <v>100.59230009871666</v>
      </c>
      <c r="AU16" s="40">
        <v>20.04</v>
      </c>
      <c r="AV16" s="47">
        <f>AU16/L16*100</f>
        <v>98.914116485686066</v>
      </c>
      <c r="AW16" s="40">
        <v>21.08</v>
      </c>
      <c r="AX16" s="47">
        <f>AW16/L16*100</f>
        <v>104.04738400789732</v>
      </c>
      <c r="AY16" s="40">
        <v>20.53</v>
      </c>
      <c r="AZ16" s="47">
        <f>AY16/L16*100</f>
        <v>101.33267522211253</v>
      </c>
      <c r="BA16" s="40">
        <v>20.309999999999999</v>
      </c>
      <c r="BB16" s="47">
        <f>BA16/L16*100</f>
        <v>100.24679170779859</v>
      </c>
      <c r="BC16" s="40">
        <v>20.36</v>
      </c>
      <c r="BD16" s="47">
        <f>BC16/L16*100</f>
        <v>100.49358341559721</v>
      </c>
      <c r="BE16" s="40">
        <v>20.66</v>
      </c>
      <c r="BF16" s="47">
        <f>BE16/L16*100</f>
        <v>101.97433366238893</v>
      </c>
    </row>
    <row r="17" spans="2:58" s="95" customFormat="1" ht="12.75" customHeight="1" x14ac:dyDescent="0.25">
      <c r="B17" s="95" t="s">
        <v>170</v>
      </c>
      <c r="F17" s="1"/>
      <c r="G17" s="2" t="s">
        <v>142</v>
      </c>
      <c r="H17" s="3">
        <v>12.34</v>
      </c>
      <c r="J17" s="367"/>
      <c r="K17" s="58" t="s">
        <v>1012</v>
      </c>
      <c r="L17" s="55">
        <v>20.62</v>
      </c>
      <c r="M17" s="40">
        <v>20.78</v>
      </c>
      <c r="N17" s="41">
        <f t="shared" si="12"/>
        <v>100.77594568380212</v>
      </c>
      <c r="O17" s="40">
        <v>20.28</v>
      </c>
      <c r="P17" s="41">
        <f t="shared" si="13"/>
        <v>98.351115421920468</v>
      </c>
      <c r="Q17" s="40">
        <v>21.71</v>
      </c>
      <c r="R17" s="41">
        <f t="shared" si="14"/>
        <v>105.28612997090204</v>
      </c>
      <c r="S17" s="40">
        <v>20.82</v>
      </c>
      <c r="T17" s="41">
        <f t="shared" si="15"/>
        <v>100.96993210475267</v>
      </c>
      <c r="U17" s="40">
        <v>20.75</v>
      </c>
      <c r="V17" s="41">
        <f t="shared" si="16"/>
        <v>100.63045586808923</v>
      </c>
      <c r="W17" s="40">
        <v>22.95</v>
      </c>
      <c r="X17" s="41">
        <f t="shared" si="17"/>
        <v>111.29970902036857</v>
      </c>
      <c r="Y17" s="40">
        <v>23.4</v>
      </c>
      <c r="Z17" s="41">
        <f t="shared" si="18"/>
        <v>113.48205625606207</v>
      </c>
      <c r="AA17" s="40">
        <v>22.08</v>
      </c>
      <c r="AB17" s="41">
        <f t="shared" si="19"/>
        <v>107.08050436469445</v>
      </c>
      <c r="AC17" s="40">
        <v>21.95</v>
      </c>
      <c r="AD17" s="47">
        <f t="shared" si="20"/>
        <v>106.45004849660522</v>
      </c>
      <c r="AE17" s="40">
        <v>19.75</v>
      </c>
      <c r="AF17" s="47">
        <f t="shared" si="21"/>
        <v>95.780795344325895</v>
      </c>
      <c r="AG17" s="40">
        <v>20.07</v>
      </c>
      <c r="AH17" s="47">
        <f>AG17/L17*100</f>
        <v>97.332686711930165</v>
      </c>
      <c r="AI17" s="40">
        <v>20.86</v>
      </c>
      <c r="AJ17" s="47">
        <f>AI17/L17*100</f>
        <v>101.1639185257032</v>
      </c>
      <c r="AK17" s="40">
        <v>20.05</v>
      </c>
      <c r="AL17" s="47">
        <f>AK17/L17*100</f>
        <v>97.235693501454904</v>
      </c>
      <c r="AM17" s="40">
        <v>20.22</v>
      </c>
      <c r="AN17" s="47">
        <f>AM17/L17*100</f>
        <v>98.060135790494655</v>
      </c>
      <c r="AO17" s="40">
        <v>20.71</v>
      </c>
      <c r="AP17" s="47">
        <f>AO17/L17*100</f>
        <v>100.43646944713871</v>
      </c>
      <c r="AQ17" s="40">
        <v>20.190000000000001</v>
      </c>
      <c r="AR17" s="47">
        <f>AQ17/L17*100</f>
        <v>97.914645974781763</v>
      </c>
      <c r="AS17" s="40">
        <v>21.08</v>
      </c>
      <c r="AT17" s="47">
        <f>AS17/L17*100</f>
        <v>102.23084384093113</v>
      </c>
      <c r="AU17" s="40">
        <v>21.29</v>
      </c>
      <c r="AV17" s="47">
        <f>AU17/L17*100</f>
        <v>103.24927255092142</v>
      </c>
      <c r="AW17" s="40">
        <v>22.12</v>
      </c>
      <c r="AX17" s="47">
        <f>AW17/L17*100</f>
        <v>107.274490785645</v>
      </c>
      <c r="AY17" s="40">
        <v>21.26</v>
      </c>
      <c r="AZ17" s="47">
        <f>AY17/L17*100</f>
        <v>103.10378273520855</v>
      </c>
      <c r="BA17" s="40">
        <v>22.01</v>
      </c>
      <c r="BB17" s="47">
        <f>BA17/L17*100</f>
        <v>106.74102812803103</v>
      </c>
      <c r="BC17" s="40">
        <v>21.99</v>
      </c>
      <c r="BD17" s="47">
        <f>BC17/L17*100</f>
        <v>106.64403491755576</v>
      </c>
      <c r="BE17" s="40">
        <v>22.07</v>
      </c>
      <c r="BF17" s="47">
        <f>BE17/L17*100</f>
        <v>107.03200775945683</v>
      </c>
    </row>
    <row r="18" spans="2:58" s="95" customFormat="1" ht="12.75" customHeight="1" x14ac:dyDescent="0.25">
      <c r="F18" s="1"/>
      <c r="G18" s="2" t="s">
        <v>143</v>
      </c>
      <c r="H18" s="3">
        <v>1</v>
      </c>
      <c r="J18" s="367"/>
      <c r="K18" s="58" t="s">
        <v>1013</v>
      </c>
      <c r="L18" s="55">
        <v>22.35</v>
      </c>
      <c r="M18" s="40">
        <v>21.97</v>
      </c>
      <c r="N18" s="41">
        <f t="shared" si="12"/>
        <v>98.299776286353463</v>
      </c>
      <c r="O18" s="40">
        <v>21.59</v>
      </c>
      <c r="P18" s="41">
        <f t="shared" si="13"/>
        <v>96.599552572706926</v>
      </c>
      <c r="Q18" s="40">
        <v>21.75</v>
      </c>
      <c r="R18" s="41">
        <f t="shared" si="14"/>
        <v>97.315436241610726</v>
      </c>
      <c r="S18" s="40">
        <v>21.46</v>
      </c>
      <c r="T18" s="41">
        <f t="shared" si="15"/>
        <v>96.017897091722588</v>
      </c>
      <c r="U18" s="40">
        <v>21.66</v>
      </c>
      <c r="V18" s="41">
        <f t="shared" si="16"/>
        <v>96.912751677852356</v>
      </c>
      <c r="W18" s="40">
        <v>21.3</v>
      </c>
      <c r="X18" s="41">
        <f t="shared" si="17"/>
        <v>95.302013422818789</v>
      </c>
      <c r="Y18" s="40">
        <v>22.04</v>
      </c>
      <c r="Z18" s="41">
        <f t="shared" ref="Z18" si="35">Y18/L18*100</f>
        <v>98.612975391498864</v>
      </c>
      <c r="AA18" s="40">
        <v>22.86</v>
      </c>
      <c r="AB18" s="41">
        <f t="shared" ref="AB18" si="36">AA18/L18*100</f>
        <v>102.28187919463085</v>
      </c>
      <c r="AC18" s="40">
        <v>20.5</v>
      </c>
      <c r="AD18" s="47">
        <f t="shared" ref="AD18" si="37">AC18/L18*100</f>
        <v>91.722595078299776</v>
      </c>
      <c r="AE18" s="40">
        <v>18.73</v>
      </c>
      <c r="AF18" s="47">
        <f t="shared" ref="AF18" si="38">AE18/L18*100</f>
        <v>83.803131991051444</v>
      </c>
      <c r="AG18" s="40">
        <v>18.66</v>
      </c>
      <c r="AH18" s="47">
        <f>AG18/L18*100</f>
        <v>83.489932885906043</v>
      </c>
      <c r="AI18" s="40">
        <v>19.12</v>
      </c>
      <c r="AJ18" s="47">
        <f>AI18/L18*100</f>
        <v>85.548098434004473</v>
      </c>
      <c r="AK18" s="40">
        <v>20.170000000000002</v>
      </c>
      <c r="AL18" s="47">
        <f>AK18/L18*100</f>
        <v>90.246085011185684</v>
      </c>
      <c r="AM18" s="40">
        <v>19.510000000000002</v>
      </c>
      <c r="AN18" s="47">
        <f>AM18/L18*100</f>
        <v>87.293064876957487</v>
      </c>
      <c r="AO18" s="40">
        <v>18.14</v>
      </c>
      <c r="AP18" s="47">
        <f>AO18/L18*100</f>
        <v>81.163310961968676</v>
      </c>
      <c r="AQ18" s="40">
        <v>19.22</v>
      </c>
      <c r="AR18" s="47">
        <f>AQ18/L18*100</f>
        <v>85.995525727069349</v>
      </c>
      <c r="AS18" s="40">
        <v>19.71</v>
      </c>
      <c r="AT18" s="47">
        <f>AS18/L18*100</f>
        <v>88.187919463087255</v>
      </c>
      <c r="AU18" s="40">
        <v>19.82</v>
      </c>
      <c r="AV18" s="47">
        <f>AU18/L18*100</f>
        <v>88.680089485458609</v>
      </c>
      <c r="AW18" s="40">
        <v>21.63</v>
      </c>
      <c r="AX18" s="47">
        <f>AW18/L18*100</f>
        <v>96.77852348993288</v>
      </c>
      <c r="AY18" s="40">
        <v>20.71</v>
      </c>
      <c r="AZ18" s="47">
        <f>AY18/L18*100</f>
        <v>92.662192393736021</v>
      </c>
      <c r="BA18" s="40">
        <v>21.32</v>
      </c>
      <c r="BB18" s="47">
        <f>BA18/L18*100</f>
        <v>95.391498881431758</v>
      </c>
      <c r="BC18" s="40">
        <v>20.53</v>
      </c>
      <c r="BD18" s="47">
        <f>BC18/L18*100</f>
        <v>91.856823266219237</v>
      </c>
      <c r="BE18" s="40">
        <v>20.23</v>
      </c>
      <c r="BF18" s="47">
        <f>BE18/L18*100</f>
        <v>90.514541387024607</v>
      </c>
    </row>
    <row r="19" spans="2:58" s="95" customFormat="1" ht="12.75" customHeight="1" x14ac:dyDescent="0.25">
      <c r="F19" s="1"/>
      <c r="G19" s="2" t="s">
        <v>47</v>
      </c>
      <c r="H19" s="3">
        <v>4.0000000000000002E-4</v>
      </c>
      <c r="J19" s="367"/>
      <c r="K19" s="58" t="s">
        <v>1014</v>
      </c>
      <c r="L19" s="55">
        <v>19.21</v>
      </c>
      <c r="M19" s="40">
        <v>18.63</v>
      </c>
      <c r="N19" s="41">
        <f t="shared" si="12"/>
        <v>96.980739198334192</v>
      </c>
      <c r="O19" s="40">
        <v>18.97</v>
      </c>
      <c r="P19" s="41">
        <f t="shared" si="13"/>
        <v>98.750650702758975</v>
      </c>
      <c r="Q19" s="40">
        <v>19.7</v>
      </c>
      <c r="R19" s="41">
        <f t="shared" si="14"/>
        <v>102.55075481520042</v>
      </c>
      <c r="S19" s="40">
        <v>19.57</v>
      </c>
      <c r="T19" s="41">
        <f t="shared" si="15"/>
        <v>101.87402394586154</v>
      </c>
      <c r="U19" s="40">
        <v>18.78</v>
      </c>
      <c r="V19" s="41">
        <f t="shared" si="16"/>
        <v>97.761582509109843</v>
      </c>
      <c r="W19" s="40">
        <v>21.42</v>
      </c>
      <c r="X19" s="41">
        <f t="shared" si="17"/>
        <v>111.50442477876106</v>
      </c>
      <c r="Y19" s="40">
        <v>20.81</v>
      </c>
      <c r="Z19" s="41">
        <f>Y19/L19*100</f>
        <v>108.32899531494012</v>
      </c>
      <c r="AA19" s="40">
        <v>19.420000000000002</v>
      </c>
      <c r="AB19" s="41">
        <f>AA19/L19*100</f>
        <v>101.0931806350859</v>
      </c>
      <c r="AC19" s="40">
        <v>19.48</v>
      </c>
      <c r="AD19" s="47">
        <f>AC19/L19*100</f>
        <v>101.40551795939614</v>
      </c>
      <c r="AE19" s="40">
        <v>19.86</v>
      </c>
      <c r="AF19" s="47">
        <f>AE19/L19*100</f>
        <v>103.38365434669443</v>
      </c>
      <c r="AG19" s="40">
        <v>19.149999999999999</v>
      </c>
      <c r="AH19" s="47">
        <f>AG19/L19*100</f>
        <v>99.687662675689737</v>
      </c>
      <c r="AI19" s="40">
        <v>19.170000000000002</v>
      </c>
      <c r="AJ19" s="47">
        <f>AI19/L19*100</f>
        <v>99.791775117126505</v>
      </c>
      <c r="AK19" s="40">
        <v>19.05</v>
      </c>
      <c r="AL19" s="47">
        <f>AK19/L19*100</f>
        <v>99.167100468505993</v>
      </c>
      <c r="AM19" s="40">
        <v>18.5</v>
      </c>
      <c r="AN19" s="47">
        <f>AM19/L19*100</f>
        <v>96.304008328995309</v>
      </c>
      <c r="AO19" s="40">
        <v>19.010000000000002</v>
      </c>
      <c r="AP19" s="47">
        <f>AO19/L19*100</f>
        <v>98.958875585632484</v>
      </c>
      <c r="AQ19" s="40">
        <v>19.61</v>
      </c>
      <c r="AR19" s="47">
        <f>AQ19/L19*100</f>
        <v>102.08224882873502</v>
      </c>
      <c r="AS19" s="40">
        <v>20.48</v>
      </c>
      <c r="AT19" s="47">
        <f>AS19/L19*100</f>
        <v>106.61114003123373</v>
      </c>
      <c r="AU19" s="40">
        <v>20.04</v>
      </c>
      <c r="AV19" s="47">
        <f>AU19/L19*100</f>
        <v>104.32066631962518</v>
      </c>
      <c r="AW19" s="40">
        <v>21.17</v>
      </c>
      <c r="AX19" s="47">
        <f>AW19/L19*100</f>
        <v>110.20301926080167</v>
      </c>
      <c r="AY19" s="40">
        <v>20.8</v>
      </c>
      <c r="AZ19" s="47">
        <f>AY19/L19*100</f>
        <v>108.27693909422176</v>
      </c>
      <c r="BA19" s="40">
        <v>20.96</v>
      </c>
      <c r="BB19" s="47">
        <f>BA19/L19*100</f>
        <v>109.10983862571577</v>
      </c>
      <c r="BC19" s="40">
        <v>21.42</v>
      </c>
      <c r="BD19" s="47">
        <f>BC19/L19*100</f>
        <v>111.50442477876106</v>
      </c>
      <c r="BE19" s="40">
        <v>22.12</v>
      </c>
      <c r="BF19" s="47">
        <f>BE19/L19*100</f>
        <v>115.14836022904737</v>
      </c>
    </row>
    <row r="20" spans="2:58" s="95" customFormat="1" ht="12.75" customHeight="1" x14ac:dyDescent="0.25">
      <c r="F20" s="1"/>
      <c r="G20" s="2" t="s">
        <v>49</v>
      </c>
      <c r="H20" s="3" t="s">
        <v>50</v>
      </c>
      <c r="J20" s="367"/>
      <c r="K20" s="58" t="s">
        <v>993</v>
      </c>
      <c r="L20" s="55">
        <v>22.13</v>
      </c>
      <c r="M20" s="40">
        <v>21.61</v>
      </c>
      <c r="N20" s="41">
        <f t="shared" si="12"/>
        <v>97.650248531405339</v>
      </c>
      <c r="O20" s="40">
        <v>21.53</v>
      </c>
      <c r="P20" s="41">
        <f t="shared" si="13"/>
        <v>97.288748305467692</v>
      </c>
      <c r="Q20" s="40">
        <v>22.12</v>
      </c>
      <c r="R20" s="41">
        <f t="shared" si="14"/>
        <v>99.954812471757805</v>
      </c>
      <c r="S20" s="40">
        <v>21.83</v>
      </c>
      <c r="T20" s="41">
        <f t="shared" si="15"/>
        <v>98.644374152733832</v>
      </c>
      <c r="U20" s="40">
        <v>20.440000000000001</v>
      </c>
      <c r="V20" s="41">
        <f t="shared" si="16"/>
        <v>92.363307727067337</v>
      </c>
      <c r="W20" s="40">
        <v>23.22</v>
      </c>
      <c r="X20" s="41">
        <f t="shared" si="17"/>
        <v>104.92544057840037</v>
      </c>
      <c r="Y20" s="40">
        <v>22.7</v>
      </c>
      <c r="Z20" s="41">
        <f>Y20/L20*100</f>
        <v>102.57568910980569</v>
      </c>
      <c r="AA20" s="40">
        <v>23.67</v>
      </c>
      <c r="AB20" s="41">
        <f>AA20/L20*100</f>
        <v>106.95887934929959</v>
      </c>
      <c r="AC20" s="40">
        <v>23.58</v>
      </c>
      <c r="AD20" s="47">
        <f>AC20/L20*100</f>
        <v>106.55219159511975</v>
      </c>
      <c r="AE20" s="40">
        <v>21</v>
      </c>
      <c r="AF20" s="47">
        <f>AE20/L20*100</f>
        <v>94.893809308630821</v>
      </c>
      <c r="AG20" s="40">
        <v>20.16</v>
      </c>
      <c r="AH20" s="47">
        <f>AG20/L20*100</f>
        <v>91.098056936285587</v>
      </c>
      <c r="AI20" s="40">
        <v>19.309999999999999</v>
      </c>
      <c r="AJ20" s="47">
        <f>AI20/L20*100</f>
        <v>87.257117035698144</v>
      </c>
      <c r="AK20" s="40">
        <v>19.28</v>
      </c>
      <c r="AL20" s="47">
        <f>AK20/L20*100</f>
        <v>87.121554450971544</v>
      </c>
      <c r="AM20" s="40">
        <v>19.68</v>
      </c>
      <c r="AN20" s="47">
        <f>AM20/L20*100</f>
        <v>88.92905558065975</v>
      </c>
      <c r="AO20" s="40">
        <v>18.43</v>
      </c>
      <c r="AP20" s="47">
        <f>AO20/L20*100</f>
        <v>83.280614550384087</v>
      </c>
      <c r="AQ20" s="40">
        <v>19.07</v>
      </c>
      <c r="AR20" s="47">
        <f>AQ20/L20*100</f>
        <v>86.172616357885218</v>
      </c>
      <c r="AS20" s="40">
        <v>20.66</v>
      </c>
      <c r="AT20" s="47">
        <f>AS20/L20*100</f>
        <v>93.357433348395844</v>
      </c>
      <c r="AU20" s="40">
        <v>20.69</v>
      </c>
      <c r="AV20" s="47">
        <f>AU20/L20*100</f>
        <v>93.492995933122472</v>
      </c>
      <c r="AW20" s="40">
        <v>21.47</v>
      </c>
      <c r="AX20" s="47">
        <f>AW20/L20*100</f>
        <v>97.017623136014464</v>
      </c>
      <c r="AY20" s="40">
        <v>21.07</v>
      </c>
      <c r="AZ20" s="47">
        <f>AY20/L20*100</f>
        <v>95.210122006326259</v>
      </c>
      <c r="BA20" s="40">
        <v>21.29</v>
      </c>
      <c r="BB20" s="47">
        <f>BA20/L20*100</f>
        <v>96.204247627654766</v>
      </c>
      <c r="BC20" s="40">
        <v>20.87</v>
      </c>
      <c r="BD20" s="47">
        <f>BC20/L20*100</f>
        <v>94.306371441482156</v>
      </c>
      <c r="BE20" s="40">
        <v>21.6</v>
      </c>
      <c r="BF20" s="47">
        <f>BE20/L20*100</f>
        <v>97.605061003163144</v>
      </c>
    </row>
    <row r="21" spans="2:58" s="95" customFormat="1" ht="12.75" customHeight="1" x14ac:dyDescent="0.3">
      <c r="F21" s="1"/>
      <c r="G21" s="2" t="s">
        <v>147</v>
      </c>
      <c r="H21" s="3" t="s">
        <v>52</v>
      </c>
      <c r="J21" s="1"/>
      <c r="K21" s="264"/>
      <c r="L21" s="265" t="s">
        <v>13</v>
      </c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</row>
    <row r="22" spans="2:58" s="95" customFormat="1" ht="12.75" customHeight="1" x14ac:dyDescent="0.3">
      <c r="F22" s="1"/>
      <c r="G22" s="1"/>
      <c r="H22" s="1"/>
      <c r="K22" s="264"/>
      <c r="L22" s="266" t="s">
        <v>107</v>
      </c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</row>
    <row r="23" spans="2:58" s="95" customFormat="1" ht="12.75" customHeight="1" x14ac:dyDescent="0.25">
      <c r="F23" s="1"/>
      <c r="G23" s="1"/>
      <c r="H23" s="1"/>
      <c r="K23" s="96"/>
      <c r="L23" s="98"/>
      <c r="M23" s="98"/>
      <c r="N23" s="98"/>
    </row>
    <row r="24" spans="2:58" s="95" customFormat="1" ht="12.75" customHeight="1" x14ac:dyDescent="0.3">
      <c r="F24" s="1"/>
      <c r="G24" s="7" t="s">
        <v>140</v>
      </c>
      <c r="H24" s="8" t="s">
        <v>1551</v>
      </c>
      <c r="J24" s="5"/>
      <c r="K24" s="96"/>
      <c r="L24" s="98"/>
      <c r="M24" s="98"/>
      <c r="N24" s="98"/>
    </row>
    <row r="25" spans="2:58" s="95" customFormat="1" ht="12.75" customHeight="1" x14ac:dyDescent="0.25">
      <c r="F25" s="1"/>
      <c r="G25" s="2"/>
      <c r="H25" s="3"/>
      <c r="J25" s="5"/>
      <c r="K25" s="96"/>
      <c r="L25" s="98"/>
      <c r="M25" s="98"/>
      <c r="N25" s="98"/>
    </row>
    <row r="26" spans="2:58" s="95" customFormat="1" ht="12.75" customHeight="1" x14ac:dyDescent="0.25">
      <c r="F26" s="1"/>
      <c r="G26" s="2" t="s">
        <v>141</v>
      </c>
      <c r="H26" s="3"/>
      <c r="J26" s="5"/>
      <c r="K26" s="96"/>
      <c r="L26" s="98"/>
      <c r="M26" s="98"/>
      <c r="N26" s="98"/>
    </row>
    <row r="27" spans="2:58" s="95" customFormat="1" ht="12.75" customHeight="1" x14ac:dyDescent="0.25">
      <c r="F27" s="1"/>
      <c r="G27" s="2" t="s">
        <v>142</v>
      </c>
      <c r="H27" s="3">
        <v>1</v>
      </c>
      <c r="J27" s="5"/>
      <c r="K27" s="96"/>
      <c r="L27" s="98"/>
      <c r="M27" s="98"/>
      <c r="N27" s="98"/>
    </row>
    <row r="28" spans="2:58" s="95" customFormat="1" ht="12.75" customHeight="1" x14ac:dyDescent="0.25">
      <c r="F28" s="1"/>
      <c r="G28" s="2" t="s">
        <v>143</v>
      </c>
      <c r="H28" s="3">
        <v>1</v>
      </c>
      <c r="J28" s="5"/>
      <c r="K28" s="96"/>
      <c r="L28" s="98"/>
      <c r="M28" s="98"/>
      <c r="N28" s="98"/>
    </row>
    <row r="29" spans="2:58" s="95" customFormat="1" ht="12.75" customHeight="1" x14ac:dyDescent="0.3">
      <c r="F29" s="1"/>
      <c r="G29" s="7" t="s">
        <v>47</v>
      </c>
      <c r="H29" s="8">
        <v>0.31730000000000003</v>
      </c>
      <c r="J29" s="5"/>
      <c r="K29" s="96"/>
      <c r="L29" s="98"/>
      <c r="M29" s="98"/>
      <c r="N29" s="98"/>
    </row>
    <row r="30" spans="2:58" s="95" customFormat="1" ht="12.75" customHeight="1" x14ac:dyDescent="0.3">
      <c r="F30" s="1"/>
      <c r="G30" s="7" t="s">
        <v>49</v>
      </c>
      <c r="H30" s="8" t="s">
        <v>203</v>
      </c>
      <c r="J30" s="5"/>
      <c r="K30" s="96"/>
      <c r="L30" s="98"/>
      <c r="M30" s="98"/>
      <c r="N30" s="98"/>
    </row>
    <row r="31" spans="2:58" s="95" customFormat="1" ht="12.75" customHeight="1" x14ac:dyDescent="0.25">
      <c r="G31" s="2" t="s">
        <v>144</v>
      </c>
      <c r="H31" s="3" t="s">
        <v>204</v>
      </c>
      <c r="J31" s="5"/>
      <c r="K31" s="96"/>
      <c r="L31" s="98"/>
      <c r="M31" s="98"/>
      <c r="N31" s="98"/>
    </row>
    <row r="32" spans="2:58" ht="12.75" customHeight="1" x14ac:dyDescent="0.3"/>
    <row r="33" ht="12.75" customHeight="1" x14ac:dyDescent="0.3"/>
    <row r="34" ht="12.75" customHeight="1" x14ac:dyDescent="0.3"/>
    <row r="37" ht="16.5" customHeight="1" x14ac:dyDescent="0.3"/>
  </sheetData>
  <mergeCells count="26">
    <mergeCell ref="AC4:AD4"/>
    <mergeCell ref="AE4:AF4"/>
    <mergeCell ref="AG4:AH4"/>
    <mergeCell ref="AI4:AJ4"/>
    <mergeCell ref="J16:J20"/>
    <mergeCell ref="J11:J15"/>
    <mergeCell ref="Y4:Z4"/>
    <mergeCell ref="J6:J10"/>
    <mergeCell ref="AA4:AB4"/>
    <mergeCell ref="M4:N4"/>
    <mergeCell ref="O4:P4"/>
    <mergeCell ref="Q4:R4"/>
    <mergeCell ref="S4:T4"/>
    <mergeCell ref="U4:V4"/>
    <mergeCell ref="W4:X4"/>
    <mergeCell ref="AK4:AL4"/>
    <mergeCell ref="BA4:BB4"/>
    <mergeCell ref="BC4:BD4"/>
    <mergeCell ref="BE4:BF4"/>
    <mergeCell ref="AO4:AP4"/>
    <mergeCell ref="AQ4:AR4"/>
    <mergeCell ref="AS4:AT4"/>
    <mergeCell ref="AU4:AV4"/>
    <mergeCell ref="AW4:AX4"/>
    <mergeCell ref="AY4:AZ4"/>
    <mergeCell ref="AM4:AN4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6437-24C2-4F3A-8AC6-52FE58871AF4}">
  <dimension ref="B2:AE53"/>
  <sheetViews>
    <sheetView zoomScale="90" zoomScaleNormal="90" workbookViewId="0">
      <selection activeCell="E40" sqref="E40"/>
    </sheetView>
  </sheetViews>
  <sheetFormatPr defaultColWidth="9" defaultRowHeight="14" x14ac:dyDescent="0.3"/>
  <cols>
    <col min="1" max="3" width="9" style="25"/>
    <col min="4" max="4" width="12.08203125" style="25" bestFit="1" customWidth="1"/>
    <col min="5" max="5" width="10.83203125" style="25" bestFit="1" customWidth="1"/>
    <col min="6" max="6" width="15.08203125" style="25" customWidth="1"/>
    <col min="7" max="7" width="7.5" style="25" customWidth="1"/>
    <col min="8" max="8" width="29" style="25" bestFit="1" customWidth="1"/>
    <col min="9" max="9" width="15.08203125" style="25" customWidth="1"/>
    <col min="10" max="10" width="9" style="25"/>
    <col min="11" max="11" width="18.5" style="37" customWidth="1"/>
    <col min="12" max="12" width="6.33203125" style="35" customWidth="1"/>
    <col min="13" max="14" width="6.5" style="36" customWidth="1"/>
    <col min="15" max="15" width="7.58203125" style="36" customWidth="1"/>
    <col min="16" max="16" width="6" style="25" bestFit="1" customWidth="1"/>
    <col min="17" max="17" width="6.75" style="25" customWidth="1"/>
    <col min="18" max="18" width="6" style="25" bestFit="1" customWidth="1"/>
    <col min="19" max="19" width="6.75" style="25" customWidth="1"/>
    <col min="20" max="20" width="6" style="25" bestFit="1" customWidth="1"/>
    <col min="21" max="21" width="6.75" style="25" customWidth="1"/>
    <col min="22" max="22" width="6" style="25" bestFit="1" customWidth="1"/>
    <col min="23" max="23" width="6.75" style="25" customWidth="1"/>
    <col min="24" max="24" width="6" style="25" bestFit="1" customWidth="1"/>
    <col min="25" max="25" width="6.75" style="25" customWidth="1"/>
    <col min="26" max="26" width="6" style="25" bestFit="1" customWidth="1"/>
    <col min="27" max="27" width="6.75" style="25" customWidth="1"/>
    <col min="28" max="28" width="5.75" style="25" customWidth="1"/>
    <col min="29" max="29" width="6.75" style="25" bestFit="1" customWidth="1"/>
    <col min="30" max="30" width="6" style="25" bestFit="1" customWidth="1"/>
    <col min="31" max="31" width="6.75" style="25" bestFit="1" customWidth="1"/>
    <col min="32" max="16384" width="9" style="25"/>
  </cols>
  <sheetData>
    <row r="2" spans="2:31" s="95" customFormat="1" ht="13" x14ac:dyDescent="0.25">
      <c r="B2" s="100" t="s">
        <v>213</v>
      </c>
      <c r="L2" s="96"/>
      <c r="M2" s="101"/>
      <c r="N2" s="101"/>
    </row>
    <row r="3" spans="2:31" s="95" customFormat="1" ht="13" x14ac:dyDescent="0.3">
      <c r="K3" s="99" t="s">
        <v>148</v>
      </c>
      <c r="L3" s="100"/>
      <c r="M3" s="101"/>
      <c r="N3" s="101"/>
    </row>
    <row r="4" spans="2:31" s="95" customFormat="1" ht="12.5" x14ac:dyDescent="0.25">
      <c r="K4" s="4"/>
      <c r="L4" s="27" t="s">
        <v>72</v>
      </c>
      <c r="M4" s="27" t="s">
        <v>172</v>
      </c>
      <c r="N4" s="357" t="s">
        <v>173</v>
      </c>
      <c r="O4" s="357"/>
      <c r="P4" s="357" t="s">
        <v>102</v>
      </c>
      <c r="Q4" s="357"/>
      <c r="R4" s="357" t="s">
        <v>174</v>
      </c>
      <c r="S4" s="357"/>
      <c r="T4" s="357" t="s">
        <v>103</v>
      </c>
      <c r="U4" s="357"/>
      <c r="V4" s="357" t="s">
        <v>175</v>
      </c>
      <c r="W4" s="357"/>
      <c r="X4" s="357" t="s">
        <v>74</v>
      </c>
      <c r="Y4" s="357"/>
      <c r="Z4" s="357" t="s">
        <v>176</v>
      </c>
      <c r="AA4" s="357"/>
      <c r="AB4" s="357" t="s">
        <v>75</v>
      </c>
      <c r="AC4" s="357"/>
      <c r="AD4" s="357" t="s">
        <v>106</v>
      </c>
      <c r="AE4" s="357"/>
    </row>
    <row r="5" spans="2:31" s="95" customFormat="1" ht="13" x14ac:dyDescent="0.3">
      <c r="B5" s="4" t="s">
        <v>132</v>
      </c>
      <c r="C5" s="4" t="s">
        <v>133</v>
      </c>
      <c r="D5" s="4" t="s">
        <v>137</v>
      </c>
      <c r="E5" s="9" t="s">
        <v>201</v>
      </c>
      <c r="F5" s="4" t="s">
        <v>202</v>
      </c>
      <c r="G5" s="5"/>
      <c r="H5" s="103" t="s">
        <v>71</v>
      </c>
      <c r="K5" s="4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2:31" s="95" customFormat="1" ht="12.5" x14ac:dyDescent="0.25">
      <c r="B6" s="3">
        <v>15</v>
      </c>
      <c r="C6" s="3"/>
      <c r="D6" s="3"/>
      <c r="E6" s="3">
        <v>1</v>
      </c>
      <c r="F6" s="3">
        <v>1</v>
      </c>
      <c r="G6" s="1"/>
      <c r="K6" s="354" t="s">
        <v>199</v>
      </c>
      <c r="L6" s="58" t="s">
        <v>177</v>
      </c>
      <c r="M6" s="39">
        <v>19.440000000000001</v>
      </c>
      <c r="N6" s="40">
        <v>18.91</v>
      </c>
      <c r="O6" s="41">
        <f t="shared" ref="O6:O22" si="0">N6/M6*100</f>
        <v>97.273662551440324</v>
      </c>
      <c r="P6" s="40">
        <v>19.21</v>
      </c>
      <c r="Q6" s="41">
        <f>P6/M6*100</f>
        <v>98.81687242798354</v>
      </c>
      <c r="R6" s="40">
        <v>19.239999999999998</v>
      </c>
      <c r="S6" s="41">
        <f>R6/M6*100</f>
        <v>98.971193415637842</v>
      </c>
      <c r="T6" s="40">
        <v>19.37</v>
      </c>
      <c r="U6" s="41">
        <f>T6/M6*100</f>
        <v>99.639917695473244</v>
      </c>
      <c r="V6" s="40">
        <v>19.43</v>
      </c>
      <c r="W6" s="41">
        <f>V6/M6*100</f>
        <v>99.94855967078189</v>
      </c>
      <c r="X6" s="40">
        <v>19.48</v>
      </c>
      <c r="Y6" s="41">
        <f>X6/M6*100</f>
        <v>100.20576131687243</v>
      </c>
      <c r="Z6" s="40">
        <v>20.14</v>
      </c>
      <c r="AA6" s="41">
        <f>Z6/M6*100</f>
        <v>103.60082304526748</v>
      </c>
      <c r="AB6" s="40">
        <v>20.28</v>
      </c>
      <c r="AC6" s="41">
        <f>AB6/M6*100</f>
        <v>104.32098765432099</v>
      </c>
      <c r="AD6" s="40">
        <v>19.53</v>
      </c>
      <c r="AE6" s="41">
        <f>AD6/M6*100</f>
        <v>100.46296296296295</v>
      </c>
    </row>
    <row r="7" spans="2:31" s="95" customFormat="1" ht="13" x14ac:dyDescent="0.3">
      <c r="B7" s="3">
        <v>15</v>
      </c>
      <c r="C7" s="3"/>
      <c r="D7" s="3"/>
      <c r="E7" s="3"/>
      <c r="F7" s="3">
        <v>1</v>
      </c>
      <c r="G7" s="1"/>
      <c r="H7" s="7" t="s">
        <v>140</v>
      </c>
      <c r="I7" s="3"/>
      <c r="K7" s="354"/>
      <c r="L7" s="58" t="s">
        <v>178</v>
      </c>
      <c r="M7" s="39">
        <v>19.09</v>
      </c>
      <c r="N7" s="40">
        <v>18.809999999999999</v>
      </c>
      <c r="O7" s="41">
        <f t="shared" si="0"/>
        <v>98.53326348873756</v>
      </c>
      <c r="P7" s="40">
        <v>18.420000000000002</v>
      </c>
      <c r="Q7" s="41">
        <f t="shared" ref="Q7:Q23" si="1">P7/M7*100</f>
        <v>96.490309062336308</v>
      </c>
      <c r="R7" s="40">
        <v>18.73</v>
      </c>
      <c r="S7" s="41">
        <f t="shared" ref="S7:S23" si="2">R7/M7*100</f>
        <v>98.114195914091155</v>
      </c>
      <c r="T7" s="40">
        <v>19.170000000000002</v>
      </c>
      <c r="U7" s="41">
        <f t="shared" ref="U7:U23" si="3">T7/M7*100</f>
        <v>100.41906757464642</v>
      </c>
      <c r="V7" s="40">
        <v>19.170000000000002</v>
      </c>
      <c r="W7" s="41">
        <f t="shared" ref="W7:W19" si="4">V7/M7*100</f>
        <v>100.41906757464642</v>
      </c>
      <c r="X7" s="40">
        <v>19.510000000000002</v>
      </c>
      <c r="Y7" s="41">
        <f t="shared" ref="Y7:Y13" si="5">X7/M7*100</f>
        <v>102.20010476689367</v>
      </c>
      <c r="Z7" s="40">
        <v>19.739999999999998</v>
      </c>
      <c r="AA7" s="41">
        <f t="shared" ref="AA7:AA13" si="6">Z7/M7*100</f>
        <v>103.40492404400207</v>
      </c>
      <c r="AB7" s="40">
        <v>19.71</v>
      </c>
      <c r="AC7" s="41">
        <f t="shared" ref="AC7:AC13" si="7">AB7/M7*100</f>
        <v>103.24777370350971</v>
      </c>
      <c r="AD7" s="40">
        <v>19.239999999999998</v>
      </c>
      <c r="AE7" s="41">
        <f t="shared" ref="AE7:AE13" si="8">AD7/M7*100</f>
        <v>100.78575170246202</v>
      </c>
    </row>
    <row r="8" spans="2:31" s="95" customFormat="1" ht="12.5" x14ac:dyDescent="0.25">
      <c r="B8" s="3">
        <v>15</v>
      </c>
      <c r="C8" s="3"/>
      <c r="D8" s="3"/>
      <c r="E8" s="3"/>
      <c r="F8" s="3">
        <v>1</v>
      </c>
      <c r="G8" s="1"/>
      <c r="H8" s="2"/>
      <c r="I8" s="3"/>
      <c r="K8" s="354"/>
      <c r="L8" s="58" t="s">
        <v>179</v>
      </c>
      <c r="M8" s="39">
        <v>19.12</v>
      </c>
      <c r="N8" s="40">
        <v>18.28</v>
      </c>
      <c r="O8" s="41">
        <f t="shared" si="0"/>
        <v>95.606694560669453</v>
      </c>
      <c r="P8" s="40">
        <v>18.23</v>
      </c>
      <c r="Q8" s="41">
        <f t="shared" si="1"/>
        <v>95.345188284518827</v>
      </c>
      <c r="R8" s="40">
        <v>17.95</v>
      </c>
      <c r="S8" s="41">
        <f t="shared" si="2"/>
        <v>93.880753138075306</v>
      </c>
      <c r="T8" s="40">
        <v>19.07</v>
      </c>
      <c r="U8" s="41">
        <f t="shared" si="3"/>
        <v>99.738493723849359</v>
      </c>
      <c r="V8" s="40">
        <v>19.16</v>
      </c>
      <c r="W8" s="41">
        <f t="shared" si="4"/>
        <v>100.20920502092051</v>
      </c>
      <c r="X8" s="40">
        <v>19.309999999999999</v>
      </c>
      <c r="Y8" s="41">
        <f t="shared" si="5"/>
        <v>100.99372384937237</v>
      </c>
      <c r="Z8" s="40">
        <v>19.5</v>
      </c>
      <c r="AA8" s="41">
        <f t="shared" si="6"/>
        <v>101.98744769874477</v>
      </c>
      <c r="AB8" s="40">
        <v>19.45</v>
      </c>
      <c r="AC8" s="41">
        <f t="shared" si="7"/>
        <v>101.72594142259412</v>
      </c>
      <c r="AD8" s="40">
        <v>18.89</v>
      </c>
      <c r="AE8" s="41">
        <f t="shared" si="8"/>
        <v>98.79707112970712</v>
      </c>
    </row>
    <row r="9" spans="2:31" s="95" customFormat="1" ht="12.5" x14ac:dyDescent="0.25">
      <c r="B9" s="3">
        <v>16</v>
      </c>
      <c r="C9" s="3"/>
      <c r="D9" s="3"/>
      <c r="E9" s="3">
        <v>1</v>
      </c>
      <c r="F9" s="3"/>
      <c r="G9" s="1"/>
      <c r="H9" s="2" t="s">
        <v>141</v>
      </c>
      <c r="I9" s="3"/>
      <c r="K9" s="354"/>
      <c r="L9" s="58" t="s">
        <v>180</v>
      </c>
      <c r="M9" s="39">
        <v>20.02</v>
      </c>
      <c r="N9" s="40">
        <v>19.399999999999999</v>
      </c>
      <c r="O9" s="41">
        <f t="shared" si="0"/>
        <v>96.903096903096895</v>
      </c>
      <c r="P9" s="40">
        <v>19.66</v>
      </c>
      <c r="Q9" s="41">
        <f t="shared" si="1"/>
        <v>98.201798201798212</v>
      </c>
      <c r="R9" s="40">
        <v>19.63</v>
      </c>
      <c r="S9" s="41">
        <f t="shared" si="2"/>
        <v>98.051948051948045</v>
      </c>
      <c r="T9" s="40">
        <v>19.71</v>
      </c>
      <c r="U9" s="41">
        <f t="shared" si="3"/>
        <v>98.451548451548447</v>
      </c>
      <c r="V9" s="40">
        <v>20</v>
      </c>
      <c r="W9" s="41">
        <f t="shared" si="4"/>
        <v>99.900099900099903</v>
      </c>
      <c r="X9" s="40">
        <v>20.53</v>
      </c>
      <c r="Y9" s="41">
        <f t="shared" si="5"/>
        <v>102.54745254745255</v>
      </c>
      <c r="Z9" s="40">
        <v>20.02</v>
      </c>
      <c r="AA9" s="41">
        <f t="shared" si="6"/>
        <v>100</v>
      </c>
      <c r="AB9" s="40">
        <v>20.67</v>
      </c>
      <c r="AC9" s="41">
        <f t="shared" si="7"/>
        <v>103.24675324675326</v>
      </c>
      <c r="AD9" s="40">
        <v>20.6</v>
      </c>
      <c r="AE9" s="41">
        <f t="shared" si="8"/>
        <v>102.8971028971029</v>
      </c>
    </row>
    <row r="10" spans="2:31" s="95" customFormat="1" ht="12.5" x14ac:dyDescent="0.25">
      <c r="B10" s="3">
        <v>16</v>
      </c>
      <c r="C10" s="3"/>
      <c r="D10" s="3"/>
      <c r="E10" s="3">
        <v>1</v>
      </c>
      <c r="F10" s="3"/>
      <c r="G10" s="1"/>
      <c r="H10" s="2" t="s">
        <v>142</v>
      </c>
      <c r="I10" s="3">
        <v>15.68</v>
      </c>
      <c r="K10" s="354" t="s">
        <v>200</v>
      </c>
      <c r="L10" s="58" t="s">
        <v>181</v>
      </c>
      <c r="M10" s="39">
        <v>19.61</v>
      </c>
      <c r="N10" s="40">
        <v>19.690000000000001</v>
      </c>
      <c r="O10" s="41">
        <f t="shared" si="0"/>
        <v>100.40795512493628</v>
      </c>
      <c r="P10" s="40">
        <v>19.38</v>
      </c>
      <c r="Q10" s="41">
        <f t="shared" si="1"/>
        <v>98.827129015808254</v>
      </c>
      <c r="R10" s="40">
        <v>19.440000000000001</v>
      </c>
      <c r="S10" s="41">
        <f t="shared" si="2"/>
        <v>99.133095359510463</v>
      </c>
      <c r="T10" s="40">
        <v>20.47</v>
      </c>
      <c r="U10" s="41">
        <f t="shared" si="3"/>
        <v>104.38551759306476</v>
      </c>
      <c r="V10" s="40">
        <v>20.190000000000001</v>
      </c>
      <c r="W10" s="41">
        <f t="shared" si="4"/>
        <v>102.95767465578787</v>
      </c>
      <c r="X10" s="40">
        <v>20.190000000000001</v>
      </c>
      <c r="Y10" s="41">
        <f t="shared" si="5"/>
        <v>102.95767465578787</v>
      </c>
      <c r="Z10" s="40">
        <v>19.12</v>
      </c>
      <c r="AA10" s="41">
        <f t="shared" si="6"/>
        <v>97.501274859765431</v>
      </c>
      <c r="AB10" s="40">
        <v>18.29</v>
      </c>
      <c r="AC10" s="41">
        <f t="shared" si="7"/>
        <v>93.26874043855176</v>
      </c>
      <c r="AD10" s="40">
        <v>17.52</v>
      </c>
      <c r="AE10" s="41">
        <f t="shared" si="8"/>
        <v>89.342172361040284</v>
      </c>
    </row>
    <row r="11" spans="2:31" s="95" customFormat="1" ht="12.5" x14ac:dyDescent="0.25">
      <c r="B11" s="3">
        <v>16</v>
      </c>
      <c r="C11" s="3"/>
      <c r="D11" s="3"/>
      <c r="E11" s="3">
        <v>1</v>
      </c>
      <c r="F11" s="3"/>
      <c r="G11" s="1"/>
      <c r="H11" s="2" t="s">
        <v>143</v>
      </c>
      <c r="I11" s="3">
        <v>3</v>
      </c>
      <c r="K11" s="354"/>
      <c r="L11" s="58" t="s">
        <v>182</v>
      </c>
      <c r="M11" s="39">
        <v>16.739999999999998</v>
      </c>
      <c r="N11" s="40">
        <v>15.99</v>
      </c>
      <c r="O11" s="41">
        <f t="shared" si="0"/>
        <v>95.519713261648747</v>
      </c>
      <c r="P11" s="40">
        <v>16.22</v>
      </c>
      <c r="Q11" s="41">
        <f t="shared" si="1"/>
        <v>96.89366786140981</v>
      </c>
      <c r="R11" s="40">
        <v>16.239999999999998</v>
      </c>
      <c r="S11" s="41">
        <f t="shared" si="2"/>
        <v>97.013142174432502</v>
      </c>
      <c r="T11" s="40">
        <v>17</v>
      </c>
      <c r="U11" s="41">
        <f t="shared" si="3"/>
        <v>101.55316606929512</v>
      </c>
      <c r="V11" s="40">
        <v>17.09</v>
      </c>
      <c r="W11" s="41">
        <f t="shared" si="4"/>
        <v>102.09080047789728</v>
      </c>
      <c r="X11" s="40">
        <v>17.3</v>
      </c>
      <c r="Y11" s="41">
        <f t="shared" si="5"/>
        <v>103.34528076463563</v>
      </c>
      <c r="Z11" s="40">
        <v>17.2</v>
      </c>
      <c r="AA11" s="41">
        <f t="shared" si="6"/>
        <v>102.7479091995221</v>
      </c>
      <c r="AB11" s="40">
        <v>17.62</v>
      </c>
      <c r="AC11" s="41">
        <f t="shared" si="7"/>
        <v>105.25686977299881</v>
      </c>
      <c r="AD11" s="40">
        <v>15.52</v>
      </c>
      <c r="AE11" s="41">
        <f t="shared" si="8"/>
        <v>92.712066905615302</v>
      </c>
    </row>
    <row r="12" spans="2:31" s="95" customFormat="1" ht="13" x14ac:dyDescent="0.3">
      <c r="B12" s="3">
        <v>16</v>
      </c>
      <c r="C12" s="3"/>
      <c r="D12" s="3"/>
      <c r="E12" s="3">
        <v>1</v>
      </c>
      <c r="F12" s="3">
        <v>1</v>
      </c>
      <c r="G12" s="1"/>
      <c r="H12" s="7" t="s">
        <v>47</v>
      </c>
      <c r="I12" s="8">
        <v>1.2999999999999999E-3</v>
      </c>
      <c r="K12" s="354"/>
      <c r="L12" s="58" t="s">
        <v>183</v>
      </c>
      <c r="M12" s="39">
        <v>18.98</v>
      </c>
      <c r="N12" s="40">
        <v>18.559999999999999</v>
      </c>
      <c r="O12" s="41">
        <f t="shared" si="0"/>
        <v>97.787144362486828</v>
      </c>
      <c r="P12" s="40">
        <v>18.84</v>
      </c>
      <c r="Q12" s="41">
        <f t="shared" si="1"/>
        <v>99.262381454162281</v>
      </c>
      <c r="R12" s="40">
        <v>19.09</v>
      </c>
      <c r="S12" s="41">
        <f t="shared" si="2"/>
        <v>100.5795574288725</v>
      </c>
      <c r="T12" s="40">
        <v>19.71</v>
      </c>
      <c r="U12" s="41">
        <f t="shared" si="3"/>
        <v>103.84615384615385</v>
      </c>
      <c r="V12" s="40">
        <v>18.95</v>
      </c>
      <c r="W12" s="41">
        <f t="shared" si="4"/>
        <v>99.841938883034771</v>
      </c>
      <c r="X12" s="40">
        <v>19.72</v>
      </c>
      <c r="Y12" s="41">
        <f t="shared" si="5"/>
        <v>103.89884088514225</v>
      </c>
      <c r="Z12" s="40">
        <v>19.97</v>
      </c>
      <c r="AA12" s="41">
        <f t="shared" si="6"/>
        <v>105.21601685985247</v>
      </c>
      <c r="AB12" s="40">
        <v>20.57</v>
      </c>
      <c r="AC12" s="41">
        <f t="shared" si="7"/>
        <v>108.377239199157</v>
      </c>
      <c r="AD12" s="40">
        <v>20.16</v>
      </c>
      <c r="AE12" s="41">
        <f t="shared" si="8"/>
        <v>106.21707060063224</v>
      </c>
    </row>
    <row r="13" spans="2:31" s="95" customFormat="1" ht="13" x14ac:dyDescent="0.3">
      <c r="B13" s="3">
        <v>17</v>
      </c>
      <c r="C13" s="3"/>
      <c r="D13" s="3"/>
      <c r="E13" s="3"/>
      <c r="F13" s="3">
        <v>1</v>
      </c>
      <c r="G13" s="1"/>
      <c r="H13" s="7" t="s">
        <v>49</v>
      </c>
      <c r="I13" s="8" t="s">
        <v>146</v>
      </c>
      <c r="K13" s="354"/>
      <c r="L13" s="58" t="s">
        <v>184</v>
      </c>
      <c r="M13" s="39">
        <v>17.23</v>
      </c>
      <c r="N13" s="40">
        <v>17.309999999999999</v>
      </c>
      <c r="O13" s="41">
        <f t="shared" si="0"/>
        <v>100.46430644225188</v>
      </c>
      <c r="P13" s="40">
        <v>17</v>
      </c>
      <c r="Q13" s="41">
        <f t="shared" si="1"/>
        <v>98.665118978525825</v>
      </c>
      <c r="R13" s="40">
        <v>17.260000000000002</v>
      </c>
      <c r="S13" s="41">
        <f t="shared" si="2"/>
        <v>100.17411491584447</v>
      </c>
      <c r="T13" s="40">
        <v>18.02</v>
      </c>
      <c r="U13" s="41">
        <f t="shared" si="3"/>
        <v>104.58502611723736</v>
      </c>
      <c r="V13" s="40">
        <v>17.420000000000002</v>
      </c>
      <c r="W13" s="41">
        <f t="shared" si="4"/>
        <v>101.10272780034823</v>
      </c>
      <c r="X13" s="40">
        <v>17.989999999999998</v>
      </c>
      <c r="Y13" s="41">
        <f t="shared" si="5"/>
        <v>104.41091120139289</v>
      </c>
      <c r="Z13" s="40">
        <v>17.5</v>
      </c>
      <c r="AA13" s="41">
        <f t="shared" si="6"/>
        <v>101.56703424260012</v>
      </c>
      <c r="AB13" s="40">
        <v>15.23</v>
      </c>
      <c r="AC13" s="41">
        <f t="shared" si="7"/>
        <v>88.392338943702839</v>
      </c>
      <c r="AD13" s="40">
        <v>15.17</v>
      </c>
      <c r="AE13" s="41">
        <f t="shared" si="8"/>
        <v>88.044109112013928</v>
      </c>
    </row>
    <row r="14" spans="2:31" s="95" customFormat="1" ht="13" x14ac:dyDescent="0.25">
      <c r="B14" s="3">
        <v>40</v>
      </c>
      <c r="C14" s="3">
        <v>0</v>
      </c>
      <c r="D14" s="3">
        <v>0</v>
      </c>
      <c r="E14" s="3"/>
      <c r="F14" s="3"/>
      <c r="G14" s="1"/>
      <c r="H14" s="2" t="s">
        <v>144</v>
      </c>
      <c r="I14" s="3" t="s">
        <v>52</v>
      </c>
      <c r="K14" s="354" t="s">
        <v>857</v>
      </c>
      <c r="L14" s="58" t="s">
        <v>185</v>
      </c>
      <c r="M14" s="39">
        <v>19.579999999999998</v>
      </c>
      <c r="N14" s="40">
        <v>18.72</v>
      </c>
      <c r="O14" s="41">
        <f t="shared" si="0"/>
        <v>95.607763023493362</v>
      </c>
      <c r="P14" s="40">
        <v>17.32</v>
      </c>
      <c r="Q14" s="41">
        <f t="shared" si="1"/>
        <v>88.45760980592442</v>
      </c>
      <c r="R14" s="40">
        <v>16.21</v>
      </c>
      <c r="S14" s="41">
        <f t="shared" si="2"/>
        <v>82.788559754851903</v>
      </c>
      <c r="T14" s="40">
        <v>15.21</v>
      </c>
      <c r="U14" s="41">
        <f t="shared" si="3"/>
        <v>77.681307456588371</v>
      </c>
      <c r="V14" s="40">
        <v>14.21</v>
      </c>
      <c r="W14" s="41">
        <f t="shared" si="4"/>
        <v>72.574055158324839</v>
      </c>
      <c r="X14" s="42" t="s">
        <v>186</v>
      </c>
      <c r="Y14" s="41"/>
      <c r="Z14" s="42"/>
      <c r="AA14" s="41"/>
      <c r="AB14" s="42"/>
      <c r="AC14" s="41"/>
      <c r="AD14" s="42"/>
      <c r="AE14" s="41"/>
    </row>
    <row r="15" spans="2:31" s="95" customFormat="1" ht="13" x14ac:dyDescent="0.25">
      <c r="B15" s="3">
        <v>40</v>
      </c>
      <c r="C15" s="3">
        <v>0</v>
      </c>
      <c r="D15" s="3">
        <v>0</v>
      </c>
      <c r="E15" s="3"/>
      <c r="F15" s="3"/>
      <c r="G15" s="1"/>
      <c r="H15" s="2"/>
      <c r="I15" s="3"/>
      <c r="K15" s="354"/>
      <c r="L15" s="58" t="s">
        <v>187</v>
      </c>
      <c r="M15" s="39">
        <v>17.7</v>
      </c>
      <c r="N15" s="40">
        <v>16.670000000000002</v>
      </c>
      <c r="O15" s="41">
        <f t="shared" si="0"/>
        <v>94.180790960451986</v>
      </c>
      <c r="P15" s="40">
        <v>14.86</v>
      </c>
      <c r="Q15" s="41">
        <f t="shared" si="1"/>
        <v>83.954802259887003</v>
      </c>
      <c r="R15" s="40">
        <v>14</v>
      </c>
      <c r="S15" s="41">
        <f t="shared" si="2"/>
        <v>79.096045197740111</v>
      </c>
      <c r="T15" s="40">
        <v>13.73</v>
      </c>
      <c r="U15" s="41">
        <f t="shared" si="3"/>
        <v>77.570621468926561</v>
      </c>
      <c r="V15" s="40">
        <v>12.98</v>
      </c>
      <c r="W15" s="41">
        <f t="shared" si="4"/>
        <v>73.333333333333343</v>
      </c>
      <c r="X15" s="42" t="s">
        <v>188</v>
      </c>
      <c r="Y15" s="41"/>
      <c r="Z15" s="42"/>
      <c r="AA15" s="41"/>
      <c r="AB15" s="42"/>
      <c r="AC15" s="41"/>
      <c r="AD15" s="42"/>
      <c r="AE15" s="41"/>
    </row>
    <row r="16" spans="2:31" s="95" customFormat="1" ht="13" x14ac:dyDescent="0.25">
      <c r="B16" s="3">
        <v>40</v>
      </c>
      <c r="C16" s="3">
        <v>0</v>
      </c>
      <c r="D16" s="3">
        <v>0</v>
      </c>
      <c r="E16" s="3"/>
      <c r="F16" s="3"/>
      <c r="G16" s="1"/>
      <c r="H16" s="2" t="s">
        <v>145</v>
      </c>
      <c r="I16" s="3"/>
      <c r="K16" s="354"/>
      <c r="L16" s="58" t="s">
        <v>189</v>
      </c>
      <c r="M16" s="39">
        <v>17.649999999999999</v>
      </c>
      <c r="N16" s="40">
        <v>17.010000000000002</v>
      </c>
      <c r="O16" s="41">
        <f t="shared" si="0"/>
        <v>96.373937677053846</v>
      </c>
      <c r="P16" s="40">
        <v>15.59</v>
      </c>
      <c r="Q16" s="41">
        <f t="shared" si="1"/>
        <v>88.328611898017002</v>
      </c>
      <c r="R16" s="40">
        <v>14.71</v>
      </c>
      <c r="S16" s="41">
        <f t="shared" si="2"/>
        <v>83.342776203966025</v>
      </c>
      <c r="T16" s="40">
        <v>13.69</v>
      </c>
      <c r="U16" s="41">
        <f t="shared" si="3"/>
        <v>77.563739376770542</v>
      </c>
      <c r="V16" s="40">
        <v>13.54</v>
      </c>
      <c r="W16" s="41">
        <f t="shared" si="4"/>
        <v>76.713881019830026</v>
      </c>
      <c r="X16" s="42" t="s">
        <v>190</v>
      </c>
      <c r="Y16" s="41"/>
      <c r="Z16" s="42"/>
      <c r="AA16" s="41"/>
      <c r="AB16" s="42"/>
      <c r="AC16" s="41"/>
      <c r="AD16" s="42"/>
      <c r="AE16" s="41"/>
    </row>
    <row r="17" spans="2:31" s="95" customFormat="1" ht="13" x14ac:dyDescent="0.25">
      <c r="B17" s="3">
        <v>40</v>
      </c>
      <c r="C17" s="3">
        <v>0</v>
      </c>
      <c r="D17" s="3">
        <v>0</v>
      </c>
      <c r="E17" s="3"/>
      <c r="F17" s="3"/>
      <c r="G17" s="1"/>
      <c r="H17" s="2" t="s">
        <v>142</v>
      </c>
      <c r="I17" s="3">
        <v>13.32</v>
      </c>
      <c r="K17" s="354"/>
      <c r="L17" s="58" t="s">
        <v>191</v>
      </c>
      <c r="M17" s="39">
        <v>18.18</v>
      </c>
      <c r="N17" s="40">
        <v>17.38</v>
      </c>
      <c r="O17" s="41">
        <f t="shared" si="0"/>
        <v>95.599559955995588</v>
      </c>
      <c r="P17" s="40">
        <v>15.64</v>
      </c>
      <c r="Q17" s="41">
        <f t="shared" si="1"/>
        <v>86.028602860286028</v>
      </c>
      <c r="R17" s="40">
        <v>14.78</v>
      </c>
      <c r="S17" s="41">
        <f t="shared" si="2"/>
        <v>81.298129812981301</v>
      </c>
      <c r="T17" s="40">
        <v>13.72</v>
      </c>
      <c r="U17" s="41">
        <f t="shared" si="3"/>
        <v>75.467546754675467</v>
      </c>
      <c r="V17" s="40">
        <v>13.34</v>
      </c>
      <c r="W17" s="41">
        <f t="shared" si="4"/>
        <v>73.377337733773373</v>
      </c>
      <c r="X17" s="42" t="s">
        <v>190</v>
      </c>
      <c r="Y17" s="41"/>
      <c r="Z17" s="42"/>
      <c r="AA17" s="41"/>
      <c r="AB17" s="42"/>
      <c r="AC17" s="41"/>
      <c r="AD17" s="42"/>
      <c r="AE17" s="41"/>
    </row>
    <row r="18" spans="2:31" s="95" customFormat="1" ht="13" x14ac:dyDescent="0.25">
      <c r="B18" s="3">
        <v>40</v>
      </c>
      <c r="C18" s="3">
        <v>0</v>
      </c>
      <c r="D18" s="3">
        <v>0</v>
      </c>
      <c r="E18" s="3"/>
      <c r="F18" s="3"/>
      <c r="G18" s="1"/>
      <c r="H18" s="2" t="s">
        <v>143</v>
      </c>
      <c r="I18" s="3">
        <v>1</v>
      </c>
      <c r="K18" s="354"/>
      <c r="L18" s="58" t="s">
        <v>192</v>
      </c>
      <c r="M18" s="39">
        <v>17.53</v>
      </c>
      <c r="N18" s="40">
        <v>17.059999999999999</v>
      </c>
      <c r="O18" s="41">
        <f t="shared" si="0"/>
        <v>97.31888191671419</v>
      </c>
      <c r="P18" s="40">
        <v>15.79</v>
      </c>
      <c r="Q18" s="41">
        <f t="shared" si="1"/>
        <v>90.074158585282362</v>
      </c>
      <c r="R18" s="40">
        <v>14.98</v>
      </c>
      <c r="S18" s="41">
        <f t="shared" si="2"/>
        <v>85.453508271534503</v>
      </c>
      <c r="T18" s="40">
        <v>13.79</v>
      </c>
      <c r="U18" s="41">
        <f t="shared" si="3"/>
        <v>78.665145464917273</v>
      </c>
      <c r="V18" s="40">
        <v>12.11</v>
      </c>
      <c r="W18" s="41">
        <f t="shared" si="4"/>
        <v>69.081574443810595</v>
      </c>
      <c r="X18" s="42" t="s">
        <v>190</v>
      </c>
      <c r="Y18" s="41"/>
      <c r="Z18" s="42"/>
      <c r="AA18" s="41"/>
      <c r="AB18" s="42"/>
      <c r="AC18" s="41"/>
      <c r="AD18" s="42"/>
      <c r="AE18" s="41"/>
    </row>
    <row r="19" spans="2:31" s="95" customFormat="1" ht="13" x14ac:dyDescent="0.25">
      <c r="B19" s="95" t="s">
        <v>170</v>
      </c>
      <c r="F19" s="1"/>
      <c r="G19" s="1"/>
      <c r="H19" s="2" t="s">
        <v>47</v>
      </c>
      <c r="I19" s="3">
        <v>2.9999999999999997E-4</v>
      </c>
      <c r="K19" s="354" t="s">
        <v>858</v>
      </c>
      <c r="L19" s="58" t="s">
        <v>193</v>
      </c>
      <c r="M19" s="39">
        <v>17.899999999999999</v>
      </c>
      <c r="N19" s="40">
        <v>16.7</v>
      </c>
      <c r="O19" s="41">
        <f t="shared" si="0"/>
        <v>93.296089385474872</v>
      </c>
      <c r="P19" s="40">
        <v>15.62</v>
      </c>
      <c r="Q19" s="41">
        <f t="shared" si="1"/>
        <v>87.262569832402235</v>
      </c>
      <c r="R19" s="40">
        <v>14.68</v>
      </c>
      <c r="S19" s="41">
        <f t="shared" si="2"/>
        <v>82.011173184357546</v>
      </c>
      <c r="T19" s="40">
        <v>13.5</v>
      </c>
      <c r="U19" s="41">
        <f t="shared" si="3"/>
        <v>75.41899441340783</v>
      </c>
      <c r="V19" s="40">
        <v>13.07</v>
      </c>
      <c r="W19" s="41">
        <f t="shared" si="4"/>
        <v>73.016759776536318</v>
      </c>
      <c r="X19" s="42" t="s">
        <v>126</v>
      </c>
      <c r="Y19" s="41"/>
      <c r="Z19" s="42"/>
      <c r="AA19" s="41"/>
      <c r="AB19" s="42"/>
      <c r="AC19" s="41"/>
      <c r="AD19" s="42"/>
      <c r="AE19" s="41"/>
    </row>
    <row r="20" spans="2:31" s="95" customFormat="1" ht="13" x14ac:dyDescent="0.25">
      <c r="F20" s="1"/>
      <c r="G20" s="1"/>
      <c r="H20" s="2" t="s">
        <v>49</v>
      </c>
      <c r="I20" s="3" t="s">
        <v>50</v>
      </c>
      <c r="K20" s="354"/>
      <c r="L20" s="58" t="s">
        <v>194</v>
      </c>
      <c r="M20" s="39">
        <v>17.649999999999999</v>
      </c>
      <c r="N20" s="40">
        <v>16.84</v>
      </c>
      <c r="O20" s="41">
        <f t="shared" si="0"/>
        <v>95.410764872521256</v>
      </c>
      <c r="P20" s="40">
        <v>15.37</v>
      </c>
      <c r="Q20" s="41">
        <f t="shared" si="1"/>
        <v>87.082152974504254</v>
      </c>
      <c r="R20" s="40">
        <v>14.63</v>
      </c>
      <c r="S20" s="41">
        <f t="shared" si="2"/>
        <v>82.889518413597742</v>
      </c>
      <c r="T20" s="40">
        <v>13.71</v>
      </c>
      <c r="U20" s="41">
        <f t="shared" si="3"/>
        <v>77.677053824362616</v>
      </c>
      <c r="V20" s="43" t="s">
        <v>188</v>
      </c>
      <c r="W20" s="41"/>
      <c r="X20" s="42"/>
      <c r="Y20" s="41"/>
      <c r="Z20" s="42"/>
      <c r="AA20" s="41"/>
      <c r="AB20" s="42"/>
      <c r="AC20" s="41"/>
      <c r="AD20" s="42"/>
      <c r="AE20" s="41"/>
    </row>
    <row r="21" spans="2:31" s="95" customFormat="1" ht="13" x14ac:dyDescent="0.25">
      <c r="F21" s="1"/>
      <c r="G21" s="1"/>
      <c r="H21" s="2" t="s">
        <v>147</v>
      </c>
      <c r="I21" s="3" t="s">
        <v>52</v>
      </c>
      <c r="K21" s="354"/>
      <c r="L21" s="58" t="s">
        <v>195</v>
      </c>
      <c r="M21" s="39">
        <v>18.45</v>
      </c>
      <c r="N21" s="40">
        <v>17.989999999999998</v>
      </c>
      <c r="O21" s="41">
        <f t="shared" si="0"/>
        <v>97.506775067750667</v>
      </c>
      <c r="P21" s="40">
        <v>16.239999999999998</v>
      </c>
      <c r="Q21" s="41">
        <f t="shared" si="1"/>
        <v>88.021680216802167</v>
      </c>
      <c r="R21" s="40">
        <v>15.44</v>
      </c>
      <c r="S21" s="41">
        <f t="shared" si="2"/>
        <v>83.685636856368561</v>
      </c>
      <c r="T21" s="40">
        <v>14.34</v>
      </c>
      <c r="U21" s="41">
        <f t="shared" si="3"/>
        <v>77.723577235772353</v>
      </c>
      <c r="V21" s="40">
        <v>14.01</v>
      </c>
      <c r="W21" s="41">
        <f>V21/M21*100</f>
        <v>75.934959349593498</v>
      </c>
      <c r="X21" s="42" t="s">
        <v>190</v>
      </c>
      <c r="Y21" s="41"/>
      <c r="Z21" s="42"/>
      <c r="AA21" s="41"/>
      <c r="AB21" s="42"/>
      <c r="AC21" s="41"/>
      <c r="AD21" s="42"/>
      <c r="AE21" s="41"/>
    </row>
    <row r="22" spans="2:31" s="95" customFormat="1" ht="13" x14ac:dyDescent="0.25">
      <c r="F22" s="1"/>
      <c r="G22" s="1"/>
      <c r="H22" s="1"/>
      <c r="I22" s="1"/>
      <c r="K22" s="354"/>
      <c r="L22" s="58" t="s">
        <v>196</v>
      </c>
      <c r="M22" s="39">
        <v>18.28</v>
      </c>
      <c r="N22" s="40">
        <v>17.23</v>
      </c>
      <c r="O22" s="41">
        <f t="shared" si="0"/>
        <v>94.256017505470453</v>
      </c>
      <c r="P22" s="40">
        <v>16.010000000000002</v>
      </c>
      <c r="Q22" s="41">
        <f t="shared" si="1"/>
        <v>87.582056892778994</v>
      </c>
      <c r="R22" s="40">
        <v>14.93</v>
      </c>
      <c r="S22" s="41">
        <f t="shared" si="2"/>
        <v>81.673960612691459</v>
      </c>
      <c r="T22" s="40">
        <v>13.99</v>
      </c>
      <c r="U22" s="41">
        <f t="shared" si="3"/>
        <v>76.531728665207879</v>
      </c>
      <c r="V22" s="43" t="s">
        <v>197</v>
      </c>
      <c r="W22" s="41"/>
      <c r="X22" s="40"/>
      <c r="Y22" s="41"/>
      <c r="Z22" s="40"/>
      <c r="AA22" s="41"/>
      <c r="AB22" s="40"/>
      <c r="AC22" s="41"/>
      <c r="AD22" s="40"/>
      <c r="AE22" s="41"/>
    </row>
    <row r="23" spans="2:31" s="95" customFormat="1" ht="13" x14ac:dyDescent="0.25">
      <c r="F23" s="1"/>
      <c r="G23" s="1"/>
      <c r="H23" s="1"/>
      <c r="I23" s="1"/>
      <c r="K23" s="354"/>
      <c r="L23" s="58" t="s">
        <v>198</v>
      </c>
      <c r="M23" s="39">
        <v>18.7</v>
      </c>
      <c r="N23" s="40">
        <v>17.84</v>
      </c>
      <c r="O23" s="41">
        <f>N23/M23*100</f>
        <v>95.401069518716582</v>
      </c>
      <c r="P23" s="40">
        <v>16.29</v>
      </c>
      <c r="Q23" s="41">
        <f t="shared" si="1"/>
        <v>87.112299465240639</v>
      </c>
      <c r="R23" s="40">
        <v>15.3</v>
      </c>
      <c r="S23" s="41">
        <f t="shared" si="2"/>
        <v>81.818181818181827</v>
      </c>
      <c r="T23" s="40">
        <v>14.7</v>
      </c>
      <c r="U23" s="41">
        <f t="shared" si="3"/>
        <v>78.609625668449198</v>
      </c>
      <c r="V23" s="43" t="s">
        <v>197</v>
      </c>
      <c r="W23" s="41"/>
      <c r="X23" s="40"/>
      <c r="Y23" s="41"/>
      <c r="Z23" s="40"/>
      <c r="AA23" s="41"/>
      <c r="AB23" s="40"/>
      <c r="AC23" s="41"/>
      <c r="AD23" s="40"/>
      <c r="AE23" s="41"/>
    </row>
    <row r="24" spans="2:31" s="95" customFormat="1" ht="13" x14ac:dyDescent="0.3">
      <c r="F24" s="1"/>
      <c r="G24" s="1"/>
      <c r="H24" s="7" t="s">
        <v>585</v>
      </c>
      <c r="I24" s="3"/>
      <c r="K24" s="5"/>
      <c r="L24" s="96"/>
      <c r="M24" s="97" t="s">
        <v>13</v>
      </c>
      <c r="N24" s="98"/>
      <c r="O24" s="98"/>
    </row>
    <row r="25" spans="2:31" s="95" customFormat="1" ht="13" x14ac:dyDescent="0.3">
      <c r="F25" s="1"/>
      <c r="G25" s="1"/>
      <c r="H25" s="2"/>
      <c r="I25" s="3"/>
      <c r="K25" s="5"/>
      <c r="L25" s="96"/>
      <c r="M25" s="26" t="s">
        <v>107</v>
      </c>
      <c r="N25" s="98"/>
      <c r="O25" s="98"/>
    </row>
    <row r="26" spans="2:31" s="95" customFormat="1" ht="12.5" x14ac:dyDescent="0.25">
      <c r="F26" s="1"/>
      <c r="G26" s="1"/>
      <c r="H26" s="2" t="s">
        <v>141</v>
      </c>
      <c r="I26" s="3"/>
      <c r="K26" s="5"/>
      <c r="L26" s="96"/>
      <c r="M26" s="98"/>
      <c r="N26" s="98"/>
      <c r="O26" s="98"/>
    </row>
    <row r="27" spans="2:31" s="95" customFormat="1" ht="12.5" x14ac:dyDescent="0.25">
      <c r="F27" s="1"/>
      <c r="G27" s="1"/>
      <c r="H27" s="2" t="s">
        <v>142</v>
      </c>
      <c r="I27" s="3">
        <v>0.125</v>
      </c>
      <c r="K27" s="5"/>
      <c r="L27" s="96"/>
      <c r="M27" s="98"/>
      <c r="N27" s="98"/>
      <c r="O27" s="98"/>
    </row>
    <row r="28" spans="2:31" s="95" customFormat="1" ht="12.5" x14ac:dyDescent="0.25">
      <c r="F28" s="1"/>
      <c r="G28" s="1"/>
      <c r="H28" s="2" t="s">
        <v>143</v>
      </c>
      <c r="I28" s="3">
        <v>1</v>
      </c>
      <c r="K28" s="5"/>
      <c r="L28" s="96"/>
      <c r="M28" s="98"/>
      <c r="N28" s="98"/>
      <c r="O28" s="98"/>
    </row>
    <row r="29" spans="2:31" s="95" customFormat="1" ht="13" x14ac:dyDescent="0.3">
      <c r="F29" s="1"/>
      <c r="G29" s="1"/>
      <c r="H29" s="7" t="s">
        <v>47</v>
      </c>
      <c r="I29" s="8">
        <v>0.72370000000000001</v>
      </c>
      <c r="K29" s="5"/>
      <c r="L29" s="96"/>
      <c r="M29" s="98"/>
      <c r="N29" s="98"/>
      <c r="O29" s="98"/>
    </row>
    <row r="30" spans="2:31" s="95" customFormat="1" ht="13" x14ac:dyDescent="0.3">
      <c r="F30" s="1"/>
      <c r="G30" s="1"/>
      <c r="H30" s="7" t="s">
        <v>49</v>
      </c>
      <c r="I30" s="8" t="s">
        <v>203</v>
      </c>
      <c r="K30" s="99" t="s">
        <v>214</v>
      </c>
      <c r="L30" s="100"/>
      <c r="M30" s="101"/>
      <c r="N30" s="101"/>
    </row>
    <row r="31" spans="2:31" s="95" customFormat="1" ht="12.5" x14ac:dyDescent="0.25">
      <c r="H31" s="2" t="s">
        <v>144</v>
      </c>
      <c r="I31" s="3" t="s">
        <v>204</v>
      </c>
      <c r="K31" s="4"/>
      <c r="L31" s="263" t="s">
        <v>72</v>
      </c>
      <c r="M31" s="263" t="s">
        <v>172</v>
      </c>
      <c r="N31" s="358" t="s">
        <v>102</v>
      </c>
      <c r="O31" s="359"/>
      <c r="P31" s="358" t="s">
        <v>174</v>
      </c>
      <c r="Q31" s="359"/>
      <c r="R31" s="358" t="s">
        <v>103</v>
      </c>
      <c r="S31" s="359"/>
    </row>
    <row r="32" spans="2:31" s="95" customFormat="1" ht="12.5" x14ac:dyDescent="0.25">
      <c r="H32" s="2"/>
      <c r="I32" s="3"/>
      <c r="K32" s="4"/>
      <c r="L32" s="263"/>
      <c r="M32" s="263"/>
      <c r="N32" s="263"/>
      <c r="O32" s="263"/>
      <c r="P32" s="263"/>
      <c r="Q32" s="263"/>
      <c r="R32" s="263"/>
      <c r="S32" s="263"/>
    </row>
    <row r="33" spans="8:19" s="95" customFormat="1" ht="12.5" x14ac:dyDescent="0.25">
      <c r="H33" s="2" t="s">
        <v>205</v>
      </c>
      <c r="I33" s="3"/>
      <c r="K33" s="354" t="s">
        <v>199</v>
      </c>
      <c r="L33" s="44" t="s">
        <v>215</v>
      </c>
      <c r="M33" s="45">
        <v>19.12</v>
      </c>
      <c r="N33" s="40">
        <v>19.37</v>
      </c>
      <c r="O33" s="46">
        <f t="shared" ref="O33:O49" si="9">N33/M33*100</f>
        <v>101.30753138075315</v>
      </c>
      <c r="P33" s="40">
        <v>18.89</v>
      </c>
      <c r="Q33" s="46">
        <f>P33/M33*100</f>
        <v>98.79707112970712</v>
      </c>
      <c r="R33" s="40">
        <v>19.21</v>
      </c>
      <c r="S33" s="47">
        <f>R33/M33*100</f>
        <v>100.47071129707112</v>
      </c>
    </row>
    <row r="34" spans="8:19" s="95" customFormat="1" ht="12.5" x14ac:dyDescent="0.25">
      <c r="H34" s="2" t="s">
        <v>142</v>
      </c>
      <c r="I34" s="3">
        <v>0.48209999999999997</v>
      </c>
      <c r="K34" s="354"/>
      <c r="L34" s="44" t="s">
        <v>216</v>
      </c>
      <c r="M34" s="45">
        <v>23.32</v>
      </c>
      <c r="N34" s="40">
        <v>22.65</v>
      </c>
      <c r="O34" s="46">
        <f t="shared" si="9"/>
        <v>97.126929674099486</v>
      </c>
      <c r="P34" s="40">
        <v>22.37</v>
      </c>
      <c r="Q34" s="46">
        <f t="shared" ref="Q34:Q40" si="10">P34/M34*100</f>
        <v>95.926243567753005</v>
      </c>
      <c r="R34" s="40">
        <v>21.98</v>
      </c>
      <c r="S34" s="47">
        <f t="shared" ref="S34:S40" si="11">R34/M34*100</f>
        <v>94.253859348198972</v>
      </c>
    </row>
    <row r="35" spans="8:19" s="95" customFormat="1" ht="12.5" x14ac:dyDescent="0.25">
      <c r="H35" s="2" t="s">
        <v>143</v>
      </c>
      <c r="I35" s="3">
        <v>1</v>
      </c>
      <c r="K35" s="354"/>
      <c r="L35" s="44" t="s">
        <v>217</v>
      </c>
      <c r="M35" s="45">
        <v>17.82</v>
      </c>
      <c r="N35" s="40">
        <v>18.13</v>
      </c>
      <c r="O35" s="46">
        <f t="shared" si="9"/>
        <v>101.73961840628508</v>
      </c>
      <c r="P35" s="40">
        <v>18</v>
      </c>
      <c r="Q35" s="46">
        <f t="shared" si="10"/>
        <v>101.01010101010101</v>
      </c>
      <c r="R35" s="40">
        <v>18.18</v>
      </c>
      <c r="S35" s="47">
        <f t="shared" si="11"/>
        <v>102.02020202020201</v>
      </c>
    </row>
    <row r="36" spans="8:19" s="95" customFormat="1" ht="12.5" x14ac:dyDescent="0.25">
      <c r="H36" s="2" t="s">
        <v>47</v>
      </c>
      <c r="I36" s="3">
        <v>0.48749999999999999</v>
      </c>
      <c r="K36" s="354"/>
      <c r="L36" s="44" t="s">
        <v>218</v>
      </c>
      <c r="M36" s="45">
        <v>18.71</v>
      </c>
      <c r="N36" s="40">
        <v>18.53</v>
      </c>
      <c r="O36" s="46">
        <f t="shared" si="9"/>
        <v>99.037947621592735</v>
      </c>
      <c r="P36" s="40">
        <v>18.57</v>
      </c>
      <c r="Q36" s="46">
        <f t="shared" si="10"/>
        <v>99.251737039016561</v>
      </c>
      <c r="R36" s="40">
        <v>18.68</v>
      </c>
      <c r="S36" s="47">
        <f t="shared" si="11"/>
        <v>99.839657936932113</v>
      </c>
    </row>
    <row r="37" spans="8:19" s="95" customFormat="1" ht="12.5" x14ac:dyDescent="0.25">
      <c r="H37" s="2" t="s">
        <v>49</v>
      </c>
      <c r="I37" s="3" t="s">
        <v>203</v>
      </c>
      <c r="K37" s="354" t="s">
        <v>200</v>
      </c>
      <c r="L37" s="44" t="s">
        <v>219</v>
      </c>
      <c r="M37" s="45">
        <v>17.7</v>
      </c>
      <c r="N37" s="40">
        <v>17.84</v>
      </c>
      <c r="O37" s="46">
        <f t="shared" si="9"/>
        <v>100.7909604519774</v>
      </c>
      <c r="P37" s="40">
        <v>17.89</v>
      </c>
      <c r="Q37" s="46">
        <f t="shared" si="10"/>
        <v>101.07344632768363</v>
      </c>
      <c r="R37" s="40">
        <v>17.7</v>
      </c>
      <c r="S37" s="47">
        <f t="shared" si="11"/>
        <v>100</v>
      </c>
    </row>
    <row r="38" spans="8:19" s="95" customFormat="1" ht="12.5" x14ac:dyDescent="0.25">
      <c r="H38" s="2" t="s">
        <v>144</v>
      </c>
      <c r="I38" s="3" t="s">
        <v>204</v>
      </c>
      <c r="K38" s="354"/>
      <c r="L38" s="44" t="s">
        <v>220</v>
      </c>
      <c r="M38" s="45">
        <v>18.7</v>
      </c>
      <c r="N38" s="40">
        <v>19.11</v>
      </c>
      <c r="O38" s="46">
        <f t="shared" si="9"/>
        <v>102.19251336898397</v>
      </c>
      <c r="P38" s="40">
        <v>18.84</v>
      </c>
      <c r="Q38" s="46">
        <f t="shared" si="10"/>
        <v>100.74866310160428</v>
      </c>
      <c r="R38" s="40">
        <v>18.38</v>
      </c>
      <c r="S38" s="47">
        <f t="shared" si="11"/>
        <v>98.288770053475943</v>
      </c>
    </row>
    <row r="39" spans="8:19" s="95" customFormat="1" ht="12.5" x14ac:dyDescent="0.25">
      <c r="H39" s="2"/>
      <c r="I39" s="3"/>
      <c r="K39" s="354"/>
      <c r="L39" s="44" t="s">
        <v>221</v>
      </c>
      <c r="M39" s="45">
        <v>18.329999999999998</v>
      </c>
      <c r="N39" s="40">
        <v>18.32</v>
      </c>
      <c r="O39" s="46">
        <f t="shared" si="9"/>
        <v>99.945444626295696</v>
      </c>
      <c r="P39" s="40">
        <v>18.36</v>
      </c>
      <c r="Q39" s="46">
        <f t="shared" si="10"/>
        <v>100.16366612111294</v>
      </c>
      <c r="R39" s="40">
        <v>18.39</v>
      </c>
      <c r="S39" s="47">
        <f t="shared" si="11"/>
        <v>100.32733224222588</v>
      </c>
    </row>
    <row r="40" spans="8:19" s="95" customFormat="1" ht="12.5" x14ac:dyDescent="0.25">
      <c r="H40" s="2" t="s">
        <v>206</v>
      </c>
      <c r="I40" s="3"/>
      <c r="K40" s="354"/>
      <c r="L40" s="44" t="s">
        <v>222</v>
      </c>
      <c r="M40" s="45">
        <v>18.29</v>
      </c>
      <c r="N40" s="40">
        <v>18.260000000000002</v>
      </c>
      <c r="O40" s="46">
        <f t="shared" si="9"/>
        <v>99.835975943138351</v>
      </c>
      <c r="P40" s="40">
        <v>18.07</v>
      </c>
      <c r="Q40" s="46">
        <f t="shared" si="10"/>
        <v>98.797156916347745</v>
      </c>
      <c r="R40" s="40">
        <v>18.38</v>
      </c>
      <c r="S40" s="47">
        <f t="shared" si="11"/>
        <v>100.49207217058502</v>
      </c>
    </row>
    <row r="41" spans="8:19" s="95" customFormat="1" ht="13" x14ac:dyDescent="0.25">
      <c r="H41" s="2" t="s">
        <v>135</v>
      </c>
      <c r="I41" s="3">
        <v>16</v>
      </c>
      <c r="K41" s="354" t="s">
        <v>857</v>
      </c>
      <c r="L41" s="44" t="s">
        <v>223</v>
      </c>
      <c r="M41" s="45">
        <v>18.68</v>
      </c>
      <c r="N41" s="48">
        <v>16.760000000000002</v>
      </c>
      <c r="O41" s="46">
        <f t="shared" si="9"/>
        <v>89.721627408993584</v>
      </c>
      <c r="P41" s="49" t="s">
        <v>224</v>
      </c>
      <c r="Q41" s="50"/>
      <c r="R41" s="51"/>
      <c r="S41" s="50"/>
    </row>
    <row r="42" spans="8:19" s="95" customFormat="1" ht="13" x14ac:dyDescent="0.25">
      <c r="H42" s="2" t="s">
        <v>207</v>
      </c>
      <c r="I42" s="3">
        <v>15</v>
      </c>
      <c r="K42" s="354"/>
      <c r="L42" s="44" t="s">
        <v>225</v>
      </c>
      <c r="M42" s="45">
        <v>19.04</v>
      </c>
      <c r="N42" s="48">
        <v>16.579999999999998</v>
      </c>
      <c r="O42" s="46">
        <f t="shared" si="9"/>
        <v>87.079831932773104</v>
      </c>
      <c r="P42" s="49" t="s">
        <v>224</v>
      </c>
      <c r="Q42" s="50"/>
      <c r="R42" s="49"/>
      <c r="S42" s="50"/>
    </row>
    <row r="43" spans="8:19" s="95" customFormat="1" ht="13" x14ac:dyDescent="0.25">
      <c r="H43" s="2" t="s">
        <v>208</v>
      </c>
      <c r="I43" s="3">
        <v>1.0669999999999999</v>
      </c>
      <c r="K43" s="354"/>
      <c r="L43" s="44" t="s">
        <v>226</v>
      </c>
      <c r="M43" s="45">
        <v>18.22</v>
      </c>
      <c r="N43" s="48">
        <v>16.239999999999998</v>
      </c>
      <c r="O43" s="46">
        <f t="shared" si="9"/>
        <v>89.132821075740935</v>
      </c>
      <c r="P43" s="48">
        <v>15.54</v>
      </c>
      <c r="Q43" s="47">
        <f>P43/M43*100</f>
        <v>85.290889132821079</v>
      </c>
      <c r="R43" s="49" t="s">
        <v>224</v>
      </c>
      <c r="S43" s="50"/>
    </row>
    <row r="44" spans="8:19" s="95" customFormat="1" ht="13" x14ac:dyDescent="0.25">
      <c r="H44" s="2" t="s">
        <v>209</v>
      </c>
      <c r="I44" s="3" t="s">
        <v>210</v>
      </c>
      <c r="K44" s="354"/>
      <c r="L44" s="44" t="s">
        <v>227</v>
      </c>
      <c r="M44" s="45">
        <v>17.47</v>
      </c>
      <c r="N44" s="48">
        <v>15.96</v>
      </c>
      <c r="O44" s="46">
        <f t="shared" si="9"/>
        <v>91.356611333714952</v>
      </c>
      <c r="P44" s="49" t="s">
        <v>228</v>
      </c>
      <c r="Q44" s="50"/>
      <c r="R44" s="49"/>
      <c r="S44" s="50"/>
    </row>
    <row r="45" spans="8:19" s="95" customFormat="1" ht="13" x14ac:dyDescent="0.25">
      <c r="H45" s="2"/>
      <c r="I45" s="3"/>
      <c r="K45" s="354"/>
      <c r="L45" s="44" t="s">
        <v>229</v>
      </c>
      <c r="M45" s="45">
        <v>18.41</v>
      </c>
      <c r="N45" s="48">
        <v>16.25</v>
      </c>
      <c r="O45" s="46">
        <f t="shared" si="9"/>
        <v>88.267246061922862</v>
      </c>
      <c r="P45" s="49" t="s">
        <v>228</v>
      </c>
      <c r="Q45" s="50"/>
      <c r="R45" s="49"/>
      <c r="S45" s="50"/>
    </row>
    <row r="46" spans="8:19" s="95" customFormat="1" ht="13" x14ac:dyDescent="0.25">
      <c r="H46" s="2" t="s">
        <v>211</v>
      </c>
      <c r="I46" s="3"/>
      <c r="K46" s="354" t="s">
        <v>858</v>
      </c>
      <c r="L46" s="44" t="s">
        <v>230</v>
      </c>
      <c r="M46" s="45">
        <v>18.190000000000001</v>
      </c>
      <c r="N46" s="48">
        <v>16.440000000000001</v>
      </c>
      <c r="O46" s="46">
        <f t="shared" si="9"/>
        <v>90.379329301814181</v>
      </c>
      <c r="P46" s="49" t="s">
        <v>228</v>
      </c>
      <c r="Q46" s="50"/>
      <c r="R46" s="49"/>
      <c r="S46" s="50"/>
    </row>
    <row r="47" spans="8:19" s="95" customFormat="1" ht="13" x14ac:dyDescent="0.25">
      <c r="H47" s="2" t="s">
        <v>208</v>
      </c>
      <c r="I47" s="3">
        <v>0.68730000000000002</v>
      </c>
      <c r="K47" s="354"/>
      <c r="L47" s="44" t="s">
        <v>231</v>
      </c>
      <c r="M47" s="45">
        <v>19.29</v>
      </c>
      <c r="N47" s="40">
        <v>17.3</v>
      </c>
      <c r="O47" s="46">
        <f t="shared" si="9"/>
        <v>89.683773976153461</v>
      </c>
      <c r="P47" s="49" t="s">
        <v>228</v>
      </c>
      <c r="Q47" s="50"/>
      <c r="R47" s="49"/>
      <c r="S47" s="50"/>
    </row>
    <row r="48" spans="8:19" s="95" customFormat="1" ht="13" x14ac:dyDescent="0.25">
      <c r="H48" s="2" t="s">
        <v>209</v>
      </c>
      <c r="I48" s="3" t="s">
        <v>212</v>
      </c>
      <c r="K48" s="354"/>
      <c r="L48" s="44" t="s">
        <v>232</v>
      </c>
      <c r="M48" s="45">
        <v>17.829999999999998</v>
      </c>
      <c r="N48" s="48">
        <v>15.84</v>
      </c>
      <c r="O48" s="46">
        <f t="shared" si="9"/>
        <v>88.839035333707244</v>
      </c>
      <c r="P48" s="49" t="s">
        <v>228</v>
      </c>
      <c r="Q48" s="50"/>
      <c r="R48" s="49"/>
      <c r="S48" s="50"/>
    </row>
    <row r="49" spans="11:19" s="95" customFormat="1" ht="13" x14ac:dyDescent="0.25">
      <c r="K49" s="354"/>
      <c r="L49" s="44" t="s">
        <v>233</v>
      </c>
      <c r="M49" s="45">
        <v>18.850000000000001</v>
      </c>
      <c r="N49" s="48">
        <v>16.64</v>
      </c>
      <c r="O49" s="46">
        <f t="shared" si="9"/>
        <v>88.275862068965523</v>
      </c>
      <c r="P49" s="49" t="s">
        <v>228</v>
      </c>
      <c r="Q49" s="50"/>
      <c r="R49" s="49"/>
      <c r="S49" s="50"/>
    </row>
    <row r="50" spans="11:19" s="95" customFormat="1" ht="13" x14ac:dyDescent="0.25">
      <c r="K50" s="354"/>
      <c r="L50" s="44" t="s">
        <v>234</v>
      </c>
      <c r="M50" s="45">
        <v>17.73</v>
      </c>
      <c r="N50" s="48">
        <v>16.32</v>
      </c>
      <c r="O50" s="46">
        <f>N50/M50*100</f>
        <v>92.04737732656514</v>
      </c>
      <c r="P50" s="49" t="s">
        <v>228</v>
      </c>
      <c r="Q50" s="50"/>
      <c r="R50" s="49"/>
      <c r="S50" s="50"/>
    </row>
    <row r="51" spans="11:19" s="95" customFormat="1" ht="13" x14ac:dyDescent="0.3">
      <c r="K51" s="5"/>
      <c r="L51" s="96"/>
      <c r="M51" s="97" t="s">
        <v>13</v>
      </c>
      <c r="N51" s="98"/>
      <c r="O51" s="98"/>
    </row>
    <row r="52" spans="11:19" s="95" customFormat="1" ht="13" x14ac:dyDescent="0.3">
      <c r="K52" s="5"/>
      <c r="L52" s="96"/>
      <c r="M52" s="26" t="s">
        <v>107</v>
      </c>
      <c r="N52" s="98"/>
      <c r="O52" s="98"/>
    </row>
    <row r="53" spans="11:19" s="95" customFormat="1" ht="12.5" x14ac:dyDescent="0.25">
      <c r="K53" s="5"/>
      <c r="L53" s="96"/>
      <c r="M53" s="98"/>
      <c r="N53" s="98"/>
      <c r="O53" s="98"/>
    </row>
  </sheetData>
  <mergeCells count="20">
    <mergeCell ref="R31:S31"/>
    <mergeCell ref="K33:K36"/>
    <mergeCell ref="K37:K40"/>
    <mergeCell ref="K41:K45"/>
    <mergeCell ref="K46:K50"/>
    <mergeCell ref="N31:O31"/>
    <mergeCell ref="P31:Q31"/>
    <mergeCell ref="AD4:AE4"/>
    <mergeCell ref="K6:K9"/>
    <mergeCell ref="K10:K13"/>
    <mergeCell ref="K14:K18"/>
    <mergeCell ref="K19:K23"/>
    <mergeCell ref="Z4:AA4"/>
    <mergeCell ref="AB4:AC4"/>
    <mergeCell ref="N4:O4"/>
    <mergeCell ref="P4:Q4"/>
    <mergeCell ref="R4:S4"/>
    <mergeCell ref="T4:U4"/>
    <mergeCell ref="V4:W4"/>
    <mergeCell ref="X4:Y4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3B5B-973B-4A0F-9A89-7F4DBC99FD8D}">
  <dimension ref="A2:N32"/>
  <sheetViews>
    <sheetView zoomScale="90" zoomScaleNormal="90" workbookViewId="0">
      <selection activeCell="D25" sqref="D25"/>
    </sheetView>
  </sheetViews>
  <sheetFormatPr defaultRowHeight="14" x14ac:dyDescent="0.3"/>
  <cols>
    <col min="1" max="1" width="9" style="25"/>
    <col min="2" max="2" width="16" style="25" customWidth="1"/>
    <col min="3" max="3" width="15.83203125" style="25" customWidth="1"/>
    <col min="4" max="4" width="19.33203125" style="25" bestFit="1" customWidth="1"/>
    <col min="5" max="5" width="19.83203125" style="25" bestFit="1" customWidth="1"/>
    <col min="6" max="6" width="4" style="25" customWidth="1"/>
    <col min="7" max="7" width="30.83203125" style="25" bestFit="1" customWidth="1"/>
    <col min="8" max="8" width="15.83203125" style="25" bestFit="1" customWidth="1"/>
    <col min="9" max="9" width="4.25" style="25" customWidth="1"/>
    <col min="10" max="10" width="30.83203125" style="25" bestFit="1" customWidth="1"/>
    <col min="11" max="11" width="15.83203125" style="25" bestFit="1" customWidth="1"/>
    <col min="12" max="12" width="5.25" style="25" customWidth="1"/>
    <col min="13" max="13" width="30.83203125" style="25" bestFit="1" customWidth="1"/>
    <col min="14" max="14" width="15.5" style="25" customWidth="1"/>
    <col min="15" max="16" width="14" style="25" customWidth="1"/>
    <col min="17" max="17" width="8.25" style="25" customWidth="1"/>
    <col min="18" max="257" width="9" style="25"/>
    <col min="258" max="270" width="15.5" style="25" customWidth="1"/>
    <col min="271" max="272" width="14" style="25" customWidth="1"/>
    <col min="273" max="273" width="8.25" style="25" customWidth="1"/>
    <col min="274" max="513" width="9" style="25"/>
    <col min="514" max="526" width="15.5" style="25" customWidth="1"/>
    <col min="527" max="528" width="14" style="25" customWidth="1"/>
    <col min="529" max="529" width="8.25" style="25" customWidth="1"/>
    <col min="530" max="769" width="9" style="25"/>
    <col min="770" max="782" width="15.5" style="25" customWidth="1"/>
    <col min="783" max="784" width="14" style="25" customWidth="1"/>
    <col min="785" max="785" width="8.25" style="25" customWidth="1"/>
    <col min="786" max="1025" width="9" style="25"/>
    <col min="1026" max="1038" width="15.5" style="25" customWidth="1"/>
    <col min="1039" max="1040" width="14" style="25" customWidth="1"/>
    <col min="1041" max="1041" width="8.25" style="25" customWidth="1"/>
    <col min="1042" max="1281" width="9" style="25"/>
    <col min="1282" max="1294" width="15.5" style="25" customWidth="1"/>
    <col min="1295" max="1296" width="14" style="25" customWidth="1"/>
    <col min="1297" max="1297" width="8.25" style="25" customWidth="1"/>
    <col min="1298" max="1537" width="9" style="25"/>
    <col min="1538" max="1550" width="15.5" style="25" customWidth="1"/>
    <col min="1551" max="1552" width="14" style="25" customWidth="1"/>
    <col min="1553" max="1553" width="8.25" style="25" customWidth="1"/>
    <col min="1554" max="1793" width="9" style="25"/>
    <col min="1794" max="1806" width="15.5" style="25" customWidth="1"/>
    <col min="1807" max="1808" width="14" style="25" customWidth="1"/>
    <col min="1809" max="1809" width="8.25" style="25" customWidth="1"/>
    <col min="1810" max="2049" width="9" style="25"/>
    <col min="2050" max="2062" width="15.5" style="25" customWidth="1"/>
    <col min="2063" max="2064" width="14" style="25" customWidth="1"/>
    <col min="2065" max="2065" width="8.25" style="25" customWidth="1"/>
    <col min="2066" max="2305" width="9" style="25"/>
    <col min="2306" max="2318" width="15.5" style="25" customWidth="1"/>
    <col min="2319" max="2320" width="14" style="25" customWidth="1"/>
    <col min="2321" max="2321" width="8.25" style="25" customWidth="1"/>
    <col min="2322" max="2561" width="9" style="25"/>
    <col min="2562" max="2574" width="15.5" style="25" customWidth="1"/>
    <col min="2575" max="2576" width="14" style="25" customWidth="1"/>
    <col min="2577" max="2577" width="8.25" style="25" customWidth="1"/>
    <col min="2578" max="2817" width="9" style="25"/>
    <col min="2818" max="2830" width="15.5" style="25" customWidth="1"/>
    <col min="2831" max="2832" width="14" style="25" customWidth="1"/>
    <col min="2833" max="2833" width="8.25" style="25" customWidth="1"/>
    <col min="2834" max="3073" width="9" style="25"/>
    <col min="3074" max="3086" width="15.5" style="25" customWidth="1"/>
    <col min="3087" max="3088" width="14" style="25" customWidth="1"/>
    <col min="3089" max="3089" width="8.25" style="25" customWidth="1"/>
    <col min="3090" max="3329" width="9" style="25"/>
    <col min="3330" max="3342" width="15.5" style="25" customWidth="1"/>
    <col min="3343" max="3344" width="14" style="25" customWidth="1"/>
    <col min="3345" max="3345" width="8.25" style="25" customWidth="1"/>
    <col min="3346" max="3585" width="9" style="25"/>
    <col min="3586" max="3598" width="15.5" style="25" customWidth="1"/>
    <col min="3599" max="3600" width="14" style="25" customWidth="1"/>
    <col min="3601" max="3601" width="8.25" style="25" customWidth="1"/>
    <col min="3602" max="3841" width="9" style="25"/>
    <col min="3842" max="3854" width="15.5" style="25" customWidth="1"/>
    <col min="3855" max="3856" width="14" style="25" customWidth="1"/>
    <col min="3857" max="3857" width="8.25" style="25" customWidth="1"/>
    <col min="3858" max="4097" width="9" style="25"/>
    <col min="4098" max="4110" width="15.5" style="25" customWidth="1"/>
    <col min="4111" max="4112" width="14" style="25" customWidth="1"/>
    <col min="4113" max="4113" width="8.25" style="25" customWidth="1"/>
    <col min="4114" max="4353" width="9" style="25"/>
    <col min="4354" max="4366" width="15.5" style="25" customWidth="1"/>
    <col min="4367" max="4368" width="14" style="25" customWidth="1"/>
    <col min="4369" max="4369" width="8.25" style="25" customWidth="1"/>
    <col min="4370" max="4609" width="9" style="25"/>
    <col min="4610" max="4622" width="15.5" style="25" customWidth="1"/>
    <col min="4623" max="4624" width="14" style="25" customWidth="1"/>
    <col min="4625" max="4625" width="8.25" style="25" customWidth="1"/>
    <col min="4626" max="4865" width="9" style="25"/>
    <col min="4866" max="4878" width="15.5" style="25" customWidth="1"/>
    <col min="4879" max="4880" width="14" style="25" customWidth="1"/>
    <col min="4881" max="4881" width="8.25" style="25" customWidth="1"/>
    <col min="4882" max="5121" width="9" style="25"/>
    <col min="5122" max="5134" width="15.5" style="25" customWidth="1"/>
    <col min="5135" max="5136" width="14" style="25" customWidth="1"/>
    <col min="5137" max="5137" width="8.25" style="25" customWidth="1"/>
    <col min="5138" max="5377" width="9" style="25"/>
    <col min="5378" max="5390" width="15.5" style="25" customWidth="1"/>
    <col min="5391" max="5392" width="14" style="25" customWidth="1"/>
    <col min="5393" max="5393" width="8.25" style="25" customWidth="1"/>
    <col min="5394" max="5633" width="9" style="25"/>
    <col min="5634" max="5646" width="15.5" style="25" customWidth="1"/>
    <col min="5647" max="5648" width="14" style="25" customWidth="1"/>
    <col min="5649" max="5649" width="8.25" style="25" customWidth="1"/>
    <col min="5650" max="5889" width="9" style="25"/>
    <col min="5890" max="5902" width="15.5" style="25" customWidth="1"/>
    <col min="5903" max="5904" width="14" style="25" customWidth="1"/>
    <col min="5905" max="5905" width="8.25" style="25" customWidth="1"/>
    <col min="5906" max="6145" width="9" style="25"/>
    <col min="6146" max="6158" width="15.5" style="25" customWidth="1"/>
    <col min="6159" max="6160" width="14" style="25" customWidth="1"/>
    <col min="6161" max="6161" width="8.25" style="25" customWidth="1"/>
    <col min="6162" max="6401" width="9" style="25"/>
    <col min="6402" max="6414" width="15.5" style="25" customWidth="1"/>
    <col min="6415" max="6416" width="14" style="25" customWidth="1"/>
    <col min="6417" max="6417" width="8.25" style="25" customWidth="1"/>
    <col min="6418" max="6657" width="9" style="25"/>
    <col min="6658" max="6670" width="15.5" style="25" customWidth="1"/>
    <col min="6671" max="6672" width="14" style="25" customWidth="1"/>
    <col min="6673" max="6673" width="8.25" style="25" customWidth="1"/>
    <col min="6674" max="6913" width="9" style="25"/>
    <col min="6914" max="6926" width="15.5" style="25" customWidth="1"/>
    <col min="6927" max="6928" width="14" style="25" customWidth="1"/>
    <col min="6929" max="6929" width="8.25" style="25" customWidth="1"/>
    <col min="6930" max="7169" width="9" style="25"/>
    <col min="7170" max="7182" width="15.5" style="25" customWidth="1"/>
    <col min="7183" max="7184" width="14" style="25" customWidth="1"/>
    <col min="7185" max="7185" width="8.25" style="25" customWidth="1"/>
    <col min="7186" max="7425" width="9" style="25"/>
    <col min="7426" max="7438" width="15.5" style="25" customWidth="1"/>
    <col min="7439" max="7440" width="14" style="25" customWidth="1"/>
    <col min="7441" max="7441" width="8.25" style="25" customWidth="1"/>
    <col min="7442" max="7681" width="9" style="25"/>
    <col min="7682" max="7694" width="15.5" style="25" customWidth="1"/>
    <col min="7695" max="7696" width="14" style="25" customWidth="1"/>
    <col min="7697" max="7697" width="8.25" style="25" customWidth="1"/>
    <col min="7698" max="7937" width="9" style="25"/>
    <col min="7938" max="7950" width="15.5" style="25" customWidth="1"/>
    <col min="7951" max="7952" width="14" style="25" customWidth="1"/>
    <col min="7953" max="7953" width="8.25" style="25" customWidth="1"/>
    <col min="7954" max="8193" width="9" style="25"/>
    <col min="8194" max="8206" width="15.5" style="25" customWidth="1"/>
    <col min="8207" max="8208" width="14" style="25" customWidth="1"/>
    <col min="8209" max="8209" width="8.25" style="25" customWidth="1"/>
    <col min="8210" max="8449" width="9" style="25"/>
    <col min="8450" max="8462" width="15.5" style="25" customWidth="1"/>
    <col min="8463" max="8464" width="14" style="25" customWidth="1"/>
    <col min="8465" max="8465" width="8.25" style="25" customWidth="1"/>
    <col min="8466" max="8705" width="9" style="25"/>
    <col min="8706" max="8718" width="15.5" style="25" customWidth="1"/>
    <col min="8719" max="8720" width="14" style="25" customWidth="1"/>
    <col min="8721" max="8721" width="8.25" style="25" customWidth="1"/>
    <col min="8722" max="8961" width="9" style="25"/>
    <col min="8962" max="8974" width="15.5" style="25" customWidth="1"/>
    <col min="8975" max="8976" width="14" style="25" customWidth="1"/>
    <col min="8977" max="8977" width="8.25" style="25" customWidth="1"/>
    <col min="8978" max="9217" width="9" style="25"/>
    <col min="9218" max="9230" width="15.5" style="25" customWidth="1"/>
    <col min="9231" max="9232" width="14" style="25" customWidth="1"/>
    <col min="9233" max="9233" width="8.25" style="25" customWidth="1"/>
    <col min="9234" max="9473" width="9" style="25"/>
    <col min="9474" max="9486" width="15.5" style="25" customWidth="1"/>
    <col min="9487" max="9488" width="14" style="25" customWidth="1"/>
    <col min="9489" max="9489" width="8.25" style="25" customWidth="1"/>
    <col min="9490" max="9729" width="9" style="25"/>
    <col min="9730" max="9742" width="15.5" style="25" customWidth="1"/>
    <col min="9743" max="9744" width="14" style="25" customWidth="1"/>
    <col min="9745" max="9745" width="8.25" style="25" customWidth="1"/>
    <col min="9746" max="9985" width="9" style="25"/>
    <col min="9986" max="9998" width="15.5" style="25" customWidth="1"/>
    <col min="9999" max="10000" width="14" style="25" customWidth="1"/>
    <col min="10001" max="10001" width="8.25" style="25" customWidth="1"/>
    <col min="10002" max="10241" width="9" style="25"/>
    <col min="10242" max="10254" width="15.5" style="25" customWidth="1"/>
    <col min="10255" max="10256" width="14" style="25" customWidth="1"/>
    <col min="10257" max="10257" width="8.25" style="25" customWidth="1"/>
    <col min="10258" max="10497" width="9" style="25"/>
    <col min="10498" max="10510" width="15.5" style="25" customWidth="1"/>
    <col min="10511" max="10512" width="14" style="25" customWidth="1"/>
    <col min="10513" max="10513" width="8.25" style="25" customWidth="1"/>
    <col min="10514" max="10753" width="9" style="25"/>
    <col min="10754" max="10766" width="15.5" style="25" customWidth="1"/>
    <col min="10767" max="10768" width="14" style="25" customWidth="1"/>
    <col min="10769" max="10769" width="8.25" style="25" customWidth="1"/>
    <col min="10770" max="11009" width="9" style="25"/>
    <col min="11010" max="11022" width="15.5" style="25" customWidth="1"/>
    <col min="11023" max="11024" width="14" style="25" customWidth="1"/>
    <col min="11025" max="11025" width="8.25" style="25" customWidth="1"/>
    <col min="11026" max="11265" width="9" style="25"/>
    <col min="11266" max="11278" width="15.5" style="25" customWidth="1"/>
    <col min="11279" max="11280" width="14" style="25" customWidth="1"/>
    <col min="11281" max="11281" width="8.25" style="25" customWidth="1"/>
    <col min="11282" max="11521" width="9" style="25"/>
    <col min="11522" max="11534" width="15.5" style="25" customWidth="1"/>
    <col min="11535" max="11536" width="14" style="25" customWidth="1"/>
    <col min="11537" max="11537" width="8.25" style="25" customWidth="1"/>
    <col min="11538" max="11777" width="9" style="25"/>
    <col min="11778" max="11790" width="15.5" style="25" customWidth="1"/>
    <col min="11791" max="11792" width="14" style="25" customWidth="1"/>
    <col min="11793" max="11793" width="8.25" style="25" customWidth="1"/>
    <col min="11794" max="12033" width="9" style="25"/>
    <col min="12034" max="12046" width="15.5" style="25" customWidth="1"/>
    <col min="12047" max="12048" width="14" style="25" customWidth="1"/>
    <col min="12049" max="12049" width="8.25" style="25" customWidth="1"/>
    <col min="12050" max="12289" width="9" style="25"/>
    <col min="12290" max="12302" width="15.5" style="25" customWidth="1"/>
    <col min="12303" max="12304" width="14" style="25" customWidth="1"/>
    <col min="12305" max="12305" width="8.25" style="25" customWidth="1"/>
    <col min="12306" max="12545" width="9" style="25"/>
    <col min="12546" max="12558" width="15.5" style="25" customWidth="1"/>
    <col min="12559" max="12560" width="14" style="25" customWidth="1"/>
    <col min="12561" max="12561" width="8.25" style="25" customWidth="1"/>
    <col min="12562" max="12801" width="9" style="25"/>
    <col min="12802" max="12814" width="15.5" style="25" customWidth="1"/>
    <col min="12815" max="12816" width="14" style="25" customWidth="1"/>
    <col min="12817" max="12817" width="8.25" style="25" customWidth="1"/>
    <col min="12818" max="13057" width="9" style="25"/>
    <col min="13058" max="13070" width="15.5" style="25" customWidth="1"/>
    <col min="13071" max="13072" width="14" style="25" customWidth="1"/>
    <col min="13073" max="13073" width="8.25" style="25" customWidth="1"/>
    <col min="13074" max="13313" width="9" style="25"/>
    <col min="13314" max="13326" width="15.5" style="25" customWidth="1"/>
    <col min="13327" max="13328" width="14" style="25" customWidth="1"/>
    <col min="13329" max="13329" width="8.25" style="25" customWidth="1"/>
    <col min="13330" max="13569" width="9" style="25"/>
    <col min="13570" max="13582" width="15.5" style="25" customWidth="1"/>
    <col min="13583" max="13584" width="14" style="25" customWidth="1"/>
    <col min="13585" max="13585" width="8.25" style="25" customWidth="1"/>
    <col min="13586" max="13825" width="9" style="25"/>
    <col min="13826" max="13838" width="15.5" style="25" customWidth="1"/>
    <col min="13839" max="13840" width="14" style="25" customWidth="1"/>
    <col min="13841" max="13841" width="8.25" style="25" customWidth="1"/>
    <col min="13842" max="14081" width="9" style="25"/>
    <col min="14082" max="14094" width="15.5" style="25" customWidth="1"/>
    <col min="14095" max="14096" width="14" style="25" customWidth="1"/>
    <col min="14097" max="14097" width="8.25" style="25" customWidth="1"/>
    <col min="14098" max="14337" width="9" style="25"/>
    <col min="14338" max="14350" width="15.5" style="25" customWidth="1"/>
    <col min="14351" max="14352" width="14" style="25" customWidth="1"/>
    <col min="14353" max="14353" width="8.25" style="25" customWidth="1"/>
    <col min="14354" max="14593" width="9" style="25"/>
    <col min="14594" max="14606" width="15.5" style="25" customWidth="1"/>
    <col min="14607" max="14608" width="14" style="25" customWidth="1"/>
    <col min="14609" max="14609" width="8.25" style="25" customWidth="1"/>
    <col min="14610" max="14849" width="9" style="25"/>
    <col min="14850" max="14862" width="15.5" style="25" customWidth="1"/>
    <col min="14863" max="14864" width="14" style="25" customWidth="1"/>
    <col min="14865" max="14865" width="8.25" style="25" customWidth="1"/>
    <col min="14866" max="15105" width="9" style="25"/>
    <col min="15106" max="15118" width="15.5" style="25" customWidth="1"/>
    <col min="15119" max="15120" width="14" style="25" customWidth="1"/>
    <col min="15121" max="15121" width="8.25" style="25" customWidth="1"/>
    <col min="15122" max="15361" width="9" style="25"/>
    <col min="15362" max="15374" width="15.5" style="25" customWidth="1"/>
    <col min="15375" max="15376" width="14" style="25" customWidth="1"/>
    <col min="15377" max="15377" width="8.25" style="25" customWidth="1"/>
    <col min="15378" max="15617" width="9" style="25"/>
    <col min="15618" max="15630" width="15.5" style="25" customWidth="1"/>
    <col min="15631" max="15632" width="14" style="25" customWidth="1"/>
    <col min="15633" max="15633" width="8.25" style="25" customWidth="1"/>
    <col min="15634" max="15873" width="9" style="25"/>
    <col min="15874" max="15886" width="15.5" style="25" customWidth="1"/>
    <col min="15887" max="15888" width="14" style="25" customWidth="1"/>
    <col min="15889" max="15889" width="8.25" style="25" customWidth="1"/>
    <col min="15890" max="16129" width="9" style="25"/>
    <col min="16130" max="16142" width="15.5" style="25" customWidth="1"/>
    <col min="16143" max="16144" width="14" style="25" customWidth="1"/>
    <col min="16145" max="16145" width="8.25" style="25" customWidth="1"/>
    <col min="16146" max="16384" width="9" style="25"/>
  </cols>
  <sheetData>
    <row r="2" spans="1:14" s="95" customFormat="1" ht="13" x14ac:dyDescent="0.25">
      <c r="B2" s="100" t="s">
        <v>150</v>
      </c>
      <c r="C2" s="101"/>
      <c r="D2" s="101"/>
    </row>
    <row r="3" spans="1:14" s="101" customFormat="1" ht="13" x14ac:dyDescent="0.45">
      <c r="A3" s="13"/>
    </row>
    <row r="4" spans="1:14" s="95" customFormat="1" ht="13" x14ac:dyDescent="0.3">
      <c r="B4" s="1"/>
      <c r="C4" s="1"/>
      <c r="D4" s="1"/>
      <c r="G4" s="103" t="s">
        <v>71</v>
      </c>
      <c r="J4" s="103"/>
      <c r="M4" s="103"/>
    </row>
    <row r="5" spans="1:14" s="95" customFormat="1" ht="12.5" x14ac:dyDescent="0.25">
      <c r="B5" s="4" t="s">
        <v>262</v>
      </c>
      <c r="C5" s="4" t="s">
        <v>152</v>
      </c>
      <c r="D5" s="4" t="s">
        <v>260</v>
      </c>
      <c r="E5" s="4" t="s">
        <v>261</v>
      </c>
      <c r="F5" s="5"/>
      <c r="G5" s="5"/>
      <c r="H5" s="5"/>
    </row>
    <row r="6" spans="1:14" s="95" customFormat="1" ht="12.5" x14ac:dyDescent="0.25">
      <c r="B6" s="3">
        <v>0</v>
      </c>
      <c r="C6" s="3">
        <v>0</v>
      </c>
      <c r="D6" s="3">
        <v>201.09</v>
      </c>
      <c r="E6" s="3">
        <v>837.01</v>
      </c>
      <c r="F6" s="1"/>
      <c r="G6" s="2" t="s">
        <v>41</v>
      </c>
      <c r="H6" s="3" t="s">
        <v>154</v>
      </c>
      <c r="J6" s="2" t="s">
        <v>41</v>
      </c>
      <c r="K6" s="3" t="s">
        <v>154</v>
      </c>
      <c r="M6" s="2" t="s">
        <v>41</v>
      </c>
      <c r="N6" s="3" t="s">
        <v>154</v>
      </c>
    </row>
    <row r="7" spans="1:14" s="95" customFormat="1" ht="13" x14ac:dyDescent="0.3">
      <c r="B7" s="3">
        <v>0</v>
      </c>
      <c r="C7" s="3">
        <v>9.25</v>
      </c>
      <c r="D7" s="3">
        <v>315.37</v>
      </c>
      <c r="E7" s="3">
        <v>641.09</v>
      </c>
      <c r="F7" s="1"/>
      <c r="G7" s="7" t="s">
        <v>155</v>
      </c>
      <c r="H7" s="7" t="s">
        <v>259</v>
      </c>
      <c r="J7" s="7" t="s">
        <v>45</v>
      </c>
      <c r="K7" s="7" t="s">
        <v>137</v>
      </c>
      <c r="M7" s="7" t="s">
        <v>43</v>
      </c>
      <c r="N7" s="7" t="s">
        <v>235</v>
      </c>
    </row>
    <row r="8" spans="1:14" s="95" customFormat="1" ht="13" x14ac:dyDescent="0.3">
      <c r="B8" s="3">
        <v>0</v>
      </c>
      <c r="C8" s="3">
        <v>0</v>
      </c>
      <c r="D8" s="3">
        <v>426.94</v>
      </c>
      <c r="E8" s="3">
        <v>434.29</v>
      </c>
      <c r="F8" s="1"/>
      <c r="G8" s="7" t="s">
        <v>44</v>
      </c>
      <c r="H8" s="7" t="s">
        <v>44</v>
      </c>
      <c r="J8" s="7" t="s">
        <v>44</v>
      </c>
      <c r="K8" s="7" t="s">
        <v>44</v>
      </c>
      <c r="M8" s="7" t="s">
        <v>44</v>
      </c>
      <c r="N8" s="7" t="s">
        <v>44</v>
      </c>
    </row>
    <row r="9" spans="1:14" s="95" customFormat="1" ht="13" x14ac:dyDescent="0.3">
      <c r="B9" s="3">
        <v>0.01</v>
      </c>
      <c r="C9" s="3">
        <v>0</v>
      </c>
      <c r="D9" s="3">
        <v>142.59</v>
      </c>
      <c r="E9" s="3">
        <v>570.34</v>
      </c>
      <c r="F9" s="1"/>
      <c r="G9" s="7" t="s">
        <v>236</v>
      </c>
      <c r="H9" s="7" t="s">
        <v>139</v>
      </c>
      <c r="J9" s="7" t="s">
        <v>236</v>
      </c>
      <c r="K9" s="7" t="s">
        <v>139</v>
      </c>
      <c r="M9" s="7" t="s">
        <v>155</v>
      </c>
      <c r="N9" s="7" t="s">
        <v>139</v>
      </c>
    </row>
    <row r="10" spans="1:14" s="95" customFormat="1" ht="12.5" x14ac:dyDescent="0.25">
      <c r="B10" s="3"/>
      <c r="C10" s="3">
        <v>21.5</v>
      </c>
      <c r="D10" s="3">
        <v>165.71</v>
      </c>
      <c r="E10" s="3">
        <v>222.04</v>
      </c>
      <c r="F10" s="1"/>
      <c r="G10" s="2"/>
      <c r="H10" s="3"/>
      <c r="J10" s="2"/>
      <c r="K10" s="3"/>
      <c r="M10" s="2"/>
      <c r="N10" s="3"/>
    </row>
    <row r="11" spans="1:14" s="95" customFormat="1" ht="12.5" x14ac:dyDescent="0.25">
      <c r="B11" s="3"/>
      <c r="C11" s="3">
        <v>0</v>
      </c>
      <c r="D11" s="3">
        <v>401.09</v>
      </c>
      <c r="E11" s="3">
        <v>222.04</v>
      </c>
      <c r="F11" s="1"/>
      <c r="G11" s="2" t="s">
        <v>46</v>
      </c>
      <c r="H11" s="3"/>
      <c r="J11" s="2" t="s">
        <v>46</v>
      </c>
      <c r="K11" s="3"/>
      <c r="M11" s="2" t="s">
        <v>46</v>
      </c>
      <c r="N11" s="3"/>
    </row>
    <row r="12" spans="1:14" s="95" customFormat="1" ht="13" x14ac:dyDescent="0.3">
      <c r="B12" s="3"/>
      <c r="C12" s="3"/>
      <c r="D12" s="3">
        <v>300.41000000000003</v>
      </c>
      <c r="E12" s="3">
        <v>347.21</v>
      </c>
      <c r="F12" s="1"/>
      <c r="G12" s="7" t="s">
        <v>47</v>
      </c>
      <c r="H12" s="8">
        <v>7.3700000000000002E-2</v>
      </c>
      <c r="J12" s="7" t="s">
        <v>47</v>
      </c>
      <c r="K12" s="8">
        <v>5.0000000000000001E-4</v>
      </c>
      <c r="M12" s="7" t="s">
        <v>47</v>
      </c>
      <c r="N12" s="8">
        <v>8.9999999999999998E-4</v>
      </c>
    </row>
    <row r="13" spans="1:14" s="95" customFormat="1" ht="13" x14ac:dyDescent="0.3">
      <c r="G13" s="7" t="s">
        <v>49</v>
      </c>
      <c r="H13" s="8" t="s">
        <v>203</v>
      </c>
      <c r="J13" s="7" t="s">
        <v>49</v>
      </c>
      <c r="K13" s="8" t="s">
        <v>50</v>
      </c>
      <c r="M13" s="7" t="s">
        <v>49</v>
      </c>
      <c r="N13" s="8" t="s">
        <v>50</v>
      </c>
    </row>
    <row r="14" spans="1:14" s="95" customFormat="1" ht="12.5" x14ac:dyDescent="0.25">
      <c r="G14" s="2" t="s">
        <v>51</v>
      </c>
      <c r="H14" s="3" t="s">
        <v>204</v>
      </c>
      <c r="J14" s="2" t="s">
        <v>51</v>
      </c>
      <c r="K14" s="3" t="s">
        <v>52</v>
      </c>
      <c r="M14" s="2" t="s">
        <v>51</v>
      </c>
      <c r="N14" s="3" t="s">
        <v>52</v>
      </c>
    </row>
    <row r="15" spans="1:14" s="95" customFormat="1" ht="12.5" x14ac:dyDescent="0.25">
      <c r="G15" s="2" t="s">
        <v>53</v>
      </c>
      <c r="H15" s="3" t="s">
        <v>54</v>
      </c>
      <c r="J15" s="2" t="s">
        <v>53</v>
      </c>
      <c r="K15" s="3" t="s">
        <v>54</v>
      </c>
      <c r="M15" s="2" t="s">
        <v>53</v>
      </c>
      <c r="N15" s="3" t="s">
        <v>54</v>
      </c>
    </row>
    <row r="16" spans="1:14" s="95" customFormat="1" ht="12.5" x14ac:dyDescent="0.25">
      <c r="G16" s="2" t="s">
        <v>55</v>
      </c>
      <c r="H16" s="3" t="s">
        <v>237</v>
      </c>
      <c r="J16" s="2" t="s">
        <v>55</v>
      </c>
      <c r="K16" s="3" t="s">
        <v>240</v>
      </c>
      <c r="M16" s="2" t="s">
        <v>55</v>
      </c>
      <c r="N16" s="3" t="s">
        <v>246</v>
      </c>
    </row>
    <row r="17" spans="7:14" s="95" customFormat="1" ht="12.5" x14ac:dyDescent="0.25">
      <c r="G17" s="2"/>
      <c r="H17" s="3"/>
      <c r="J17" s="2"/>
      <c r="K17" s="3"/>
      <c r="M17" s="2"/>
      <c r="N17" s="3"/>
    </row>
    <row r="18" spans="7:14" s="95" customFormat="1" ht="12.5" x14ac:dyDescent="0.25">
      <c r="G18" s="2" t="s">
        <v>57</v>
      </c>
      <c r="H18" s="3"/>
      <c r="J18" s="2" t="s">
        <v>57</v>
      </c>
      <c r="K18" s="3"/>
      <c r="M18" s="2" t="s">
        <v>57</v>
      </c>
      <c r="N18" s="3"/>
    </row>
    <row r="19" spans="7:14" s="95" customFormat="1" ht="12.5" x14ac:dyDescent="0.25">
      <c r="G19" s="2" t="s">
        <v>254</v>
      </c>
      <c r="H19" s="3" t="s">
        <v>238</v>
      </c>
      <c r="J19" s="2" t="s">
        <v>60</v>
      </c>
      <c r="K19" s="3" t="s">
        <v>241</v>
      </c>
      <c r="M19" s="2" t="s">
        <v>247</v>
      </c>
      <c r="N19" s="3" t="s">
        <v>248</v>
      </c>
    </row>
    <row r="20" spans="7:14" s="95" customFormat="1" ht="12.5" x14ac:dyDescent="0.25">
      <c r="G20" s="2" t="s">
        <v>239</v>
      </c>
      <c r="H20" s="3" t="s">
        <v>255</v>
      </c>
      <c r="J20" s="2" t="s">
        <v>239</v>
      </c>
      <c r="K20" s="3" t="s">
        <v>242</v>
      </c>
      <c r="M20" s="2" t="s">
        <v>249</v>
      </c>
      <c r="N20" s="3" t="s">
        <v>250</v>
      </c>
    </row>
    <row r="21" spans="7:14" s="95" customFormat="1" ht="12.5" x14ac:dyDescent="0.25">
      <c r="G21" s="2" t="s">
        <v>62</v>
      </c>
      <c r="H21" s="3" t="s">
        <v>256</v>
      </c>
      <c r="J21" s="2" t="s">
        <v>62</v>
      </c>
      <c r="K21" s="3" t="s">
        <v>243</v>
      </c>
      <c r="M21" s="2" t="s">
        <v>62</v>
      </c>
      <c r="N21" s="3" t="s">
        <v>251</v>
      </c>
    </row>
    <row r="22" spans="7:14" s="95" customFormat="1" ht="12.5" x14ac:dyDescent="0.25">
      <c r="G22" s="2" t="s">
        <v>64</v>
      </c>
      <c r="H22" s="3" t="s">
        <v>257</v>
      </c>
      <c r="J22" s="2" t="s">
        <v>64</v>
      </c>
      <c r="K22" s="3" t="s">
        <v>244</v>
      </c>
      <c r="M22" s="2" t="s">
        <v>64</v>
      </c>
      <c r="N22" s="3" t="s">
        <v>252</v>
      </c>
    </row>
    <row r="23" spans="7:14" s="95" customFormat="1" ht="12.5" x14ac:dyDescent="0.25">
      <c r="G23" s="2" t="s">
        <v>66</v>
      </c>
      <c r="H23" s="3">
        <v>0.2424</v>
      </c>
      <c r="J23" s="2" t="s">
        <v>66</v>
      </c>
      <c r="K23" s="3">
        <v>0.68789999999999996</v>
      </c>
      <c r="M23" s="2" t="s">
        <v>66</v>
      </c>
      <c r="N23" s="3">
        <v>0.72260000000000002</v>
      </c>
    </row>
    <row r="24" spans="7:14" s="95" customFormat="1" ht="12.5" x14ac:dyDescent="0.25">
      <c r="G24" s="2"/>
      <c r="H24" s="3"/>
      <c r="J24" s="2"/>
      <c r="K24" s="3"/>
      <c r="M24" s="2"/>
      <c r="N24" s="3"/>
    </row>
    <row r="25" spans="7:14" s="95" customFormat="1" ht="12.5" x14ac:dyDescent="0.25">
      <c r="G25" s="2" t="s">
        <v>67</v>
      </c>
      <c r="H25" s="3"/>
      <c r="J25" s="2" t="s">
        <v>67</v>
      </c>
      <c r="K25" s="3"/>
      <c r="M25" s="2" t="s">
        <v>67</v>
      </c>
      <c r="N25" s="3"/>
    </row>
    <row r="26" spans="7:14" s="95" customFormat="1" ht="12.5" x14ac:dyDescent="0.25">
      <c r="G26" s="2" t="s">
        <v>68</v>
      </c>
      <c r="H26" s="3" t="s">
        <v>258</v>
      </c>
      <c r="J26" s="2" t="s">
        <v>68</v>
      </c>
      <c r="K26" s="3" t="s">
        <v>245</v>
      </c>
      <c r="M26" s="2" t="s">
        <v>68</v>
      </c>
      <c r="N26" s="3" t="s">
        <v>253</v>
      </c>
    </row>
    <row r="27" spans="7:14" s="95" customFormat="1" ht="12.5" x14ac:dyDescent="0.25">
      <c r="G27" s="2" t="s">
        <v>47</v>
      </c>
      <c r="H27" s="3">
        <v>0.1089</v>
      </c>
      <c r="J27" s="2" t="s">
        <v>47</v>
      </c>
      <c r="K27" s="3" t="s">
        <v>48</v>
      </c>
      <c r="M27" s="2" t="s">
        <v>47</v>
      </c>
      <c r="N27" s="3" t="s">
        <v>48</v>
      </c>
    </row>
    <row r="28" spans="7:14" s="95" customFormat="1" ht="12.5" x14ac:dyDescent="0.25">
      <c r="G28" s="2" t="s">
        <v>49</v>
      </c>
      <c r="H28" s="3" t="s">
        <v>203</v>
      </c>
      <c r="J28" s="2" t="s">
        <v>49</v>
      </c>
      <c r="K28" s="3" t="s">
        <v>50</v>
      </c>
      <c r="M28" s="2" t="s">
        <v>49</v>
      </c>
      <c r="N28" s="3" t="s">
        <v>50</v>
      </c>
    </row>
    <row r="29" spans="7:14" s="95" customFormat="1" ht="12.5" x14ac:dyDescent="0.25">
      <c r="G29" s="2" t="s">
        <v>70</v>
      </c>
      <c r="H29" s="3" t="s">
        <v>204</v>
      </c>
      <c r="J29" s="2" t="s">
        <v>70</v>
      </c>
      <c r="K29" s="3" t="s">
        <v>52</v>
      </c>
      <c r="M29" s="2" t="s">
        <v>70</v>
      </c>
      <c r="N29" s="3" t="s">
        <v>52</v>
      </c>
    </row>
    <row r="30" spans="7:14" s="95" customFormat="1" ht="12.5" x14ac:dyDescent="0.25"/>
    <row r="31" spans="7:14" s="95" customFormat="1" ht="12.5" x14ac:dyDescent="0.25"/>
    <row r="32" spans="7:14" s="95" customFormat="1" ht="12.5" x14ac:dyDescent="0.25"/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E1FD-2568-41C7-B276-935082E2EC8B}">
  <dimension ref="B2:Y20"/>
  <sheetViews>
    <sheetView zoomScale="90" zoomScaleNormal="90" workbookViewId="0">
      <selection activeCell="I32" sqref="I32"/>
    </sheetView>
  </sheetViews>
  <sheetFormatPr defaultColWidth="9" defaultRowHeight="14" x14ac:dyDescent="0.3"/>
  <cols>
    <col min="1" max="1" width="9" style="25"/>
    <col min="2" max="2" width="14.33203125" style="37" customWidth="1"/>
    <col min="3" max="3" width="6.33203125" style="35" customWidth="1"/>
    <col min="4" max="5" width="6.5" style="36" customWidth="1"/>
    <col min="6" max="6" width="7.5" style="36" bestFit="1" customWidth="1"/>
    <col min="7" max="7" width="6.33203125" style="25" bestFit="1" customWidth="1"/>
    <col min="8" max="8" width="6.75" style="25" customWidth="1"/>
    <col min="9" max="9" width="6.33203125" style="25" bestFit="1" customWidth="1"/>
    <col min="10" max="10" width="6.75" style="25" customWidth="1"/>
    <col min="11" max="11" width="6.33203125" style="25" bestFit="1" customWidth="1"/>
    <col min="12" max="12" width="6.75" style="25" customWidth="1"/>
    <col min="13" max="13" width="6.33203125" style="25" bestFit="1" customWidth="1"/>
    <col min="14" max="14" width="6.75" style="25" customWidth="1"/>
    <col min="15" max="15" width="6.33203125" style="25" bestFit="1" customWidth="1"/>
    <col min="16" max="16" width="6.75" style="25" customWidth="1"/>
    <col min="17" max="17" width="6.33203125" style="25" bestFit="1" customWidth="1"/>
    <col min="18" max="18" width="6.75" style="25" customWidth="1"/>
    <col min="19" max="19" width="5.75" style="25" customWidth="1"/>
    <col min="20" max="20" width="7.5" style="25" bestFit="1" customWidth="1"/>
    <col min="21" max="21" width="6.33203125" style="25" bestFit="1" customWidth="1"/>
    <col min="22" max="22" width="7.5" style="25" bestFit="1" customWidth="1"/>
    <col min="23" max="23" width="6.33203125" style="25" bestFit="1" customWidth="1"/>
    <col min="24" max="24" width="7.5" style="25" bestFit="1" customWidth="1"/>
    <col min="25" max="16384" width="9" style="25"/>
  </cols>
  <sheetData>
    <row r="2" spans="2:25" s="95" customFormat="1" ht="13" x14ac:dyDescent="0.25">
      <c r="C2" s="100" t="s">
        <v>108</v>
      </c>
      <c r="D2" s="101"/>
      <c r="E2" s="101"/>
    </row>
    <row r="3" spans="2:25" s="95" customFormat="1" ht="13" x14ac:dyDescent="0.25">
      <c r="C3" s="100"/>
      <c r="D3" s="101"/>
      <c r="E3" s="101"/>
    </row>
    <row r="4" spans="2:25" s="95" customFormat="1" ht="12.5" x14ac:dyDescent="0.25">
      <c r="B4" s="5"/>
      <c r="C4" s="96"/>
      <c r="D4" s="98"/>
      <c r="E4" s="98"/>
      <c r="F4" s="98"/>
    </row>
    <row r="5" spans="2:25" s="95" customFormat="1" ht="12.75" customHeight="1" x14ac:dyDescent="0.25">
      <c r="B5" s="4"/>
      <c r="C5" s="27" t="s">
        <v>72</v>
      </c>
      <c r="D5" s="27" t="s">
        <v>172</v>
      </c>
      <c r="E5" s="358" t="s">
        <v>173</v>
      </c>
      <c r="F5" s="359"/>
      <c r="G5" s="358" t="s">
        <v>174</v>
      </c>
      <c r="H5" s="359"/>
      <c r="I5" s="358" t="s">
        <v>103</v>
      </c>
      <c r="J5" s="359"/>
      <c r="K5" s="358" t="s">
        <v>175</v>
      </c>
      <c r="L5" s="359"/>
      <c r="M5" s="358" t="s">
        <v>277</v>
      </c>
      <c r="N5" s="359"/>
      <c r="O5" s="358" t="s">
        <v>74</v>
      </c>
      <c r="P5" s="359"/>
      <c r="Q5" s="358" t="s">
        <v>176</v>
      </c>
      <c r="R5" s="359"/>
      <c r="S5" s="358" t="s">
        <v>75</v>
      </c>
      <c r="T5" s="359"/>
      <c r="U5" s="358" t="s">
        <v>264</v>
      </c>
      <c r="V5" s="359"/>
      <c r="W5" s="358" t="s">
        <v>278</v>
      </c>
      <c r="X5" s="359"/>
    </row>
    <row r="6" spans="2:25" s="95" customFormat="1" ht="12.75" customHeight="1" x14ac:dyDescent="0.25">
      <c r="B6" s="4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2:25" s="95" customFormat="1" ht="12.75" customHeight="1" x14ac:dyDescent="0.25">
      <c r="B7" s="354" t="s">
        <v>861</v>
      </c>
      <c r="C7" s="44" t="s">
        <v>279</v>
      </c>
      <c r="D7" s="45">
        <v>24.65</v>
      </c>
      <c r="E7" s="40">
        <v>23.25</v>
      </c>
      <c r="F7" s="46">
        <f>E7/D7*100</f>
        <v>94.320486815415833</v>
      </c>
      <c r="G7" s="40">
        <v>22.07</v>
      </c>
      <c r="H7" s="46">
        <f>G7/D7*100</f>
        <v>89.533468559837743</v>
      </c>
      <c r="I7" s="40">
        <v>23.29</v>
      </c>
      <c r="J7" s="46">
        <f>I7/D7*100</f>
        <v>94.482758620689651</v>
      </c>
      <c r="K7" s="40">
        <v>21.07</v>
      </c>
      <c r="L7" s="46">
        <f>K7/D7*100</f>
        <v>85.476673427991884</v>
      </c>
      <c r="M7" s="40">
        <v>20.29</v>
      </c>
      <c r="N7" s="46">
        <f>M7/D7*100</f>
        <v>82.312373225152129</v>
      </c>
      <c r="O7" s="40">
        <v>19.309999999999999</v>
      </c>
      <c r="P7" s="52">
        <f>O7/D7*100</f>
        <v>78.336713995943214</v>
      </c>
      <c r="Q7" s="40">
        <v>18.45</v>
      </c>
      <c r="R7" s="52">
        <f>Q7/D7*100</f>
        <v>74.847870182555781</v>
      </c>
      <c r="S7" s="40">
        <v>18.73</v>
      </c>
      <c r="T7" s="52">
        <f>S7/D7*100</f>
        <v>75.983772819472634</v>
      </c>
      <c r="U7" s="40">
        <v>18.43</v>
      </c>
      <c r="V7" s="52">
        <f>U7/D7*100</f>
        <v>74.766734279918865</v>
      </c>
      <c r="W7" s="40">
        <v>18.559999999999999</v>
      </c>
      <c r="X7" s="50">
        <f>W7/D7*100</f>
        <v>75.294117647058826</v>
      </c>
      <c r="Y7" s="49" t="s">
        <v>121</v>
      </c>
    </row>
    <row r="8" spans="2:25" s="95" customFormat="1" ht="12.75" customHeight="1" x14ac:dyDescent="0.3">
      <c r="B8" s="354"/>
      <c r="C8" s="44" t="s">
        <v>280</v>
      </c>
      <c r="D8" s="45">
        <v>24.12</v>
      </c>
      <c r="E8" s="40">
        <v>22.53</v>
      </c>
      <c r="F8" s="46">
        <f t="shared" ref="F8:F16" si="0">E8/D8*100</f>
        <v>93.407960199004975</v>
      </c>
      <c r="G8" s="40">
        <v>20.440000000000001</v>
      </c>
      <c r="H8" s="46">
        <f t="shared" ref="H8:H16" si="1">G8/D8*100</f>
        <v>84.742951907131015</v>
      </c>
      <c r="I8" s="40">
        <v>21.96</v>
      </c>
      <c r="J8" s="46">
        <f t="shared" ref="J8:J16" si="2">I8/D8*100</f>
        <v>91.044776119402982</v>
      </c>
      <c r="K8" s="40">
        <v>20.329999999999998</v>
      </c>
      <c r="L8" s="46">
        <f t="shared" ref="L8:L16" si="3">K8/D8*100</f>
        <v>84.286898839137635</v>
      </c>
      <c r="M8" s="40">
        <v>17.86</v>
      </c>
      <c r="N8" s="52">
        <f t="shared" ref="N8:N16" si="4">M8/D8*100</f>
        <v>74.04643449419568</v>
      </c>
      <c r="O8" s="40">
        <v>17.600000000000001</v>
      </c>
      <c r="P8" s="52">
        <f t="shared" ref="P8:P16" si="5">O8/D8*100</f>
        <v>72.968490878938638</v>
      </c>
      <c r="Q8" s="40">
        <v>17.39</v>
      </c>
      <c r="R8" s="52">
        <f t="shared" ref="R8:R16" si="6">Q8/D8*100</f>
        <v>72.097844112769479</v>
      </c>
      <c r="S8" s="49" t="s">
        <v>291</v>
      </c>
      <c r="T8" s="53"/>
      <c r="U8" s="48"/>
      <c r="V8" s="53"/>
      <c r="W8" s="48"/>
      <c r="X8" s="54"/>
    </row>
    <row r="9" spans="2:25" s="95" customFormat="1" ht="12.75" customHeight="1" x14ac:dyDescent="0.25">
      <c r="B9" s="354"/>
      <c r="C9" s="44" t="s">
        <v>281</v>
      </c>
      <c r="D9" s="45">
        <v>22.79</v>
      </c>
      <c r="E9" s="40">
        <v>21.15</v>
      </c>
      <c r="F9" s="46">
        <f t="shared" si="0"/>
        <v>92.803861342694162</v>
      </c>
      <c r="G9" s="40">
        <v>18.399999999999999</v>
      </c>
      <c r="H9" s="46">
        <f t="shared" si="1"/>
        <v>80.737165423431321</v>
      </c>
      <c r="I9" s="40">
        <v>19.68</v>
      </c>
      <c r="J9" s="46">
        <f t="shared" si="2"/>
        <v>86.353663887670024</v>
      </c>
      <c r="K9" s="40">
        <v>17.29</v>
      </c>
      <c r="L9" s="52">
        <f t="shared" si="3"/>
        <v>75.866608161474318</v>
      </c>
      <c r="M9" s="48">
        <v>16.649999999999999</v>
      </c>
      <c r="N9" s="52">
        <f t="shared" si="4"/>
        <v>73.058358929354966</v>
      </c>
      <c r="O9" s="48">
        <v>15.87</v>
      </c>
      <c r="P9" s="52">
        <f t="shared" si="5"/>
        <v>69.635805177709514</v>
      </c>
      <c r="Q9" s="48">
        <v>15.53</v>
      </c>
      <c r="R9" s="52">
        <f t="shared" si="6"/>
        <v>68.143922773146116</v>
      </c>
      <c r="S9" s="48">
        <v>15.1</v>
      </c>
      <c r="T9" s="52">
        <f t="shared" ref="T9:T16" si="7">S9/D9*100</f>
        <v>66.257130320315923</v>
      </c>
      <c r="U9" s="48">
        <v>15.3</v>
      </c>
      <c r="V9" s="52">
        <f t="shared" ref="V9:V10" si="8">U9/D9*100</f>
        <v>67.134708205353235</v>
      </c>
      <c r="W9" s="48">
        <v>15.85</v>
      </c>
      <c r="X9" s="50">
        <f>W9/D9*100</f>
        <v>69.548047389205792</v>
      </c>
      <c r="Y9" s="49" t="s">
        <v>292</v>
      </c>
    </row>
    <row r="10" spans="2:25" s="95" customFormat="1" ht="12.75" customHeight="1" x14ac:dyDescent="0.3">
      <c r="B10" s="354"/>
      <c r="C10" s="44" t="s">
        <v>282</v>
      </c>
      <c r="D10" s="45">
        <v>22.44</v>
      </c>
      <c r="E10" s="40">
        <v>20.72</v>
      </c>
      <c r="F10" s="46">
        <f t="shared" si="0"/>
        <v>92.335115864527623</v>
      </c>
      <c r="G10" s="40">
        <v>17.68</v>
      </c>
      <c r="H10" s="52">
        <f t="shared" si="1"/>
        <v>78.787878787878782</v>
      </c>
      <c r="I10" s="40">
        <v>18.57</v>
      </c>
      <c r="J10" s="46">
        <f t="shared" si="2"/>
        <v>82.754010695187162</v>
      </c>
      <c r="K10" s="40">
        <v>16.62</v>
      </c>
      <c r="L10" s="52">
        <f t="shared" si="3"/>
        <v>74.064171122994651</v>
      </c>
      <c r="M10" s="48">
        <v>16.02</v>
      </c>
      <c r="N10" s="52">
        <f t="shared" si="4"/>
        <v>71.390374331550802</v>
      </c>
      <c r="O10" s="48">
        <v>15.42</v>
      </c>
      <c r="P10" s="52">
        <f t="shared" si="5"/>
        <v>68.716577540106954</v>
      </c>
      <c r="Q10" s="48">
        <v>14.88</v>
      </c>
      <c r="R10" s="52">
        <f t="shared" si="6"/>
        <v>66.310160427807489</v>
      </c>
      <c r="S10" s="48">
        <v>14.49</v>
      </c>
      <c r="T10" s="52">
        <f t="shared" si="7"/>
        <v>64.572192513368989</v>
      </c>
      <c r="U10" s="48">
        <v>13.96</v>
      </c>
      <c r="V10" s="52">
        <f t="shared" si="8"/>
        <v>62.21033868092691</v>
      </c>
      <c r="W10" s="49" t="s">
        <v>290</v>
      </c>
      <c r="X10" s="54"/>
    </row>
    <row r="11" spans="2:25" s="95" customFormat="1" ht="12.75" customHeight="1" x14ac:dyDescent="0.25">
      <c r="B11" s="354"/>
      <c r="C11" s="44" t="s">
        <v>283</v>
      </c>
      <c r="D11" s="45">
        <v>23.32</v>
      </c>
      <c r="E11" s="40">
        <v>22.62</v>
      </c>
      <c r="F11" s="46">
        <f t="shared" si="0"/>
        <v>96.99828473413379</v>
      </c>
      <c r="G11" s="40">
        <v>20.13</v>
      </c>
      <c r="H11" s="46">
        <f t="shared" si="1"/>
        <v>86.320754716981128</v>
      </c>
      <c r="I11" s="40">
        <v>21.92</v>
      </c>
      <c r="J11" s="46">
        <f t="shared" si="2"/>
        <v>93.996569468267595</v>
      </c>
      <c r="K11" s="40">
        <v>18.760000000000002</v>
      </c>
      <c r="L11" s="46">
        <f t="shared" si="3"/>
        <v>80.445969125214418</v>
      </c>
      <c r="M11" s="40">
        <v>18.329999999999998</v>
      </c>
      <c r="N11" s="52">
        <f t="shared" si="4"/>
        <v>78.602058319039443</v>
      </c>
      <c r="O11" s="48">
        <v>16.940000000000001</v>
      </c>
      <c r="P11" s="52">
        <f t="shared" si="5"/>
        <v>72.64150943396227</v>
      </c>
      <c r="Q11" s="48">
        <v>15.85</v>
      </c>
      <c r="R11" s="52">
        <f t="shared" si="6"/>
        <v>67.967409948542027</v>
      </c>
      <c r="S11" s="48">
        <v>14.65</v>
      </c>
      <c r="T11" s="52">
        <f t="shared" si="7"/>
        <v>62.821612349914233</v>
      </c>
      <c r="U11" s="49" t="s">
        <v>289</v>
      </c>
      <c r="V11" s="52"/>
      <c r="W11" s="48"/>
      <c r="X11" s="50"/>
    </row>
    <row r="12" spans="2:25" s="95" customFormat="1" ht="12.75" customHeight="1" x14ac:dyDescent="0.25">
      <c r="B12" s="354" t="s">
        <v>860</v>
      </c>
      <c r="C12" s="44" t="s">
        <v>284</v>
      </c>
      <c r="D12" s="45">
        <v>26.07</v>
      </c>
      <c r="E12" s="40">
        <v>26.24</v>
      </c>
      <c r="F12" s="46">
        <f t="shared" si="0"/>
        <v>100.65209052550823</v>
      </c>
      <c r="G12" s="40">
        <v>26.91</v>
      </c>
      <c r="H12" s="46">
        <f t="shared" si="1"/>
        <v>103.22209436133487</v>
      </c>
      <c r="I12" s="40">
        <v>27.03</v>
      </c>
      <c r="J12" s="46">
        <f t="shared" si="2"/>
        <v>103.68239355581127</v>
      </c>
      <c r="K12" s="40">
        <v>28.16</v>
      </c>
      <c r="L12" s="46">
        <f t="shared" si="3"/>
        <v>108.01687763713079</v>
      </c>
      <c r="M12" s="40">
        <v>27.7</v>
      </c>
      <c r="N12" s="46">
        <f t="shared" si="4"/>
        <v>106.2523973916379</v>
      </c>
      <c r="O12" s="40">
        <v>28.17</v>
      </c>
      <c r="P12" s="46">
        <f t="shared" si="5"/>
        <v>108.05523590333716</v>
      </c>
      <c r="Q12" s="40">
        <v>27.38</v>
      </c>
      <c r="R12" s="46">
        <f t="shared" si="6"/>
        <v>105.02493287303413</v>
      </c>
      <c r="S12" s="40">
        <v>28.4</v>
      </c>
      <c r="T12" s="46">
        <f t="shared" si="7"/>
        <v>108.93747602608362</v>
      </c>
      <c r="U12" s="40">
        <v>28.12</v>
      </c>
      <c r="V12" s="46">
        <f t="shared" ref="V12:V16" si="9">U12/D12*100</f>
        <v>107.86344457230534</v>
      </c>
      <c r="W12" s="40">
        <v>28.78</v>
      </c>
      <c r="X12" s="47">
        <f t="shared" ref="X12:X16" si="10">W12/D12*100</f>
        <v>110.39509014192559</v>
      </c>
    </row>
    <row r="13" spans="2:25" s="95" customFormat="1" ht="12.75" customHeight="1" x14ac:dyDescent="0.25">
      <c r="B13" s="354"/>
      <c r="C13" s="44" t="s">
        <v>285</v>
      </c>
      <c r="D13" s="45">
        <v>25.86</v>
      </c>
      <c r="E13" s="40">
        <v>25.01</v>
      </c>
      <c r="F13" s="46">
        <f t="shared" si="0"/>
        <v>96.713070378963664</v>
      </c>
      <c r="G13" s="40">
        <v>25.73</v>
      </c>
      <c r="H13" s="46">
        <f t="shared" si="1"/>
        <v>99.497293116782686</v>
      </c>
      <c r="I13" s="40">
        <v>25.38</v>
      </c>
      <c r="J13" s="46">
        <f t="shared" si="2"/>
        <v>98.143851508120648</v>
      </c>
      <c r="K13" s="40">
        <v>26.1</v>
      </c>
      <c r="L13" s="46">
        <f t="shared" si="3"/>
        <v>100.92807424593968</v>
      </c>
      <c r="M13" s="40">
        <v>25.58</v>
      </c>
      <c r="N13" s="46">
        <f t="shared" si="4"/>
        <v>98.917246713070369</v>
      </c>
      <c r="O13" s="40">
        <v>25.01</v>
      </c>
      <c r="P13" s="46">
        <f t="shared" si="5"/>
        <v>96.713070378963664</v>
      </c>
      <c r="Q13" s="40">
        <v>25.36</v>
      </c>
      <c r="R13" s="46">
        <f t="shared" si="6"/>
        <v>98.066511987625688</v>
      </c>
      <c r="S13" s="40">
        <v>25.97</v>
      </c>
      <c r="T13" s="46">
        <f t="shared" si="7"/>
        <v>100.42536736272234</v>
      </c>
      <c r="U13" s="40">
        <v>25.4</v>
      </c>
      <c r="V13" s="46">
        <f t="shared" si="9"/>
        <v>98.221191028615621</v>
      </c>
      <c r="W13" s="40">
        <v>25.79</v>
      </c>
      <c r="X13" s="47">
        <f t="shared" si="10"/>
        <v>99.729311678267592</v>
      </c>
    </row>
    <row r="14" spans="2:25" s="95" customFormat="1" ht="12.75" customHeight="1" x14ac:dyDescent="0.25">
      <c r="B14" s="354"/>
      <c r="C14" s="44" t="s">
        <v>286</v>
      </c>
      <c r="D14" s="45">
        <v>18.29</v>
      </c>
      <c r="E14" s="40">
        <v>18.07</v>
      </c>
      <c r="F14" s="46">
        <f t="shared" si="0"/>
        <v>98.797156916347745</v>
      </c>
      <c r="G14" s="40">
        <v>18.11</v>
      </c>
      <c r="H14" s="46">
        <f t="shared" si="1"/>
        <v>99.015855658829963</v>
      </c>
      <c r="I14" s="40">
        <v>18.260000000000002</v>
      </c>
      <c r="J14" s="46">
        <f t="shared" si="2"/>
        <v>99.835975943138351</v>
      </c>
      <c r="K14" s="40">
        <v>18.72</v>
      </c>
      <c r="L14" s="46">
        <f t="shared" si="3"/>
        <v>102.35101148168397</v>
      </c>
      <c r="M14" s="40">
        <v>18.53</v>
      </c>
      <c r="N14" s="46">
        <f t="shared" si="4"/>
        <v>101.31219245489341</v>
      </c>
      <c r="O14" s="40">
        <v>18.75</v>
      </c>
      <c r="P14" s="46">
        <f t="shared" si="5"/>
        <v>102.51503553854566</v>
      </c>
      <c r="Q14" s="40">
        <v>18.899999999999999</v>
      </c>
      <c r="R14" s="46">
        <f t="shared" si="6"/>
        <v>103.33515582285402</v>
      </c>
      <c r="S14" s="40">
        <v>19.28</v>
      </c>
      <c r="T14" s="46">
        <f t="shared" si="7"/>
        <v>105.41279387643523</v>
      </c>
      <c r="U14" s="40">
        <v>19.04</v>
      </c>
      <c r="V14" s="46">
        <f t="shared" si="9"/>
        <v>104.10060142154182</v>
      </c>
      <c r="W14" s="40">
        <v>19.23</v>
      </c>
      <c r="X14" s="47">
        <f t="shared" si="10"/>
        <v>105.13942044833242</v>
      </c>
    </row>
    <row r="15" spans="2:25" s="95" customFormat="1" ht="12.75" customHeight="1" x14ac:dyDescent="0.25">
      <c r="B15" s="354"/>
      <c r="C15" s="44" t="s">
        <v>287</v>
      </c>
      <c r="D15" s="45">
        <v>18.27</v>
      </c>
      <c r="E15" s="40">
        <v>18.149999999999999</v>
      </c>
      <c r="F15" s="46">
        <f t="shared" si="0"/>
        <v>99.343185550082097</v>
      </c>
      <c r="G15" s="40">
        <v>19.260000000000002</v>
      </c>
      <c r="H15" s="46">
        <f t="shared" si="1"/>
        <v>105.41871921182266</v>
      </c>
      <c r="I15" s="40">
        <v>18.28</v>
      </c>
      <c r="J15" s="46">
        <f t="shared" si="2"/>
        <v>100.05473453749316</v>
      </c>
      <c r="K15" s="40">
        <v>19.36</v>
      </c>
      <c r="L15" s="46">
        <f t="shared" si="3"/>
        <v>105.96606458675424</v>
      </c>
      <c r="M15" s="40">
        <v>18.72</v>
      </c>
      <c r="N15" s="46">
        <f t="shared" si="4"/>
        <v>102.4630541871921</v>
      </c>
      <c r="O15" s="40">
        <v>18.89</v>
      </c>
      <c r="P15" s="46">
        <f t="shared" si="5"/>
        <v>103.39354132457581</v>
      </c>
      <c r="Q15" s="40">
        <v>19.239999999999998</v>
      </c>
      <c r="R15" s="46">
        <f t="shared" si="6"/>
        <v>105.30925013683634</v>
      </c>
      <c r="S15" s="40">
        <v>19.809999999999999</v>
      </c>
      <c r="T15" s="46">
        <f t="shared" si="7"/>
        <v>108.42911877394637</v>
      </c>
      <c r="U15" s="40">
        <v>19.39</v>
      </c>
      <c r="V15" s="46">
        <f t="shared" si="9"/>
        <v>106.13026819923373</v>
      </c>
      <c r="W15" s="40">
        <v>19.559999999999999</v>
      </c>
      <c r="X15" s="47">
        <f t="shared" si="10"/>
        <v>107.0607553366174</v>
      </c>
    </row>
    <row r="16" spans="2:25" s="95" customFormat="1" ht="12.75" customHeight="1" x14ac:dyDescent="0.25">
      <c r="B16" s="354"/>
      <c r="C16" s="44" t="s">
        <v>288</v>
      </c>
      <c r="D16" s="45">
        <v>18.37</v>
      </c>
      <c r="E16" s="40">
        <v>18.809999999999999</v>
      </c>
      <c r="F16" s="46">
        <f t="shared" si="0"/>
        <v>102.39520958083833</v>
      </c>
      <c r="G16" s="40">
        <v>19.399999999999999</v>
      </c>
      <c r="H16" s="46">
        <f t="shared" si="1"/>
        <v>105.60696788241697</v>
      </c>
      <c r="I16" s="40">
        <v>17.91</v>
      </c>
      <c r="J16" s="46">
        <f t="shared" si="2"/>
        <v>97.495917256396297</v>
      </c>
      <c r="K16" s="40">
        <v>19.78</v>
      </c>
      <c r="L16" s="46">
        <f t="shared" si="3"/>
        <v>107.67555797495918</v>
      </c>
      <c r="M16" s="40">
        <v>19.5</v>
      </c>
      <c r="N16" s="46">
        <f t="shared" si="4"/>
        <v>106.15133369624388</v>
      </c>
      <c r="O16" s="40">
        <v>19.010000000000002</v>
      </c>
      <c r="P16" s="46">
        <f t="shared" si="5"/>
        <v>103.48394120849211</v>
      </c>
      <c r="Q16" s="40">
        <v>19.89</v>
      </c>
      <c r="R16" s="46">
        <f t="shared" si="6"/>
        <v>108.27436037016875</v>
      </c>
      <c r="S16" s="40">
        <v>19.86</v>
      </c>
      <c r="T16" s="46">
        <f t="shared" si="7"/>
        <v>108.11105062602067</v>
      </c>
      <c r="U16" s="40">
        <v>20.420000000000002</v>
      </c>
      <c r="V16" s="46">
        <f t="shared" si="9"/>
        <v>111.15949918345129</v>
      </c>
      <c r="W16" s="40">
        <v>20.260000000000002</v>
      </c>
      <c r="X16" s="47">
        <f t="shared" si="10"/>
        <v>110.28851388132826</v>
      </c>
    </row>
    <row r="17" spans="2:6" s="95" customFormat="1" ht="12.75" customHeight="1" x14ac:dyDescent="0.3">
      <c r="B17" s="5"/>
      <c r="C17" s="96"/>
      <c r="D17" s="97" t="s">
        <v>13</v>
      </c>
      <c r="E17" s="98"/>
      <c r="F17" s="98"/>
    </row>
    <row r="18" spans="2:6" s="95" customFormat="1" ht="12.75" customHeight="1" x14ac:dyDescent="0.3">
      <c r="B18" s="5"/>
      <c r="C18" s="96"/>
      <c r="D18" s="26" t="s">
        <v>107</v>
      </c>
      <c r="E18" s="98"/>
      <c r="F18" s="98"/>
    </row>
    <row r="19" spans="2:6" s="95" customFormat="1" ht="12.75" customHeight="1" x14ac:dyDescent="0.25">
      <c r="B19" s="5"/>
      <c r="C19" s="96"/>
      <c r="D19" s="98"/>
      <c r="E19" s="98"/>
      <c r="F19" s="98"/>
    </row>
    <row r="20" spans="2:6" s="95" customFormat="1" ht="12.75" customHeight="1" x14ac:dyDescent="0.25">
      <c r="B20" s="5"/>
      <c r="C20" s="96"/>
      <c r="D20" s="98"/>
      <c r="E20" s="98"/>
      <c r="F20" s="98"/>
    </row>
  </sheetData>
  <mergeCells count="12">
    <mergeCell ref="B12:B16"/>
    <mergeCell ref="Q5:R5"/>
    <mergeCell ref="S5:T5"/>
    <mergeCell ref="U5:V5"/>
    <mergeCell ref="W5:X5"/>
    <mergeCell ref="B7:B11"/>
    <mergeCell ref="G5:H5"/>
    <mergeCell ref="I5:J5"/>
    <mergeCell ref="K5:L5"/>
    <mergeCell ref="M5:N5"/>
    <mergeCell ref="O5:P5"/>
    <mergeCell ref="E5:F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60</vt:i4>
      </vt:variant>
    </vt:vector>
  </HeadingPairs>
  <TitlesOfParts>
    <vt:vector size="60" baseType="lpstr">
      <vt:lpstr>Fig. 1c</vt:lpstr>
      <vt:lpstr>Fig. 1d</vt:lpstr>
      <vt:lpstr>Fig. 1e</vt:lpstr>
      <vt:lpstr>Fig. 1f</vt:lpstr>
      <vt:lpstr>Fig. 1g</vt:lpstr>
      <vt:lpstr>Fig. 1h</vt:lpstr>
      <vt:lpstr>Fig. 1i</vt:lpstr>
      <vt:lpstr>Fig. 1j</vt:lpstr>
      <vt:lpstr>Fig. 1k</vt:lpstr>
      <vt:lpstr>Fig. 1l</vt:lpstr>
      <vt:lpstr>Fig. 1m</vt:lpstr>
      <vt:lpstr>Fig. 2a</vt:lpstr>
      <vt:lpstr>Fig. 2b</vt:lpstr>
      <vt:lpstr>Fig. 2c</vt:lpstr>
      <vt:lpstr>Fig. 2d</vt:lpstr>
      <vt:lpstr>Fig. 2e</vt:lpstr>
      <vt:lpstr>Fig. 2f</vt:lpstr>
      <vt:lpstr>Fig. 2g</vt:lpstr>
      <vt:lpstr>Fig. 2h</vt:lpstr>
      <vt:lpstr>Fig. 3d</vt:lpstr>
      <vt:lpstr>Fig. 3e</vt:lpstr>
      <vt:lpstr>Fig. 3i</vt:lpstr>
      <vt:lpstr>Fig.4b</vt:lpstr>
      <vt:lpstr>Fig. 4c</vt:lpstr>
      <vt:lpstr>Fig. 4e</vt:lpstr>
      <vt:lpstr>Fig. 5c</vt:lpstr>
      <vt:lpstr>Fig. 5d</vt:lpstr>
      <vt:lpstr>Fig. 5g</vt:lpstr>
      <vt:lpstr>Fig. 6c</vt:lpstr>
      <vt:lpstr>Fig. 6f</vt:lpstr>
      <vt:lpstr>Fig. 7b</vt:lpstr>
      <vt:lpstr>Fig. 7c</vt:lpstr>
      <vt:lpstr>Fig. 7e</vt:lpstr>
      <vt:lpstr>Fig. 7f</vt:lpstr>
      <vt:lpstr>suppl Fig.1a</vt:lpstr>
      <vt:lpstr>suppl Fig.2a.2b</vt:lpstr>
      <vt:lpstr>suppl Fig.3a</vt:lpstr>
      <vt:lpstr>suppl Fig.3b</vt:lpstr>
      <vt:lpstr>suppl Fig.4a</vt:lpstr>
      <vt:lpstr>suppl Fig.4b</vt:lpstr>
      <vt:lpstr>suppl Fig.4c</vt:lpstr>
      <vt:lpstr>suppl Fig.4d</vt:lpstr>
      <vt:lpstr>suppl Fig.5a</vt:lpstr>
      <vt:lpstr>suppl Fig.5b</vt:lpstr>
      <vt:lpstr>suppl Fig.8a</vt:lpstr>
      <vt:lpstr>suppl Fig.10c</vt:lpstr>
      <vt:lpstr>suppl Fig.10d</vt:lpstr>
      <vt:lpstr>suppl Fig.10e</vt:lpstr>
      <vt:lpstr>suppl Fig.10f</vt:lpstr>
      <vt:lpstr>suppl Fig.12a</vt:lpstr>
      <vt:lpstr>suppl Fig.12b</vt:lpstr>
      <vt:lpstr>suppl Fig.13b</vt:lpstr>
      <vt:lpstr>suppl Fig.14a</vt:lpstr>
      <vt:lpstr>suppl Fig.14c</vt:lpstr>
      <vt:lpstr>suppl Fig.16a</vt:lpstr>
      <vt:lpstr>suppl Fig.18</vt:lpstr>
      <vt:lpstr>suppl Fig.19b</vt:lpstr>
      <vt:lpstr>suppl Fig.19c</vt:lpstr>
      <vt:lpstr>suppl Fig.20a</vt:lpstr>
      <vt:lpstr>suppl Fig.20b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Ugur Uslu</dc:creator>
  <cp:lastModifiedBy>최 경호</cp:lastModifiedBy>
  <dcterms:created xsi:type="dcterms:W3CDTF">2024-03-22T13:29:16Z</dcterms:created>
  <dcterms:modified xsi:type="dcterms:W3CDTF">2024-09-06T13:34:08Z</dcterms:modified>
</cp:coreProperties>
</file>