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threadedComments/threadedComment1.xml" ContentType="application/vnd.ms-excel.threadedcomments+xml"/>
  <Override PartName="/xl/comments3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illiamtarpeh/Library/CloudStorage/GoogleDrive-wtarpeh@stanford.edu/Shared drives/Tarpeh Group/Outputs: Papers, Patents, Presentations_shared/Tarpeh Group Publications/3. Submitted Under Review/Bunke Chen Machala et al Redwood LCA/Oct 2024ncfinalfilestosubmission/241126 Editorial Corrections 3/"/>
    </mc:Choice>
  </mc:AlternateContent>
  <xr:revisionPtr revIDLastSave="0" documentId="8_{6C47FEAB-C382-9E41-8362-349832E6F12A}" xr6:coauthVersionLast="47" xr6:coauthVersionMax="47" xr10:uidLastSave="{00000000-0000-0000-0000-000000000000}"/>
  <bookViews>
    <workbookView xWindow="28800" yWindow="500" windowWidth="38400" windowHeight="21100" activeTab="8" xr2:uid="{A9A7AE85-2867-457D-B8CB-DF32ADA432C0}"/>
  </bookViews>
  <sheets>
    <sheet name="Fig. 1" sheetId="70" r:id="rId1"/>
    <sheet name="Fig. 3" sheetId="71" r:id="rId2"/>
    <sheet name="Fig. 4" sheetId="72" r:id="rId3"/>
    <sheet name="Fig. 5" sheetId="73" r:id="rId4"/>
    <sheet name="Fig. 6" sheetId="74" r:id="rId5"/>
    <sheet name="Supplementary Figure 1" sheetId="75" r:id="rId6"/>
    <sheet name="Supplementary Figure 3" sheetId="76" r:id="rId7"/>
    <sheet name="Supplementary Figure 4" sheetId="77" r:id="rId8"/>
    <sheet name="Supplementary Figure 5" sheetId="78" r:id="rId9"/>
    <sheet name="CONTENT-2021" sheetId="54" r:id="rId10"/>
    <sheet name="Battery Composition-2021" sheetId="2" r:id="rId11"/>
    <sheet name="Conversions-2021" sheetId="14" r:id="rId12"/>
    <sheet name="Ni_MHP-2021" sheetId="49" r:id="rId13"/>
    <sheet name="Ni_Class1-2021" sheetId="40" r:id="rId14"/>
    <sheet name="Co_SO4-2021" sheetId="42" r:id="rId15"/>
    <sheet name="Li_brine-2021" sheetId="43" r:id="rId16"/>
    <sheet name="Li_ore-2021" sheetId="44" r:id="rId17"/>
    <sheet name="Al-2021" sheetId="47" r:id="rId18"/>
    <sheet name="Cu-2021" sheetId="51" r:id="rId19"/>
    <sheet name="Mn-2021" sheetId="50" r:id="rId20"/>
    <sheet name="Final-2021" sheetId="33" r:id="rId21"/>
    <sheet name="Consumables-2021" sheetId="53" r:id="rId22"/>
    <sheet name="CONTENT-2023" sheetId="55" r:id="rId23"/>
    <sheet name="Battery Composition-2023" sheetId="56" r:id="rId24"/>
    <sheet name="Conversions-2023" sheetId="57" r:id="rId25"/>
    <sheet name="Ni_MHP-2023" sheetId="58" r:id="rId26"/>
    <sheet name="Ni_Classs1-2023" sheetId="59" r:id="rId27"/>
    <sheet name="Co_SO4-2023" sheetId="60" r:id="rId28"/>
    <sheet name="NiCo_MHP-2023" sheetId="61" r:id="rId29"/>
    <sheet name="Li_brine-2023" sheetId="62" r:id="rId30"/>
    <sheet name="Li_ore-2023" sheetId="63" r:id="rId31"/>
    <sheet name="Al-2023" sheetId="64" r:id="rId32"/>
    <sheet name="Cu-2023" sheetId="65" r:id="rId33"/>
    <sheet name="Mn-2023" sheetId="66" r:id="rId34"/>
    <sheet name="Final-2023" sheetId="67" r:id="rId35"/>
    <sheet name="Consumables-2023" sheetId="68" r:id="rId36"/>
    <sheet name="Sheet15" sheetId="69" r:id="rId37"/>
  </sheets>
  <externalReferences>
    <externalReference r:id="rId38"/>
  </externalReferences>
  <definedNames>
    <definedName name="Atomic_Mass">'Battery Composition-2021'!$I$5:$J$15</definedName>
    <definedName name="Emissions_Conversions">'Conversions-2021'!$G$4:$H$5</definedName>
    <definedName name="LCO_Composition">'Battery Composition-2021'!$S$5:$V$9</definedName>
    <definedName name="NCA_Composition">'Battery Composition-2021'!$M$5:$P$9</definedName>
    <definedName name="Unit_Conversions">'Conversions-2021'!$B$3:$D$24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68" l="1"/>
  <c r="E25" i="68"/>
  <c r="E24" i="68"/>
  <c r="E23" i="68"/>
  <c r="E22" i="68"/>
  <c r="E21" i="68"/>
  <c r="E20" i="68"/>
  <c r="E19" i="68"/>
  <c r="E18" i="68"/>
  <c r="E17" i="68"/>
  <c r="E15" i="68"/>
  <c r="E14" i="68"/>
  <c r="E13" i="68"/>
  <c r="E12" i="68"/>
  <c r="E11" i="68"/>
  <c r="E10" i="68"/>
  <c r="E9" i="68"/>
  <c r="E8" i="68"/>
  <c r="E7" i="68"/>
  <c r="E6" i="68"/>
  <c r="E5" i="68"/>
  <c r="R72" i="67"/>
  <c r="S72" i="67"/>
  <c r="T72" i="67"/>
  <c r="J72" i="67"/>
  <c r="K72" i="67"/>
  <c r="L72" i="67"/>
  <c r="C72" i="67"/>
  <c r="D72" i="67"/>
  <c r="E72" i="67"/>
  <c r="R70" i="67"/>
  <c r="S70" i="67"/>
  <c r="T70" i="67"/>
  <c r="J70" i="67"/>
  <c r="K70" i="67"/>
  <c r="L70" i="67"/>
  <c r="C70" i="67"/>
  <c r="D70" i="67"/>
  <c r="E70" i="67"/>
  <c r="R68" i="67"/>
  <c r="S68" i="67"/>
  <c r="T68" i="67"/>
  <c r="J68" i="67"/>
  <c r="K68" i="67"/>
  <c r="L68" i="67"/>
  <c r="C68" i="67"/>
  <c r="D68" i="67"/>
  <c r="E68" i="67"/>
  <c r="R67" i="67"/>
  <c r="S67" i="67"/>
  <c r="T67" i="67"/>
  <c r="J67" i="67"/>
  <c r="K67" i="67"/>
  <c r="L67" i="67"/>
  <c r="C67" i="67"/>
  <c r="D67" i="67"/>
  <c r="E67" i="67"/>
  <c r="R66" i="67"/>
  <c r="S66" i="67"/>
  <c r="T66" i="67"/>
  <c r="J66" i="67"/>
  <c r="K66" i="67"/>
  <c r="L66" i="67"/>
  <c r="C66" i="67"/>
  <c r="D66" i="67"/>
  <c r="E66" i="67"/>
  <c r="R65" i="67"/>
  <c r="S65" i="67"/>
  <c r="T65" i="67"/>
  <c r="J65" i="67"/>
  <c r="K65" i="67"/>
  <c r="L65" i="67"/>
  <c r="C65" i="67"/>
  <c r="D65" i="67"/>
  <c r="E65" i="67"/>
  <c r="R64" i="67"/>
  <c r="S64" i="67"/>
  <c r="T64" i="67"/>
  <c r="J64" i="67"/>
  <c r="K64" i="67"/>
  <c r="L64" i="67"/>
  <c r="C64" i="67"/>
  <c r="D64" i="67"/>
  <c r="E64" i="67"/>
  <c r="R63" i="67"/>
  <c r="S63" i="67"/>
  <c r="T63" i="67"/>
  <c r="J63" i="67"/>
  <c r="K63" i="67"/>
  <c r="L63" i="67"/>
  <c r="C63" i="67"/>
  <c r="D63" i="67"/>
  <c r="E63" i="67"/>
  <c r="R62" i="67"/>
  <c r="S62" i="67"/>
  <c r="T62" i="67"/>
  <c r="J62" i="67"/>
  <c r="K62" i="67"/>
  <c r="L62" i="67"/>
  <c r="C62" i="67"/>
  <c r="D62" i="67"/>
  <c r="E62" i="67"/>
  <c r="R61" i="67"/>
  <c r="S61" i="67"/>
  <c r="T61" i="67"/>
  <c r="J61" i="67"/>
  <c r="K61" i="67"/>
  <c r="L61" i="67"/>
  <c r="C61" i="67"/>
  <c r="D61" i="67"/>
  <c r="E61" i="67"/>
  <c r="R60" i="67"/>
  <c r="S60" i="67"/>
  <c r="T60" i="67"/>
  <c r="J60" i="67"/>
  <c r="K60" i="67"/>
  <c r="L60" i="67"/>
  <c r="C60" i="67"/>
  <c r="D60" i="67"/>
  <c r="E60" i="67"/>
  <c r="R59" i="67"/>
  <c r="S59" i="67"/>
  <c r="T59" i="67"/>
  <c r="J59" i="67"/>
  <c r="K59" i="67"/>
  <c r="L59" i="67"/>
  <c r="C59" i="67"/>
  <c r="D59" i="67"/>
  <c r="E59" i="67"/>
  <c r="R58" i="67"/>
  <c r="S58" i="67"/>
  <c r="T58" i="67"/>
  <c r="J58" i="67"/>
  <c r="K58" i="67"/>
  <c r="L58" i="67"/>
  <c r="C58" i="67"/>
  <c r="D58" i="67"/>
  <c r="E58" i="67"/>
  <c r="U27" i="67"/>
  <c r="X49" i="67"/>
  <c r="Y49" i="67"/>
  <c r="Z49" i="67"/>
  <c r="AA49" i="67"/>
  <c r="T27" i="67"/>
  <c r="W49" i="67"/>
  <c r="S27" i="67"/>
  <c r="V49" i="67"/>
  <c r="R27" i="67"/>
  <c r="U49" i="67"/>
  <c r="M27" i="67"/>
  <c r="O49" i="67"/>
  <c r="P49" i="67"/>
  <c r="Q49" i="67"/>
  <c r="R49" i="67"/>
  <c r="L27" i="67"/>
  <c r="N49" i="67"/>
  <c r="K27" i="67"/>
  <c r="M49" i="67"/>
  <c r="J27" i="67"/>
  <c r="L49" i="67"/>
  <c r="F27" i="67"/>
  <c r="F49" i="67"/>
  <c r="G49" i="67"/>
  <c r="H49" i="67"/>
  <c r="I49" i="67"/>
  <c r="E27" i="67"/>
  <c r="E49" i="67"/>
  <c r="D27" i="67"/>
  <c r="D49" i="67"/>
  <c r="C27" i="67"/>
  <c r="C49" i="67"/>
  <c r="U25" i="67"/>
  <c r="X47" i="67"/>
  <c r="Y47" i="67"/>
  <c r="Z47" i="67"/>
  <c r="AA47" i="67"/>
  <c r="T25" i="67"/>
  <c r="W47" i="67"/>
  <c r="S25" i="67"/>
  <c r="V47" i="67"/>
  <c r="R25" i="67"/>
  <c r="U47" i="67"/>
  <c r="M25" i="67"/>
  <c r="O47" i="67"/>
  <c r="P47" i="67"/>
  <c r="Q47" i="67"/>
  <c r="R47" i="67"/>
  <c r="L25" i="67"/>
  <c r="N47" i="67"/>
  <c r="K25" i="67"/>
  <c r="M47" i="67"/>
  <c r="J25" i="67"/>
  <c r="L47" i="67"/>
  <c r="F25" i="67"/>
  <c r="F47" i="67"/>
  <c r="G47" i="67"/>
  <c r="H47" i="67"/>
  <c r="I47" i="67"/>
  <c r="E25" i="67"/>
  <c r="E47" i="67"/>
  <c r="D25" i="67"/>
  <c r="D47" i="67"/>
  <c r="C25" i="67"/>
  <c r="C47" i="67"/>
  <c r="U23" i="67"/>
  <c r="X45" i="67"/>
  <c r="Y45" i="67"/>
  <c r="Z45" i="67"/>
  <c r="AA45" i="67"/>
  <c r="T23" i="67"/>
  <c r="W45" i="67"/>
  <c r="S23" i="67"/>
  <c r="V45" i="67"/>
  <c r="R23" i="67"/>
  <c r="U45" i="67"/>
  <c r="M23" i="67"/>
  <c r="O45" i="67"/>
  <c r="P45" i="67"/>
  <c r="Q45" i="67"/>
  <c r="R45" i="67"/>
  <c r="L23" i="67"/>
  <c r="N45" i="67"/>
  <c r="K23" i="67"/>
  <c r="M45" i="67"/>
  <c r="J23" i="67"/>
  <c r="L45" i="67"/>
  <c r="F23" i="67"/>
  <c r="F45" i="67"/>
  <c r="G45" i="67"/>
  <c r="H45" i="67"/>
  <c r="I45" i="67"/>
  <c r="E23" i="67"/>
  <c r="E45" i="67"/>
  <c r="D23" i="67"/>
  <c r="D45" i="67"/>
  <c r="C23" i="67"/>
  <c r="C45" i="67"/>
  <c r="U22" i="67"/>
  <c r="X44" i="67"/>
  <c r="Y44" i="67"/>
  <c r="Z44" i="67"/>
  <c r="AA44" i="67"/>
  <c r="T22" i="67"/>
  <c r="W44" i="67"/>
  <c r="S22" i="67"/>
  <c r="V44" i="67"/>
  <c r="R22" i="67"/>
  <c r="U44" i="67"/>
  <c r="M22" i="67"/>
  <c r="O44" i="67"/>
  <c r="P44" i="67"/>
  <c r="Q44" i="67"/>
  <c r="R44" i="67"/>
  <c r="L22" i="67"/>
  <c r="N44" i="67"/>
  <c r="K22" i="67"/>
  <c r="M44" i="67"/>
  <c r="J22" i="67"/>
  <c r="L44" i="67"/>
  <c r="F22" i="67"/>
  <c r="F44" i="67"/>
  <c r="G44" i="67"/>
  <c r="H44" i="67"/>
  <c r="I44" i="67"/>
  <c r="E22" i="67"/>
  <c r="E44" i="67"/>
  <c r="D22" i="67"/>
  <c r="D44" i="67"/>
  <c r="C22" i="67"/>
  <c r="C44" i="67"/>
  <c r="U21" i="67"/>
  <c r="X43" i="67"/>
  <c r="Y43" i="67"/>
  <c r="Z43" i="67"/>
  <c r="AA43" i="67"/>
  <c r="T21" i="67"/>
  <c r="W43" i="67"/>
  <c r="S21" i="67"/>
  <c r="V43" i="67"/>
  <c r="R21" i="67"/>
  <c r="U43" i="67"/>
  <c r="M21" i="67"/>
  <c r="O43" i="67"/>
  <c r="P43" i="67"/>
  <c r="Q43" i="67"/>
  <c r="R43" i="67"/>
  <c r="L21" i="67"/>
  <c r="N43" i="67"/>
  <c r="K21" i="67"/>
  <c r="M43" i="67"/>
  <c r="J21" i="67"/>
  <c r="L43" i="67"/>
  <c r="F21" i="67"/>
  <c r="F43" i="67"/>
  <c r="G43" i="67"/>
  <c r="H43" i="67"/>
  <c r="I43" i="67"/>
  <c r="E21" i="67"/>
  <c r="E43" i="67"/>
  <c r="D21" i="67"/>
  <c r="D43" i="67"/>
  <c r="C21" i="67"/>
  <c r="C43" i="67"/>
  <c r="U20" i="67"/>
  <c r="X42" i="67"/>
  <c r="Y42" i="67"/>
  <c r="Z42" i="67"/>
  <c r="AA42" i="67"/>
  <c r="T20" i="67"/>
  <c r="W42" i="67"/>
  <c r="S20" i="67"/>
  <c r="V42" i="67"/>
  <c r="R20" i="67"/>
  <c r="U42" i="67"/>
  <c r="M20" i="67"/>
  <c r="O42" i="67"/>
  <c r="P42" i="67"/>
  <c r="Q42" i="67"/>
  <c r="R42" i="67"/>
  <c r="L20" i="67"/>
  <c r="N42" i="67"/>
  <c r="K20" i="67"/>
  <c r="M42" i="67"/>
  <c r="J20" i="67"/>
  <c r="L42" i="67"/>
  <c r="F20" i="67"/>
  <c r="F42" i="67"/>
  <c r="G42" i="67"/>
  <c r="H42" i="67"/>
  <c r="I42" i="67"/>
  <c r="E20" i="67"/>
  <c r="E42" i="67"/>
  <c r="D20" i="67"/>
  <c r="D42" i="67"/>
  <c r="C20" i="67"/>
  <c r="C42" i="67"/>
  <c r="U19" i="67"/>
  <c r="X41" i="67"/>
  <c r="Y41" i="67"/>
  <c r="Z41" i="67"/>
  <c r="AA41" i="67"/>
  <c r="T19" i="67"/>
  <c r="W41" i="67"/>
  <c r="S19" i="67"/>
  <c r="V41" i="67"/>
  <c r="R19" i="67"/>
  <c r="U41" i="67"/>
  <c r="M19" i="67"/>
  <c r="O41" i="67"/>
  <c r="P41" i="67"/>
  <c r="Q41" i="67"/>
  <c r="R41" i="67"/>
  <c r="L19" i="67"/>
  <c r="N41" i="67"/>
  <c r="K19" i="67"/>
  <c r="M41" i="67"/>
  <c r="J19" i="67"/>
  <c r="L41" i="67"/>
  <c r="F19" i="67"/>
  <c r="F41" i="67"/>
  <c r="G41" i="67"/>
  <c r="H41" i="67"/>
  <c r="I41" i="67"/>
  <c r="E19" i="67"/>
  <c r="E41" i="67"/>
  <c r="D19" i="67"/>
  <c r="D41" i="67"/>
  <c r="C19" i="67"/>
  <c r="C41" i="67"/>
  <c r="U18" i="67"/>
  <c r="X40" i="67"/>
  <c r="Y40" i="67"/>
  <c r="Z40" i="67"/>
  <c r="AA40" i="67"/>
  <c r="T18" i="67"/>
  <c r="W40" i="67"/>
  <c r="S18" i="67"/>
  <c r="V40" i="67"/>
  <c r="R18" i="67"/>
  <c r="U40" i="67"/>
  <c r="M18" i="67"/>
  <c r="O40" i="67"/>
  <c r="P40" i="67"/>
  <c r="Q40" i="67"/>
  <c r="R40" i="67"/>
  <c r="L18" i="67"/>
  <c r="N40" i="67"/>
  <c r="K18" i="67"/>
  <c r="M40" i="67"/>
  <c r="J18" i="67"/>
  <c r="L40" i="67"/>
  <c r="F18" i="67"/>
  <c r="F40" i="67"/>
  <c r="G40" i="67"/>
  <c r="H40" i="67"/>
  <c r="I40" i="67"/>
  <c r="E18" i="67"/>
  <c r="E40" i="67"/>
  <c r="D18" i="67"/>
  <c r="D40" i="67"/>
  <c r="C18" i="67"/>
  <c r="C40" i="67"/>
  <c r="U17" i="67"/>
  <c r="X39" i="67"/>
  <c r="Y39" i="67"/>
  <c r="Z39" i="67"/>
  <c r="AA39" i="67"/>
  <c r="T17" i="67"/>
  <c r="W39" i="67"/>
  <c r="S17" i="67"/>
  <c r="V39" i="67"/>
  <c r="R17" i="67"/>
  <c r="U39" i="67"/>
  <c r="M17" i="67"/>
  <c r="O39" i="67"/>
  <c r="P39" i="67"/>
  <c r="Q39" i="67"/>
  <c r="R39" i="67"/>
  <c r="L17" i="67"/>
  <c r="N39" i="67"/>
  <c r="K17" i="67"/>
  <c r="M39" i="67"/>
  <c r="J17" i="67"/>
  <c r="L39" i="67"/>
  <c r="F17" i="67"/>
  <c r="F39" i="67"/>
  <c r="G39" i="67"/>
  <c r="H39" i="67"/>
  <c r="I39" i="67"/>
  <c r="E17" i="67"/>
  <c r="E39" i="67"/>
  <c r="D17" i="67"/>
  <c r="D39" i="67"/>
  <c r="C17" i="67"/>
  <c r="C39" i="67"/>
  <c r="U16" i="67"/>
  <c r="X38" i="67"/>
  <c r="Y38" i="67"/>
  <c r="Z38" i="67"/>
  <c r="AA38" i="67"/>
  <c r="T16" i="67"/>
  <c r="W38" i="67"/>
  <c r="S16" i="67"/>
  <c r="V38" i="67"/>
  <c r="R16" i="67"/>
  <c r="U38" i="67"/>
  <c r="M16" i="67"/>
  <c r="O38" i="67"/>
  <c r="P38" i="67"/>
  <c r="Q38" i="67"/>
  <c r="R38" i="67"/>
  <c r="L16" i="67"/>
  <c r="N38" i="67"/>
  <c r="K16" i="67"/>
  <c r="M38" i="67"/>
  <c r="J16" i="67"/>
  <c r="L38" i="67"/>
  <c r="F16" i="67"/>
  <c r="F38" i="67"/>
  <c r="G38" i="67"/>
  <c r="H38" i="67"/>
  <c r="I38" i="67"/>
  <c r="E16" i="67"/>
  <c r="E38" i="67"/>
  <c r="D16" i="67"/>
  <c r="D38" i="67"/>
  <c r="C16" i="67"/>
  <c r="C38" i="67"/>
  <c r="U15" i="67"/>
  <c r="X37" i="67"/>
  <c r="Y37" i="67"/>
  <c r="Z37" i="67"/>
  <c r="AA37" i="67"/>
  <c r="T15" i="67"/>
  <c r="W37" i="67"/>
  <c r="S15" i="67"/>
  <c r="V37" i="67"/>
  <c r="R15" i="67"/>
  <c r="U37" i="67"/>
  <c r="M15" i="67"/>
  <c r="O37" i="67"/>
  <c r="P37" i="67"/>
  <c r="Q37" i="67"/>
  <c r="R37" i="67"/>
  <c r="L15" i="67"/>
  <c r="N37" i="67"/>
  <c r="K15" i="67"/>
  <c r="M37" i="67"/>
  <c r="J15" i="67"/>
  <c r="L37" i="67"/>
  <c r="F15" i="67"/>
  <c r="F37" i="67"/>
  <c r="G37" i="67"/>
  <c r="H37" i="67"/>
  <c r="I37" i="67"/>
  <c r="E15" i="67"/>
  <c r="E37" i="67"/>
  <c r="D15" i="67"/>
  <c r="D37" i="67"/>
  <c r="C15" i="67"/>
  <c r="C37" i="67"/>
  <c r="U14" i="67"/>
  <c r="X36" i="67"/>
  <c r="Y36" i="67"/>
  <c r="Z36" i="67"/>
  <c r="AA36" i="67"/>
  <c r="T14" i="67"/>
  <c r="W36" i="67"/>
  <c r="S14" i="67"/>
  <c r="V36" i="67"/>
  <c r="R14" i="67"/>
  <c r="U36" i="67"/>
  <c r="M14" i="67"/>
  <c r="O36" i="67"/>
  <c r="P36" i="67"/>
  <c r="Q36" i="67"/>
  <c r="R36" i="67"/>
  <c r="L14" i="67"/>
  <c r="N36" i="67"/>
  <c r="K14" i="67"/>
  <c r="M36" i="67"/>
  <c r="J14" i="67"/>
  <c r="L36" i="67"/>
  <c r="F14" i="67"/>
  <c r="F36" i="67"/>
  <c r="G36" i="67"/>
  <c r="H36" i="67"/>
  <c r="I36" i="67"/>
  <c r="E14" i="67"/>
  <c r="E36" i="67"/>
  <c r="D14" i="67"/>
  <c r="D36" i="67"/>
  <c r="C14" i="67"/>
  <c r="C36" i="67"/>
  <c r="U13" i="67"/>
  <c r="X35" i="67"/>
  <c r="Y35" i="67"/>
  <c r="Z35" i="67"/>
  <c r="AA35" i="67"/>
  <c r="T13" i="67"/>
  <c r="W35" i="67"/>
  <c r="S13" i="67"/>
  <c r="V35" i="67"/>
  <c r="R13" i="67"/>
  <c r="U35" i="67"/>
  <c r="M13" i="67"/>
  <c r="O35" i="67"/>
  <c r="P35" i="67"/>
  <c r="Q35" i="67"/>
  <c r="R35" i="67"/>
  <c r="L13" i="67"/>
  <c r="N35" i="67"/>
  <c r="K13" i="67"/>
  <c r="M35" i="67"/>
  <c r="J13" i="67"/>
  <c r="L35" i="67"/>
  <c r="F13" i="67"/>
  <c r="F35" i="67"/>
  <c r="G35" i="67"/>
  <c r="H35" i="67"/>
  <c r="I35" i="67"/>
  <c r="E13" i="67"/>
  <c r="E35" i="67"/>
  <c r="D13" i="67"/>
  <c r="D35" i="67"/>
  <c r="C13" i="67"/>
  <c r="C35" i="67"/>
  <c r="N27" i="67"/>
  <c r="V27" i="67"/>
  <c r="X27" i="67"/>
  <c r="G27" i="67"/>
  <c r="N25" i="67"/>
  <c r="V25" i="67"/>
  <c r="X25" i="67"/>
  <c r="G25" i="67"/>
  <c r="N23" i="67"/>
  <c r="V23" i="67"/>
  <c r="X23" i="67"/>
  <c r="G23" i="67"/>
  <c r="N22" i="67"/>
  <c r="V22" i="67"/>
  <c r="X22" i="67"/>
  <c r="G22" i="67"/>
  <c r="N21" i="67"/>
  <c r="V21" i="67"/>
  <c r="X21" i="67"/>
  <c r="G21" i="67"/>
  <c r="N20" i="67"/>
  <c r="V20" i="67"/>
  <c r="X20" i="67"/>
  <c r="G20" i="67"/>
  <c r="N19" i="67"/>
  <c r="V19" i="67"/>
  <c r="X19" i="67"/>
  <c r="G19" i="67"/>
  <c r="N18" i="67"/>
  <c r="V18" i="67"/>
  <c r="X18" i="67"/>
  <c r="G18" i="67"/>
  <c r="N17" i="67"/>
  <c r="V17" i="67"/>
  <c r="X17" i="67"/>
  <c r="G17" i="67"/>
  <c r="N16" i="67"/>
  <c r="V16" i="67"/>
  <c r="X16" i="67"/>
  <c r="G16" i="67"/>
  <c r="N15" i="67"/>
  <c r="V15" i="67"/>
  <c r="X15" i="67"/>
  <c r="G15" i="67"/>
  <c r="N14" i="67"/>
  <c r="V14" i="67"/>
  <c r="X14" i="67"/>
  <c r="G14" i="67"/>
  <c r="N13" i="67"/>
  <c r="V13" i="67"/>
  <c r="X13" i="67"/>
  <c r="G13" i="67"/>
  <c r="I5" i="67"/>
  <c r="G5" i="67"/>
  <c r="C5" i="67"/>
  <c r="B43" i="66"/>
  <c r="C41" i="66"/>
  <c r="B37" i="66"/>
  <c r="C36" i="66"/>
  <c r="C37" i="66"/>
  <c r="B39" i="66"/>
  <c r="B31" i="66"/>
  <c r="C31" i="66"/>
  <c r="D31" i="66"/>
  <c r="B29" i="66"/>
  <c r="C29" i="66"/>
  <c r="D29" i="66"/>
  <c r="B28" i="66"/>
  <c r="C28" i="66"/>
  <c r="D28" i="66"/>
  <c r="B27" i="66"/>
  <c r="C27" i="66"/>
  <c r="D27" i="66"/>
  <c r="B26" i="66"/>
  <c r="C26" i="66"/>
  <c r="D26" i="66"/>
  <c r="B25" i="66"/>
  <c r="C25" i="66"/>
  <c r="D25" i="66"/>
  <c r="B24" i="66"/>
  <c r="C24" i="66"/>
  <c r="D24" i="66"/>
  <c r="B23" i="66"/>
  <c r="C23" i="66"/>
  <c r="D23" i="66"/>
  <c r="B22" i="66"/>
  <c r="C22" i="66"/>
  <c r="D22" i="66"/>
  <c r="B21" i="66"/>
  <c r="C21" i="66"/>
  <c r="D21" i="66"/>
  <c r="B19" i="66"/>
  <c r="C19" i="66"/>
  <c r="D19" i="66"/>
  <c r="B18" i="66"/>
  <c r="C18" i="66"/>
  <c r="D18" i="66"/>
  <c r="B17" i="66"/>
  <c r="C17" i="66"/>
  <c r="D17" i="66"/>
  <c r="B16" i="66"/>
  <c r="C16" i="66"/>
  <c r="D16" i="66"/>
  <c r="B15" i="66"/>
  <c r="C15" i="66"/>
  <c r="D15" i="66"/>
  <c r="B14" i="66"/>
  <c r="C14" i="66"/>
  <c r="D14" i="66"/>
  <c r="B13" i="66"/>
  <c r="C13" i="66"/>
  <c r="D13" i="66"/>
  <c r="B12" i="66"/>
  <c r="C12" i="66"/>
  <c r="D12" i="66"/>
  <c r="B11" i="66"/>
  <c r="C11" i="66"/>
  <c r="D11" i="66"/>
  <c r="B10" i="66"/>
  <c r="C10" i="66"/>
  <c r="D10" i="66"/>
  <c r="B9" i="66"/>
  <c r="C9" i="66"/>
  <c r="D9" i="66"/>
  <c r="C36" i="65"/>
  <c r="C37" i="65"/>
  <c r="B37" i="65"/>
  <c r="B39" i="65"/>
  <c r="B31" i="65"/>
  <c r="C31" i="65"/>
  <c r="D31" i="65"/>
  <c r="B29" i="65"/>
  <c r="C29" i="65"/>
  <c r="D29" i="65"/>
  <c r="B28" i="65"/>
  <c r="C28" i="65"/>
  <c r="D28" i="65"/>
  <c r="B27" i="65"/>
  <c r="C27" i="65"/>
  <c r="D27" i="65"/>
  <c r="B26" i="65"/>
  <c r="C26" i="65"/>
  <c r="D26" i="65"/>
  <c r="B25" i="65"/>
  <c r="C25" i="65"/>
  <c r="D25" i="65"/>
  <c r="B24" i="65"/>
  <c r="C24" i="65"/>
  <c r="D24" i="65"/>
  <c r="B23" i="65"/>
  <c r="C23" i="65"/>
  <c r="D23" i="65"/>
  <c r="B22" i="65"/>
  <c r="C22" i="65"/>
  <c r="D22" i="65"/>
  <c r="B21" i="65"/>
  <c r="C21" i="65"/>
  <c r="D21" i="65"/>
  <c r="B19" i="65"/>
  <c r="C19" i="65"/>
  <c r="D19" i="65"/>
  <c r="B18" i="65"/>
  <c r="C18" i="65"/>
  <c r="D18" i="65"/>
  <c r="B17" i="65"/>
  <c r="C17" i="65"/>
  <c r="D17" i="65"/>
  <c r="B16" i="65"/>
  <c r="C16" i="65"/>
  <c r="D16" i="65"/>
  <c r="B15" i="65"/>
  <c r="C15" i="65"/>
  <c r="D15" i="65"/>
  <c r="B14" i="65"/>
  <c r="C14" i="65"/>
  <c r="D14" i="65"/>
  <c r="B13" i="65"/>
  <c r="C13" i="65"/>
  <c r="D13" i="65"/>
  <c r="B12" i="65"/>
  <c r="C12" i="65"/>
  <c r="D12" i="65"/>
  <c r="B11" i="65"/>
  <c r="C11" i="65"/>
  <c r="D11" i="65"/>
  <c r="B10" i="65"/>
  <c r="C10" i="65"/>
  <c r="D10" i="65"/>
  <c r="B9" i="65"/>
  <c r="C9" i="65"/>
  <c r="D9" i="65"/>
  <c r="C36" i="64"/>
  <c r="B37" i="64"/>
  <c r="C37" i="64"/>
  <c r="B39" i="64"/>
  <c r="B4" i="64"/>
  <c r="B31" i="64"/>
  <c r="C31" i="64"/>
  <c r="D31" i="64"/>
  <c r="B29" i="64"/>
  <c r="C29" i="64"/>
  <c r="D29" i="64"/>
  <c r="B28" i="64"/>
  <c r="C28" i="64"/>
  <c r="D28" i="64"/>
  <c r="B27" i="64"/>
  <c r="C27" i="64"/>
  <c r="D27" i="64"/>
  <c r="B26" i="64"/>
  <c r="C26" i="64"/>
  <c r="D26" i="64"/>
  <c r="B25" i="64"/>
  <c r="C25" i="64"/>
  <c r="D25" i="64"/>
  <c r="B24" i="64"/>
  <c r="C24" i="64"/>
  <c r="D24" i="64"/>
  <c r="B23" i="64"/>
  <c r="C23" i="64"/>
  <c r="D23" i="64"/>
  <c r="B22" i="64"/>
  <c r="C22" i="64"/>
  <c r="D22" i="64"/>
  <c r="B21" i="64"/>
  <c r="C21" i="64"/>
  <c r="D21" i="64"/>
  <c r="B19" i="64"/>
  <c r="C19" i="64"/>
  <c r="D19" i="64"/>
  <c r="B18" i="64"/>
  <c r="C18" i="64"/>
  <c r="D18" i="64"/>
  <c r="B17" i="64"/>
  <c r="C17" i="64"/>
  <c r="D17" i="64"/>
  <c r="B16" i="64"/>
  <c r="C16" i="64"/>
  <c r="D16" i="64"/>
  <c r="B15" i="64"/>
  <c r="C15" i="64"/>
  <c r="D15" i="64"/>
  <c r="B14" i="64"/>
  <c r="C14" i="64"/>
  <c r="D14" i="64"/>
  <c r="B13" i="64"/>
  <c r="C13" i="64"/>
  <c r="D13" i="64"/>
  <c r="B12" i="64"/>
  <c r="C12" i="64"/>
  <c r="D12" i="64"/>
  <c r="B11" i="64"/>
  <c r="C11" i="64"/>
  <c r="D11" i="64"/>
  <c r="B10" i="64"/>
  <c r="C10" i="64"/>
  <c r="D10" i="64"/>
  <c r="B9" i="64"/>
  <c r="C9" i="64"/>
  <c r="D9" i="64"/>
  <c r="B43" i="63"/>
  <c r="C41" i="63"/>
  <c r="B41" i="63"/>
  <c r="B37" i="63"/>
  <c r="C36" i="63"/>
  <c r="C37" i="63"/>
  <c r="B39" i="63"/>
  <c r="C4" i="63"/>
  <c r="E31" i="63"/>
  <c r="F31" i="63"/>
  <c r="G31" i="63"/>
  <c r="B4" i="63"/>
  <c r="B31" i="63"/>
  <c r="C31" i="63"/>
  <c r="D31" i="63"/>
  <c r="E29" i="63"/>
  <c r="F29" i="63"/>
  <c r="G29" i="63"/>
  <c r="B29" i="63"/>
  <c r="C29" i="63"/>
  <c r="D29" i="63"/>
  <c r="E28" i="63"/>
  <c r="F28" i="63"/>
  <c r="G28" i="63"/>
  <c r="B28" i="63"/>
  <c r="C28" i="63"/>
  <c r="D28" i="63"/>
  <c r="E27" i="63"/>
  <c r="F27" i="63"/>
  <c r="G27" i="63"/>
  <c r="B27" i="63"/>
  <c r="C27" i="63"/>
  <c r="D27" i="63"/>
  <c r="E26" i="63"/>
  <c r="F26" i="63"/>
  <c r="G26" i="63"/>
  <c r="B26" i="63"/>
  <c r="C26" i="63"/>
  <c r="D26" i="63"/>
  <c r="E25" i="63"/>
  <c r="F25" i="63"/>
  <c r="G25" i="63"/>
  <c r="B25" i="63"/>
  <c r="C25" i="63"/>
  <c r="D25" i="63"/>
  <c r="E24" i="63"/>
  <c r="F24" i="63"/>
  <c r="G24" i="63"/>
  <c r="B24" i="63"/>
  <c r="C24" i="63"/>
  <c r="D24" i="63"/>
  <c r="E23" i="63"/>
  <c r="F23" i="63"/>
  <c r="G23" i="63"/>
  <c r="B23" i="63"/>
  <c r="C23" i="63"/>
  <c r="D23" i="63"/>
  <c r="E22" i="63"/>
  <c r="F22" i="63"/>
  <c r="G22" i="63"/>
  <c r="B22" i="63"/>
  <c r="C22" i="63"/>
  <c r="D22" i="63"/>
  <c r="E21" i="63"/>
  <c r="F21" i="63"/>
  <c r="G21" i="63"/>
  <c r="B21" i="63"/>
  <c r="C21" i="63"/>
  <c r="D21" i="63"/>
  <c r="E19" i="63"/>
  <c r="F19" i="63"/>
  <c r="G19" i="63"/>
  <c r="B19" i="63"/>
  <c r="C19" i="63"/>
  <c r="D19" i="63"/>
  <c r="E18" i="63"/>
  <c r="F18" i="63"/>
  <c r="G18" i="63"/>
  <c r="B18" i="63"/>
  <c r="C18" i="63"/>
  <c r="D18" i="63"/>
  <c r="E17" i="63"/>
  <c r="F17" i="63"/>
  <c r="G17" i="63"/>
  <c r="B17" i="63"/>
  <c r="C17" i="63"/>
  <c r="D17" i="63"/>
  <c r="E16" i="63"/>
  <c r="F16" i="63"/>
  <c r="G16" i="63"/>
  <c r="B16" i="63"/>
  <c r="C16" i="63"/>
  <c r="D16" i="63"/>
  <c r="E15" i="63"/>
  <c r="F15" i="63"/>
  <c r="G15" i="63"/>
  <c r="B15" i="63"/>
  <c r="C15" i="63"/>
  <c r="D15" i="63"/>
  <c r="E14" i="63"/>
  <c r="F14" i="63"/>
  <c r="G14" i="63"/>
  <c r="B14" i="63"/>
  <c r="C14" i="63"/>
  <c r="D14" i="63"/>
  <c r="E13" i="63"/>
  <c r="F13" i="63"/>
  <c r="G13" i="63"/>
  <c r="B13" i="63"/>
  <c r="C13" i="63"/>
  <c r="D13" i="63"/>
  <c r="E12" i="63"/>
  <c r="F12" i="63"/>
  <c r="G12" i="63"/>
  <c r="B12" i="63"/>
  <c r="C12" i="63"/>
  <c r="D12" i="63"/>
  <c r="E11" i="63"/>
  <c r="F11" i="63"/>
  <c r="G11" i="63"/>
  <c r="B11" i="63"/>
  <c r="C11" i="63"/>
  <c r="D11" i="63"/>
  <c r="E10" i="63"/>
  <c r="F10" i="63"/>
  <c r="G10" i="63"/>
  <c r="B10" i="63"/>
  <c r="C10" i="63"/>
  <c r="D10" i="63"/>
  <c r="E9" i="63"/>
  <c r="F9" i="63"/>
  <c r="G9" i="63"/>
  <c r="B9" i="63"/>
  <c r="C9" i="63"/>
  <c r="D9" i="63"/>
  <c r="B37" i="62"/>
  <c r="C36" i="62"/>
  <c r="C37" i="62"/>
  <c r="B39" i="62"/>
  <c r="C4" i="62"/>
  <c r="E31" i="62"/>
  <c r="F31" i="62"/>
  <c r="G31" i="62"/>
  <c r="B4" i="62"/>
  <c r="B31" i="62"/>
  <c r="C31" i="62"/>
  <c r="D31" i="62"/>
  <c r="E29" i="62"/>
  <c r="F29" i="62"/>
  <c r="G29" i="62"/>
  <c r="B29" i="62"/>
  <c r="C29" i="62"/>
  <c r="D29" i="62"/>
  <c r="E28" i="62"/>
  <c r="F28" i="62"/>
  <c r="G28" i="62"/>
  <c r="B28" i="62"/>
  <c r="C28" i="62"/>
  <c r="D28" i="62"/>
  <c r="E27" i="62"/>
  <c r="F27" i="62"/>
  <c r="G27" i="62"/>
  <c r="B27" i="62"/>
  <c r="C27" i="62"/>
  <c r="D27" i="62"/>
  <c r="E26" i="62"/>
  <c r="F26" i="62"/>
  <c r="G26" i="62"/>
  <c r="B26" i="62"/>
  <c r="C26" i="62"/>
  <c r="D26" i="62"/>
  <c r="E25" i="62"/>
  <c r="F25" i="62"/>
  <c r="G25" i="62"/>
  <c r="B25" i="62"/>
  <c r="C25" i="62"/>
  <c r="D25" i="62"/>
  <c r="E24" i="62"/>
  <c r="F24" i="62"/>
  <c r="G24" i="62"/>
  <c r="B24" i="62"/>
  <c r="C24" i="62"/>
  <c r="D24" i="62"/>
  <c r="E23" i="62"/>
  <c r="F23" i="62"/>
  <c r="G23" i="62"/>
  <c r="B23" i="62"/>
  <c r="C23" i="62"/>
  <c r="D23" i="62"/>
  <c r="E22" i="62"/>
  <c r="F22" i="62"/>
  <c r="G22" i="62"/>
  <c r="B22" i="62"/>
  <c r="C22" i="62"/>
  <c r="D22" i="62"/>
  <c r="E21" i="62"/>
  <c r="F21" i="62"/>
  <c r="G21" i="62"/>
  <c r="B21" i="62"/>
  <c r="C21" i="62"/>
  <c r="D21" i="62"/>
  <c r="E19" i="62"/>
  <c r="F19" i="62"/>
  <c r="G19" i="62"/>
  <c r="B19" i="62"/>
  <c r="C19" i="62"/>
  <c r="D19" i="62"/>
  <c r="E18" i="62"/>
  <c r="F18" i="62"/>
  <c r="G18" i="62"/>
  <c r="B18" i="62"/>
  <c r="C18" i="62"/>
  <c r="D18" i="62"/>
  <c r="E17" i="62"/>
  <c r="F17" i="62"/>
  <c r="G17" i="62"/>
  <c r="B17" i="62"/>
  <c r="C17" i="62"/>
  <c r="D17" i="62"/>
  <c r="E16" i="62"/>
  <c r="F16" i="62"/>
  <c r="G16" i="62"/>
  <c r="B16" i="62"/>
  <c r="C16" i="62"/>
  <c r="D16" i="62"/>
  <c r="E15" i="62"/>
  <c r="F15" i="62"/>
  <c r="G15" i="62"/>
  <c r="B15" i="62"/>
  <c r="C15" i="62"/>
  <c r="D15" i="62"/>
  <c r="E14" i="62"/>
  <c r="F14" i="62"/>
  <c r="G14" i="62"/>
  <c r="B14" i="62"/>
  <c r="C14" i="62"/>
  <c r="D14" i="62"/>
  <c r="E13" i="62"/>
  <c r="F13" i="62"/>
  <c r="G13" i="62"/>
  <c r="B13" i="62"/>
  <c r="C13" i="62"/>
  <c r="D13" i="62"/>
  <c r="E12" i="62"/>
  <c r="F12" i="62"/>
  <c r="G12" i="62"/>
  <c r="B12" i="62"/>
  <c r="C12" i="62"/>
  <c r="D12" i="62"/>
  <c r="E11" i="62"/>
  <c r="F11" i="62"/>
  <c r="G11" i="62"/>
  <c r="B11" i="62"/>
  <c r="C11" i="62"/>
  <c r="D11" i="62"/>
  <c r="E10" i="62"/>
  <c r="F10" i="62"/>
  <c r="G10" i="62"/>
  <c r="B10" i="62"/>
  <c r="C10" i="62"/>
  <c r="D10" i="62"/>
  <c r="E9" i="62"/>
  <c r="F9" i="62"/>
  <c r="G9" i="62"/>
  <c r="B9" i="62"/>
  <c r="C9" i="62"/>
  <c r="D9" i="62"/>
  <c r="B49" i="61"/>
  <c r="B50" i="61"/>
  <c r="B44" i="61"/>
  <c r="B45" i="61"/>
  <c r="B38" i="61"/>
  <c r="C37" i="61"/>
  <c r="C38" i="61"/>
  <c r="B40" i="61"/>
  <c r="E4" i="61"/>
  <c r="J32" i="61"/>
  <c r="K32" i="61"/>
  <c r="L32" i="61"/>
  <c r="B4" i="61"/>
  <c r="G32" i="61"/>
  <c r="C32" i="61"/>
  <c r="I32" i="61"/>
  <c r="B32" i="61"/>
  <c r="H32" i="61"/>
  <c r="E32" i="61"/>
  <c r="F32" i="61"/>
  <c r="D32" i="61"/>
  <c r="J30" i="61"/>
  <c r="K30" i="61"/>
  <c r="L30" i="61"/>
  <c r="G30" i="61"/>
  <c r="C30" i="61"/>
  <c r="I30" i="61"/>
  <c r="B30" i="61"/>
  <c r="H30" i="61"/>
  <c r="E30" i="61"/>
  <c r="F30" i="61"/>
  <c r="D30" i="61"/>
  <c r="J29" i="61"/>
  <c r="K29" i="61"/>
  <c r="L29" i="61"/>
  <c r="G29" i="61"/>
  <c r="C29" i="61"/>
  <c r="I29" i="61"/>
  <c r="B29" i="61"/>
  <c r="H29" i="61"/>
  <c r="E29" i="61"/>
  <c r="F29" i="61"/>
  <c r="D29" i="61"/>
  <c r="J28" i="61"/>
  <c r="K28" i="61"/>
  <c r="L28" i="61"/>
  <c r="G28" i="61"/>
  <c r="C28" i="61"/>
  <c r="I28" i="61"/>
  <c r="B28" i="61"/>
  <c r="H28" i="61"/>
  <c r="E28" i="61"/>
  <c r="F28" i="61"/>
  <c r="D28" i="61"/>
  <c r="J27" i="61"/>
  <c r="K27" i="61"/>
  <c r="L27" i="61"/>
  <c r="G27" i="61"/>
  <c r="C27" i="61"/>
  <c r="I27" i="61"/>
  <c r="B27" i="61"/>
  <c r="H27" i="61"/>
  <c r="E27" i="61"/>
  <c r="F27" i="61"/>
  <c r="D27" i="61"/>
  <c r="J26" i="61"/>
  <c r="K26" i="61"/>
  <c r="L26" i="61"/>
  <c r="G26" i="61"/>
  <c r="C26" i="61"/>
  <c r="I26" i="61"/>
  <c r="B26" i="61"/>
  <c r="H26" i="61"/>
  <c r="E26" i="61"/>
  <c r="F26" i="61"/>
  <c r="D26" i="61"/>
  <c r="J25" i="61"/>
  <c r="K25" i="61"/>
  <c r="L25" i="61"/>
  <c r="G25" i="61"/>
  <c r="C25" i="61"/>
  <c r="I25" i="61"/>
  <c r="B25" i="61"/>
  <c r="H25" i="61"/>
  <c r="E25" i="61"/>
  <c r="F25" i="61"/>
  <c r="D25" i="61"/>
  <c r="J24" i="61"/>
  <c r="K24" i="61"/>
  <c r="L24" i="61"/>
  <c r="G24" i="61"/>
  <c r="C24" i="61"/>
  <c r="I24" i="61"/>
  <c r="B24" i="61"/>
  <c r="H24" i="61"/>
  <c r="E24" i="61"/>
  <c r="F24" i="61"/>
  <c r="D24" i="61"/>
  <c r="J23" i="61"/>
  <c r="K23" i="61"/>
  <c r="L23" i="61"/>
  <c r="G23" i="61"/>
  <c r="C23" i="61"/>
  <c r="I23" i="61"/>
  <c r="B23" i="61"/>
  <c r="H23" i="61"/>
  <c r="E23" i="61"/>
  <c r="F23" i="61"/>
  <c r="D23" i="61"/>
  <c r="J22" i="61"/>
  <c r="K22" i="61"/>
  <c r="L22" i="61"/>
  <c r="G22" i="61"/>
  <c r="C22" i="61"/>
  <c r="I22" i="61"/>
  <c r="B22" i="61"/>
  <c r="H22" i="61"/>
  <c r="E22" i="61"/>
  <c r="F22" i="61"/>
  <c r="D22" i="61"/>
  <c r="J20" i="61"/>
  <c r="K20" i="61"/>
  <c r="L20" i="61"/>
  <c r="G20" i="61"/>
  <c r="C20" i="61"/>
  <c r="I20" i="61"/>
  <c r="B20" i="61"/>
  <c r="H20" i="61"/>
  <c r="E20" i="61"/>
  <c r="F20" i="61"/>
  <c r="D20" i="61"/>
  <c r="J19" i="61"/>
  <c r="K19" i="61"/>
  <c r="L19" i="61"/>
  <c r="G19" i="61"/>
  <c r="C19" i="61"/>
  <c r="I19" i="61"/>
  <c r="B19" i="61"/>
  <c r="H19" i="61"/>
  <c r="E19" i="61"/>
  <c r="F19" i="61"/>
  <c r="D19" i="61"/>
  <c r="J18" i="61"/>
  <c r="K18" i="61"/>
  <c r="L18" i="61"/>
  <c r="G18" i="61"/>
  <c r="C18" i="61"/>
  <c r="I18" i="61"/>
  <c r="B18" i="61"/>
  <c r="H18" i="61"/>
  <c r="E18" i="61"/>
  <c r="F18" i="61"/>
  <c r="D18" i="61"/>
  <c r="J17" i="61"/>
  <c r="K17" i="61"/>
  <c r="L17" i="61"/>
  <c r="G17" i="61"/>
  <c r="C17" i="61"/>
  <c r="I17" i="61"/>
  <c r="B17" i="61"/>
  <c r="H17" i="61"/>
  <c r="E17" i="61"/>
  <c r="F17" i="61"/>
  <c r="D17" i="61"/>
  <c r="J16" i="61"/>
  <c r="K16" i="61"/>
  <c r="L16" i="61"/>
  <c r="G16" i="61"/>
  <c r="C16" i="61"/>
  <c r="I16" i="61"/>
  <c r="B16" i="61"/>
  <c r="H16" i="61"/>
  <c r="E16" i="61"/>
  <c r="F16" i="61"/>
  <c r="D16" i="61"/>
  <c r="J15" i="61"/>
  <c r="K15" i="61"/>
  <c r="L15" i="61"/>
  <c r="G15" i="61"/>
  <c r="C15" i="61"/>
  <c r="I15" i="61"/>
  <c r="B15" i="61"/>
  <c r="H15" i="61"/>
  <c r="E15" i="61"/>
  <c r="F15" i="61"/>
  <c r="D15" i="61"/>
  <c r="J14" i="61"/>
  <c r="K14" i="61"/>
  <c r="L14" i="61"/>
  <c r="G14" i="61"/>
  <c r="C14" i="61"/>
  <c r="I14" i="61"/>
  <c r="B14" i="61"/>
  <c r="H14" i="61"/>
  <c r="E14" i="61"/>
  <c r="F14" i="61"/>
  <c r="D14" i="61"/>
  <c r="J13" i="61"/>
  <c r="K13" i="61"/>
  <c r="L13" i="61"/>
  <c r="G13" i="61"/>
  <c r="C13" i="61"/>
  <c r="I13" i="61"/>
  <c r="B13" i="61"/>
  <c r="H13" i="61"/>
  <c r="E13" i="61"/>
  <c r="F13" i="61"/>
  <c r="D13" i="61"/>
  <c r="J12" i="61"/>
  <c r="K12" i="61"/>
  <c r="L12" i="61"/>
  <c r="G12" i="61"/>
  <c r="C12" i="61"/>
  <c r="I12" i="61"/>
  <c r="B12" i="61"/>
  <c r="H12" i="61"/>
  <c r="E12" i="61"/>
  <c r="F12" i="61"/>
  <c r="D12" i="61"/>
  <c r="J11" i="61"/>
  <c r="K11" i="61"/>
  <c r="L11" i="61"/>
  <c r="G11" i="61"/>
  <c r="C11" i="61"/>
  <c r="I11" i="61"/>
  <c r="B11" i="61"/>
  <c r="H11" i="61"/>
  <c r="E11" i="61"/>
  <c r="F11" i="61"/>
  <c r="D11" i="61"/>
  <c r="J10" i="61"/>
  <c r="K10" i="61"/>
  <c r="L10" i="61"/>
  <c r="G10" i="61"/>
  <c r="C10" i="61"/>
  <c r="I10" i="61"/>
  <c r="B10" i="61"/>
  <c r="H10" i="61"/>
  <c r="E10" i="61"/>
  <c r="F10" i="61"/>
  <c r="D10" i="61"/>
  <c r="B43" i="60"/>
  <c r="C41" i="60"/>
  <c r="B41" i="60"/>
  <c r="B37" i="60"/>
  <c r="C36" i="60"/>
  <c r="C37" i="60"/>
  <c r="B39" i="60"/>
  <c r="B36" i="60"/>
  <c r="C4" i="60"/>
  <c r="E31" i="60"/>
  <c r="F31" i="60"/>
  <c r="G31" i="60"/>
  <c r="B4" i="60"/>
  <c r="B31" i="60"/>
  <c r="C31" i="60"/>
  <c r="D31" i="60"/>
  <c r="E29" i="60"/>
  <c r="F29" i="60"/>
  <c r="G29" i="60"/>
  <c r="B29" i="60"/>
  <c r="C29" i="60"/>
  <c r="D29" i="60"/>
  <c r="E28" i="60"/>
  <c r="F28" i="60"/>
  <c r="G28" i="60"/>
  <c r="B28" i="60"/>
  <c r="C28" i="60"/>
  <c r="D28" i="60"/>
  <c r="E27" i="60"/>
  <c r="F27" i="60"/>
  <c r="G27" i="60"/>
  <c r="B27" i="60"/>
  <c r="C27" i="60"/>
  <c r="D27" i="60"/>
  <c r="E26" i="60"/>
  <c r="F26" i="60"/>
  <c r="G26" i="60"/>
  <c r="B26" i="60"/>
  <c r="C26" i="60"/>
  <c r="D26" i="60"/>
  <c r="E25" i="60"/>
  <c r="F25" i="60"/>
  <c r="G25" i="60"/>
  <c r="B25" i="60"/>
  <c r="C25" i="60"/>
  <c r="D25" i="60"/>
  <c r="E24" i="60"/>
  <c r="F24" i="60"/>
  <c r="G24" i="60"/>
  <c r="B24" i="60"/>
  <c r="C24" i="60"/>
  <c r="D24" i="60"/>
  <c r="E23" i="60"/>
  <c r="F23" i="60"/>
  <c r="G23" i="60"/>
  <c r="B23" i="60"/>
  <c r="C23" i="60"/>
  <c r="D23" i="60"/>
  <c r="E22" i="60"/>
  <c r="F22" i="60"/>
  <c r="G22" i="60"/>
  <c r="B22" i="60"/>
  <c r="C22" i="60"/>
  <c r="D22" i="60"/>
  <c r="E21" i="60"/>
  <c r="F21" i="60"/>
  <c r="G21" i="60"/>
  <c r="B21" i="60"/>
  <c r="C21" i="60"/>
  <c r="D21" i="60"/>
  <c r="E19" i="60"/>
  <c r="F19" i="60"/>
  <c r="G19" i="60"/>
  <c r="B19" i="60"/>
  <c r="C19" i="60"/>
  <c r="D19" i="60"/>
  <c r="E18" i="60"/>
  <c r="F18" i="60"/>
  <c r="G18" i="60"/>
  <c r="B18" i="60"/>
  <c r="C18" i="60"/>
  <c r="D18" i="60"/>
  <c r="E17" i="60"/>
  <c r="F17" i="60"/>
  <c r="G17" i="60"/>
  <c r="B17" i="60"/>
  <c r="C17" i="60"/>
  <c r="D17" i="60"/>
  <c r="E16" i="60"/>
  <c r="F16" i="60"/>
  <c r="G16" i="60"/>
  <c r="B16" i="60"/>
  <c r="C16" i="60"/>
  <c r="D16" i="60"/>
  <c r="E15" i="60"/>
  <c r="F15" i="60"/>
  <c r="G15" i="60"/>
  <c r="B15" i="60"/>
  <c r="C15" i="60"/>
  <c r="D15" i="60"/>
  <c r="E14" i="60"/>
  <c r="F14" i="60"/>
  <c r="G14" i="60"/>
  <c r="B14" i="60"/>
  <c r="C14" i="60"/>
  <c r="D14" i="60"/>
  <c r="E13" i="60"/>
  <c r="F13" i="60"/>
  <c r="G13" i="60"/>
  <c r="B13" i="60"/>
  <c r="C13" i="60"/>
  <c r="D13" i="60"/>
  <c r="E12" i="60"/>
  <c r="F12" i="60"/>
  <c r="G12" i="60"/>
  <c r="B12" i="60"/>
  <c r="C12" i="60"/>
  <c r="D12" i="60"/>
  <c r="E11" i="60"/>
  <c r="F11" i="60"/>
  <c r="G11" i="60"/>
  <c r="B11" i="60"/>
  <c r="C11" i="60"/>
  <c r="D11" i="60"/>
  <c r="E10" i="60"/>
  <c r="F10" i="60"/>
  <c r="G10" i="60"/>
  <c r="B10" i="60"/>
  <c r="C10" i="60"/>
  <c r="D10" i="60"/>
  <c r="E9" i="60"/>
  <c r="F9" i="60"/>
  <c r="G9" i="60"/>
  <c r="B9" i="60"/>
  <c r="C9" i="60"/>
  <c r="D9" i="60"/>
  <c r="B43" i="59"/>
  <c r="C41" i="59"/>
  <c r="B37" i="59"/>
  <c r="C36" i="59"/>
  <c r="C37" i="59"/>
  <c r="B39" i="59"/>
  <c r="B4" i="59"/>
  <c r="B31" i="59"/>
  <c r="C31" i="59"/>
  <c r="D31" i="59"/>
  <c r="B29" i="59"/>
  <c r="C29" i="59"/>
  <c r="D29" i="59"/>
  <c r="B28" i="59"/>
  <c r="C28" i="59"/>
  <c r="D28" i="59"/>
  <c r="B27" i="59"/>
  <c r="C27" i="59"/>
  <c r="D27" i="59"/>
  <c r="B26" i="59"/>
  <c r="C26" i="59"/>
  <c r="D26" i="59"/>
  <c r="B25" i="59"/>
  <c r="C25" i="59"/>
  <c r="D25" i="59"/>
  <c r="B24" i="59"/>
  <c r="C24" i="59"/>
  <c r="D24" i="59"/>
  <c r="B23" i="59"/>
  <c r="C23" i="59"/>
  <c r="D23" i="59"/>
  <c r="B22" i="59"/>
  <c r="C22" i="59"/>
  <c r="D22" i="59"/>
  <c r="B21" i="59"/>
  <c r="C21" i="59"/>
  <c r="D21" i="59"/>
  <c r="B19" i="59"/>
  <c r="C19" i="59"/>
  <c r="D19" i="59"/>
  <c r="B18" i="59"/>
  <c r="C18" i="59"/>
  <c r="D18" i="59"/>
  <c r="B17" i="59"/>
  <c r="C17" i="59"/>
  <c r="D17" i="59"/>
  <c r="B16" i="59"/>
  <c r="C16" i="59"/>
  <c r="D16" i="59"/>
  <c r="B15" i="59"/>
  <c r="C15" i="59"/>
  <c r="D15" i="59"/>
  <c r="B14" i="59"/>
  <c r="C14" i="59"/>
  <c r="D14" i="59"/>
  <c r="B13" i="59"/>
  <c r="C13" i="59"/>
  <c r="D13" i="59"/>
  <c r="B12" i="59"/>
  <c r="C12" i="59"/>
  <c r="D12" i="59"/>
  <c r="B11" i="59"/>
  <c r="C11" i="59"/>
  <c r="D11" i="59"/>
  <c r="B10" i="59"/>
  <c r="C10" i="59"/>
  <c r="D10" i="59"/>
  <c r="B9" i="59"/>
  <c r="C9" i="59"/>
  <c r="D9" i="59"/>
  <c r="B37" i="58"/>
  <c r="C36" i="58"/>
  <c r="C37" i="58"/>
  <c r="B39" i="58"/>
  <c r="B4" i="58"/>
  <c r="B31" i="58"/>
  <c r="C31" i="58"/>
  <c r="D31" i="58"/>
  <c r="B29" i="58"/>
  <c r="C29" i="58"/>
  <c r="D29" i="58"/>
  <c r="B28" i="58"/>
  <c r="C28" i="58"/>
  <c r="D28" i="58"/>
  <c r="B27" i="58"/>
  <c r="C27" i="58"/>
  <c r="D27" i="58"/>
  <c r="B26" i="58"/>
  <c r="C26" i="58"/>
  <c r="D26" i="58"/>
  <c r="B25" i="58"/>
  <c r="C25" i="58"/>
  <c r="D25" i="58"/>
  <c r="B24" i="58"/>
  <c r="C24" i="58"/>
  <c r="D24" i="58"/>
  <c r="B23" i="58"/>
  <c r="C23" i="58"/>
  <c r="D23" i="58"/>
  <c r="B22" i="58"/>
  <c r="C22" i="58"/>
  <c r="D22" i="58"/>
  <c r="B21" i="58"/>
  <c r="C21" i="58"/>
  <c r="D21" i="58"/>
  <c r="B19" i="58"/>
  <c r="C19" i="58"/>
  <c r="D19" i="58"/>
  <c r="B18" i="58"/>
  <c r="C18" i="58"/>
  <c r="D18" i="58"/>
  <c r="B17" i="58"/>
  <c r="C17" i="58"/>
  <c r="D17" i="58"/>
  <c r="B16" i="58"/>
  <c r="C16" i="58"/>
  <c r="D16" i="58"/>
  <c r="B15" i="58"/>
  <c r="C15" i="58"/>
  <c r="D15" i="58"/>
  <c r="B14" i="58"/>
  <c r="C14" i="58"/>
  <c r="D14" i="58"/>
  <c r="B13" i="58"/>
  <c r="C13" i="58"/>
  <c r="D13" i="58"/>
  <c r="B12" i="58"/>
  <c r="C12" i="58"/>
  <c r="D12" i="58"/>
  <c r="B11" i="58"/>
  <c r="C11" i="58"/>
  <c r="D11" i="58"/>
  <c r="B10" i="58"/>
  <c r="C10" i="58"/>
  <c r="D10" i="58"/>
  <c r="B9" i="58"/>
  <c r="C9" i="58"/>
  <c r="D9" i="58"/>
  <c r="C24" i="57"/>
  <c r="B24" i="57"/>
  <c r="D14" i="57"/>
  <c r="D13" i="57"/>
  <c r="D8" i="57"/>
  <c r="D7" i="57"/>
  <c r="D6" i="57"/>
  <c r="K34" i="56"/>
  <c r="J34" i="56"/>
  <c r="I33" i="56"/>
  <c r="I34" i="56"/>
  <c r="H33" i="56"/>
  <c r="H34" i="56"/>
  <c r="G34" i="56"/>
  <c r="F34" i="56"/>
  <c r="E34" i="56"/>
  <c r="D34" i="56"/>
  <c r="C34" i="56"/>
  <c r="G21" i="56"/>
  <c r="F21" i="56"/>
  <c r="E21" i="56"/>
  <c r="D21" i="56"/>
  <c r="C21" i="56"/>
  <c r="U5" i="56"/>
  <c r="U7" i="56"/>
  <c r="U9" i="56"/>
  <c r="U10" i="56"/>
  <c r="V5" i="56"/>
  <c r="T13" i="56"/>
  <c r="V7" i="56"/>
  <c r="T15" i="56"/>
  <c r="T17" i="56"/>
  <c r="T18" i="56"/>
  <c r="T19" i="56"/>
  <c r="T20" i="56"/>
  <c r="O6" i="56"/>
  <c r="O7" i="56"/>
  <c r="O8" i="56"/>
  <c r="O10" i="56"/>
  <c r="P5" i="56"/>
  <c r="N13" i="56"/>
  <c r="P6" i="56"/>
  <c r="N14" i="56"/>
  <c r="P7" i="56"/>
  <c r="N15" i="56"/>
  <c r="P8" i="56"/>
  <c r="N16" i="56"/>
  <c r="N17" i="56"/>
  <c r="N18" i="56"/>
  <c r="N19" i="56"/>
  <c r="N20" i="56"/>
  <c r="V9" i="56"/>
  <c r="V10" i="56"/>
  <c r="P9" i="56"/>
  <c r="P10" i="56"/>
  <c r="AA6" i="2"/>
  <c r="AA7" i="2"/>
  <c r="AA8" i="2"/>
  <c r="AA9" i="2"/>
  <c r="AA10" i="2"/>
  <c r="AA5" i="2"/>
  <c r="Z10" i="2"/>
  <c r="Y13" i="2"/>
  <c r="Y14" i="2"/>
  <c r="Y15" i="2"/>
  <c r="Y16" i="2"/>
  <c r="Y17" i="2"/>
  <c r="Y18" i="2"/>
  <c r="Y19" i="2"/>
  <c r="Y20" i="2"/>
  <c r="N13" i="2"/>
  <c r="P5" i="2"/>
  <c r="B37" i="49"/>
  <c r="C36" i="49"/>
  <c r="C37" i="49"/>
  <c r="B39" i="49"/>
  <c r="O6" i="2"/>
  <c r="O7" i="2"/>
  <c r="O8" i="2"/>
  <c r="O10" i="2"/>
  <c r="P6" i="2"/>
  <c r="B4" i="49"/>
  <c r="B21" i="49"/>
  <c r="B4" i="40"/>
  <c r="B37" i="40"/>
  <c r="C36" i="40"/>
  <c r="C37" i="40"/>
  <c r="B39" i="40"/>
  <c r="B21" i="40"/>
  <c r="C5" i="33"/>
  <c r="C25" i="33"/>
  <c r="P7" i="2"/>
  <c r="N15" i="2"/>
  <c r="E21" i="53"/>
  <c r="E27" i="53"/>
  <c r="B15" i="49"/>
  <c r="B15" i="40"/>
  <c r="C19" i="33"/>
  <c r="C36" i="43"/>
  <c r="C37" i="43"/>
  <c r="B37" i="43"/>
  <c r="B39" i="43"/>
  <c r="U5" i="2"/>
  <c r="U7" i="2"/>
  <c r="U9" i="2"/>
  <c r="U10" i="2"/>
  <c r="V5" i="2"/>
  <c r="C4" i="43"/>
  <c r="F15" i="43"/>
  <c r="C36" i="47"/>
  <c r="B37" i="47"/>
  <c r="C37" i="47"/>
  <c r="B39" i="47"/>
  <c r="B4" i="47"/>
  <c r="B16" i="47"/>
  <c r="C16" i="47"/>
  <c r="D16" i="47"/>
  <c r="C14" i="47"/>
  <c r="B43" i="50"/>
  <c r="C31" i="50"/>
  <c r="C22" i="50"/>
  <c r="C23" i="50"/>
  <c r="C24" i="50"/>
  <c r="C25" i="50"/>
  <c r="C26" i="50"/>
  <c r="C27" i="50"/>
  <c r="C28" i="50"/>
  <c r="C29" i="50"/>
  <c r="C21" i="50"/>
  <c r="C10" i="50"/>
  <c r="C11" i="50"/>
  <c r="C12" i="50"/>
  <c r="C13" i="50"/>
  <c r="C14" i="50"/>
  <c r="C15" i="50"/>
  <c r="C16" i="50"/>
  <c r="C17" i="50"/>
  <c r="C18" i="50"/>
  <c r="C19" i="50"/>
  <c r="C9" i="50"/>
  <c r="B37" i="50"/>
  <c r="C36" i="50"/>
  <c r="C37" i="50"/>
  <c r="B39" i="50"/>
  <c r="B10" i="50"/>
  <c r="B16" i="50"/>
  <c r="C36" i="51"/>
  <c r="C37" i="51"/>
  <c r="B37" i="51"/>
  <c r="B39" i="51"/>
  <c r="C31" i="51"/>
  <c r="C22" i="51"/>
  <c r="C23" i="51"/>
  <c r="C24" i="51"/>
  <c r="C25" i="51"/>
  <c r="C26" i="51"/>
  <c r="C27" i="51"/>
  <c r="C28" i="51"/>
  <c r="C29" i="51"/>
  <c r="C21" i="51"/>
  <c r="C10" i="51"/>
  <c r="C11" i="51"/>
  <c r="C12" i="51"/>
  <c r="C13" i="51"/>
  <c r="C14" i="51"/>
  <c r="C15" i="51"/>
  <c r="C16" i="51"/>
  <c r="C17" i="51"/>
  <c r="C18" i="51"/>
  <c r="C19" i="51"/>
  <c r="C9" i="51"/>
  <c r="B31" i="51"/>
  <c r="B22" i="51"/>
  <c r="B23" i="51"/>
  <c r="B24" i="51"/>
  <c r="B25" i="51"/>
  <c r="B26" i="51"/>
  <c r="B27" i="51"/>
  <c r="B28" i="51"/>
  <c r="B29" i="51"/>
  <c r="B21" i="51"/>
  <c r="B10" i="51"/>
  <c r="B11" i="51"/>
  <c r="B12" i="51"/>
  <c r="B13" i="51"/>
  <c r="B14" i="51"/>
  <c r="B15" i="51"/>
  <c r="B16" i="51"/>
  <c r="B17" i="51"/>
  <c r="B18" i="51"/>
  <c r="B19" i="51"/>
  <c r="B9" i="51"/>
  <c r="F14" i="43"/>
  <c r="F31" i="43"/>
  <c r="F22" i="43"/>
  <c r="F23" i="43"/>
  <c r="F24" i="43"/>
  <c r="F25" i="43"/>
  <c r="F26" i="43"/>
  <c r="F27" i="43"/>
  <c r="F28" i="43"/>
  <c r="F29" i="43"/>
  <c r="F21" i="43"/>
  <c r="F10" i="43"/>
  <c r="F11" i="43"/>
  <c r="F12" i="43"/>
  <c r="F13" i="43"/>
  <c r="F16" i="43"/>
  <c r="F17" i="43"/>
  <c r="F18" i="43"/>
  <c r="F19" i="43"/>
  <c r="F9" i="43"/>
  <c r="B4" i="43"/>
  <c r="C12" i="43"/>
  <c r="B43" i="44"/>
  <c r="C4" i="44"/>
  <c r="F15" i="44"/>
  <c r="C23" i="43"/>
  <c r="E24" i="43"/>
  <c r="B24" i="43"/>
  <c r="C24" i="43"/>
  <c r="D24" i="43"/>
  <c r="B43" i="42"/>
  <c r="V7" i="2"/>
  <c r="C4" i="42"/>
  <c r="F21" i="42"/>
  <c r="F9" i="42"/>
  <c r="E10" i="42"/>
  <c r="E11" i="42"/>
  <c r="E12" i="42"/>
  <c r="E13" i="42"/>
  <c r="E14" i="42"/>
  <c r="E15" i="42"/>
  <c r="E16" i="42"/>
  <c r="E17" i="42"/>
  <c r="E18" i="42"/>
  <c r="E19" i="42"/>
  <c r="E9" i="42"/>
  <c r="E31" i="42"/>
  <c r="E25" i="42"/>
  <c r="E26" i="42"/>
  <c r="E27" i="42"/>
  <c r="E28" i="42"/>
  <c r="E29" i="42"/>
  <c r="E21" i="42"/>
  <c r="E22" i="42"/>
  <c r="E23" i="42"/>
  <c r="E24" i="42"/>
  <c r="P8" i="2"/>
  <c r="B4" i="42"/>
  <c r="B24" i="42"/>
  <c r="C24" i="42"/>
  <c r="D24" i="42"/>
  <c r="C26" i="42"/>
  <c r="B31" i="42"/>
  <c r="B22" i="42"/>
  <c r="B23" i="42"/>
  <c r="B25" i="42"/>
  <c r="B26" i="42"/>
  <c r="B27" i="42"/>
  <c r="B28" i="42"/>
  <c r="B29" i="42"/>
  <c r="B21" i="42"/>
  <c r="B10" i="42"/>
  <c r="B11" i="42"/>
  <c r="B12" i="42"/>
  <c r="B13" i="42"/>
  <c r="B14" i="42"/>
  <c r="B15" i="42"/>
  <c r="B16" i="42"/>
  <c r="B17" i="42"/>
  <c r="B18" i="42"/>
  <c r="B19" i="42"/>
  <c r="B9" i="42"/>
  <c r="C16" i="42"/>
  <c r="B43" i="40"/>
  <c r="C25" i="40"/>
  <c r="B25" i="40"/>
  <c r="C17" i="40"/>
  <c r="B17" i="40"/>
  <c r="C15" i="49"/>
  <c r="D15" i="49"/>
  <c r="C18" i="49"/>
  <c r="B18" i="49"/>
  <c r="K34" i="2"/>
  <c r="C21" i="49"/>
  <c r="D21" i="49"/>
  <c r="C21" i="40"/>
  <c r="D21" i="40"/>
  <c r="J25" i="33"/>
  <c r="G5" i="33"/>
  <c r="B21" i="43"/>
  <c r="C21" i="43"/>
  <c r="D21" i="43"/>
  <c r="C36" i="44"/>
  <c r="C37" i="44"/>
  <c r="B37" i="44"/>
  <c r="B39" i="44"/>
  <c r="B4" i="44"/>
  <c r="B21" i="44"/>
  <c r="C21" i="44"/>
  <c r="D21" i="44"/>
  <c r="L25" i="33"/>
  <c r="C21" i="42"/>
  <c r="D21" i="42"/>
  <c r="K25" i="33"/>
  <c r="B21" i="47"/>
  <c r="C21" i="47"/>
  <c r="D21" i="47"/>
  <c r="M25" i="33"/>
  <c r="N25" i="33"/>
  <c r="B31" i="49"/>
  <c r="C31" i="49"/>
  <c r="D31" i="49"/>
  <c r="B31" i="40"/>
  <c r="C31" i="40"/>
  <c r="D31" i="40"/>
  <c r="J27" i="33"/>
  <c r="B31" i="43"/>
  <c r="C31" i="43"/>
  <c r="D31" i="43"/>
  <c r="B31" i="44"/>
  <c r="C31" i="44"/>
  <c r="D31" i="44"/>
  <c r="L27" i="33"/>
  <c r="C31" i="42"/>
  <c r="D31" i="42"/>
  <c r="K27" i="33"/>
  <c r="B31" i="47"/>
  <c r="C31" i="47"/>
  <c r="D31" i="47"/>
  <c r="M27" i="33"/>
  <c r="N27" i="33"/>
  <c r="B19" i="49"/>
  <c r="C19" i="49"/>
  <c r="D19" i="49"/>
  <c r="B19" i="40"/>
  <c r="C19" i="40"/>
  <c r="D19" i="40"/>
  <c r="J23" i="33"/>
  <c r="B19" i="43"/>
  <c r="C19" i="43"/>
  <c r="D19" i="43"/>
  <c r="B19" i="44"/>
  <c r="C19" i="44"/>
  <c r="D19" i="44"/>
  <c r="L23" i="33"/>
  <c r="C19" i="42"/>
  <c r="D19" i="42"/>
  <c r="K23" i="33"/>
  <c r="B19" i="47"/>
  <c r="C19" i="47"/>
  <c r="D19" i="47"/>
  <c r="M23" i="33"/>
  <c r="N23" i="33"/>
  <c r="E21" i="43"/>
  <c r="E21" i="44"/>
  <c r="D72" i="33"/>
  <c r="D70" i="33"/>
  <c r="C72" i="33"/>
  <c r="C70" i="33"/>
  <c r="E10" i="43"/>
  <c r="E10" i="44"/>
  <c r="D59" i="33"/>
  <c r="E11" i="43"/>
  <c r="E11" i="44"/>
  <c r="D60" i="33"/>
  <c r="E12" i="43"/>
  <c r="E12" i="44"/>
  <c r="D61" i="33"/>
  <c r="E13" i="43"/>
  <c r="E13" i="44"/>
  <c r="D62" i="33"/>
  <c r="E14" i="43"/>
  <c r="E14" i="44"/>
  <c r="D63" i="33"/>
  <c r="E15" i="43"/>
  <c r="E15" i="44"/>
  <c r="D64" i="33"/>
  <c r="E16" i="43"/>
  <c r="E16" i="44"/>
  <c r="D65" i="33"/>
  <c r="E17" i="43"/>
  <c r="E17" i="44"/>
  <c r="D66" i="33"/>
  <c r="E18" i="43"/>
  <c r="E18" i="44"/>
  <c r="D67" i="33"/>
  <c r="E19" i="43"/>
  <c r="E19" i="44"/>
  <c r="D68" i="33"/>
  <c r="E9" i="43"/>
  <c r="E9" i="44"/>
  <c r="D58" i="33"/>
  <c r="C59" i="33"/>
  <c r="C60" i="33"/>
  <c r="C61" i="33"/>
  <c r="C62" i="33"/>
  <c r="C63" i="33"/>
  <c r="C64" i="33"/>
  <c r="C65" i="33"/>
  <c r="C66" i="33"/>
  <c r="C67" i="33"/>
  <c r="C68" i="33"/>
  <c r="C58" i="33"/>
  <c r="E72" i="33"/>
  <c r="E70" i="33"/>
  <c r="E68" i="33"/>
  <c r="E67" i="33"/>
  <c r="E66" i="33"/>
  <c r="E65" i="33"/>
  <c r="E64" i="33"/>
  <c r="E63" i="33"/>
  <c r="E62" i="33"/>
  <c r="E61" i="33"/>
  <c r="E60" i="33"/>
  <c r="E59" i="33"/>
  <c r="E58" i="33"/>
  <c r="F31" i="44"/>
  <c r="S72" i="33"/>
  <c r="F21" i="44"/>
  <c r="S70" i="33"/>
  <c r="F31" i="42"/>
  <c r="R72" i="33"/>
  <c r="R70" i="33"/>
  <c r="F10" i="44"/>
  <c r="S59" i="33"/>
  <c r="F11" i="44"/>
  <c r="S60" i="33"/>
  <c r="F12" i="44"/>
  <c r="S61" i="33"/>
  <c r="F13" i="44"/>
  <c r="S62" i="33"/>
  <c r="F14" i="44"/>
  <c r="S63" i="33"/>
  <c r="S64" i="33"/>
  <c r="F16" i="44"/>
  <c r="S65" i="33"/>
  <c r="F17" i="44"/>
  <c r="S66" i="33"/>
  <c r="F18" i="44"/>
  <c r="S67" i="33"/>
  <c r="F19" i="44"/>
  <c r="S68" i="33"/>
  <c r="F9" i="44"/>
  <c r="S58" i="33"/>
  <c r="F10" i="42"/>
  <c r="R59" i="33"/>
  <c r="F11" i="42"/>
  <c r="R60" i="33"/>
  <c r="F12" i="42"/>
  <c r="R61" i="33"/>
  <c r="F13" i="42"/>
  <c r="R62" i="33"/>
  <c r="F14" i="42"/>
  <c r="R63" i="33"/>
  <c r="F15" i="42"/>
  <c r="R64" i="33"/>
  <c r="F16" i="42"/>
  <c r="R65" i="33"/>
  <c r="F17" i="42"/>
  <c r="R66" i="33"/>
  <c r="F18" i="42"/>
  <c r="R67" i="33"/>
  <c r="F19" i="42"/>
  <c r="R68" i="33"/>
  <c r="R58" i="33"/>
  <c r="T72" i="33"/>
  <c r="T70" i="33"/>
  <c r="T68" i="33"/>
  <c r="T67" i="33"/>
  <c r="T66" i="33"/>
  <c r="T65" i="33"/>
  <c r="T64" i="33"/>
  <c r="T63" i="33"/>
  <c r="T62" i="33"/>
  <c r="T61" i="33"/>
  <c r="T60" i="33"/>
  <c r="T59" i="33"/>
  <c r="T58" i="33"/>
  <c r="E31" i="43"/>
  <c r="G31" i="43"/>
  <c r="E31" i="44"/>
  <c r="G31" i="44"/>
  <c r="K72" i="33"/>
  <c r="G21" i="43"/>
  <c r="G21" i="44"/>
  <c r="K70" i="33"/>
  <c r="G10" i="43"/>
  <c r="G10" i="44"/>
  <c r="K59" i="33"/>
  <c r="G11" i="43"/>
  <c r="G11" i="44"/>
  <c r="K60" i="33"/>
  <c r="G12" i="43"/>
  <c r="G12" i="44"/>
  <c r="K61" i="33"/>
  <c r="G13" i="43"/>
  <c r="G13" i="44"/>
  <c r="K62" i="33"/>
  <c r="G14" i="43"/>
  <c r="G14" i="44"/>
  <c r="K63" i="33"/>
  <c r="G15" i="43"/>
  <c r="G15" i="44"/>
  <c r="K64" i="33"/>
  <c r="G16" i="43"/>
  <c r="G16" i="44"/>
  <c r="K65" i="33"/>
  <c r="G17" i="43"/>
  <c r="G17" i="44"/>
  <c r="K66" i="33"/>
  <c r="G18" i="43"/>
  <c r="G18" i="44"/>
  <c r="K67" i="33"/>
  <c r="G19" i="43"/>
  <c r="G19" i="44"/>
  <c r="K68" i="33"/>
  <c r="G9" i="43"/>
  <c r="G9" i="44"/>
  <c r="K58" i="33"/>
  <c r="G31" i="42"/>
  <c r="J72" i="33"/>
  <c r="G21" i="42"/>
  <c r="J70" i="33"/>
  <c r="G10" i="42"/>
  <c r="J59" i="33"/>
  <c r="G11" i="42"/>
  <c r="J60" i="33"/>
  <c r="G12" i="42"/>
  <c r="J61" i="33"/>
  <c r="G13" i="42"/>
  <c r="J62" i="33"/>
  <c r="G14" i="42"/>
  <c r="J63" i="33"/>
  <c r="G15" i="42"/>
  <c r="J64" i="33"/>
  <c r="G16" i="42"/>
  <c r="J65" i="33"/>
  <c r="G17" i="42"/>
  <c r="J66" i="33"/>
  <c r="G18" i="42"/>
  <c r="J67" i="33"/>
  <c r="G19" i="42"/>
  <c r="J68" i="33"/>
  <c r="G9" i="42"/>
  <c r="J58" i="33"/>
  <c r="L72" i="33"/>
  <c r="L70" i="33"/>
  <c r="L68" i="33"/>
  <c r="L67" i="33"/>
  <c r="L66" i="33"/>
  <c r="L65" i="33"/>
  <c r="L64" i="33"/>
  <c r="L63" i="33"/>
  <c r="L62" i="33"/>
  <c r="L61" i="33"/>
  <c r="L60" i="33"/>
  <c r="L59" i="33"/>
  <c r="L58" i="33"/>
  <c r="F24" i="44"/>
  <c r="C25" i="44"/>
  <c r="C12" i="44"/>
  <c r="E22" i="44"/>
  <c r="E23" i="44"/>
  <c r="E24" i="44"/>
  <c r="E25" i="44"/>
  <c r="E26" i="44"/>
  <c r="E27" i="44"/>
  <c r="E28" i="44"/>
  <c r="E29" i="44"/>
  <c r="E23" i="43"/>
  <c r="F29" i="44"/>
  <c r="G29" i="44"/>
  <c r="F28" i="44"/>
  <c r="G28" i="44"/>
  <c r="F27" i="44"/>
  <c r="G27" i="44"/>
  <c r="F26" i="44"/>
  <c r="G26" i="44"/>
  <c r="F25" i="44"/>
  <c r="G25" i="44"/>
  <c r="G24" i="44"/>
  <c r="F23" i="44"/>
  <c r="G23" i="44"/>
  <c r="F22" i="44"/>
  <c r="G22" i="44"/>
  <c r="C9" i="43"/>
  <c r="E22" i="43"/>
  <c r="E25" i="43"/>
  <c r="E26" i="43"/>
  <c r="E27" i="43"/>
  <c r="E28" i="43"/>
  <c r="E29" i="43"/>
  <c r="G29" i="43"/>
  <c r="G28" i="43"/>
  <c r="G27" i="43"/>
  <c r="G26" i="43"/>
  <c r="G25" i="43"/>
  <c r="G24" i="43"/>
  <c r="G23" i="43"/>
  <c r="G22" i="43"/>
  <c r="F29" i="42"/>
  <c r="G29" i="42"/>
  <c r="F28" i="42"/>
  <c r="G28" i="42"/>
  <c r="F27" i="42"/>
  <c r="G27" i="42"/>
  <c r="F26" i="42"/>
  <c r="G26" i="42"/>
  <c r="F25" i="42"/>
  <c r="G25" i="42"/>
  <c r="F24" i="42"/>
  <c r="G24" i="42"/>
  <c r="F23" i="42"/>
  <c r="G23" i="42"/>
  <c r="F22" i="42"/>
  <c r="G22" i="42"/>
  <c r="C9" i="42"/>
  <c r="D9" i="42"/>
  <c r="N16" i="2"/>
  <c r="V9" i="2"/>
  <c r="V10" i="2"/>
  <c r="T13" i="2"/>
  <c r="T15" i="2"/>
  <c r="T17" i="2"/>
  <c r="T18" i="2"/>
  <c r="T19" i="2"/>
  <c r="T20" i="2"/>
  <c r="C9" i="44"/>
  <c r="B22" i="44"/>
  <c r="B23" i="44"/>
  <c r="B24" i="44"/>
  <c r="B25" i="44"/>
  <c r="B26" i="44"/>
  <c r="B27" i="44"/>
  <c r="B28" i="44"/>
  <c r="B29" i="44"/>
  <c r="B10" i="44"/>
  <c r="B11" i="44"/>
  <c r="B12" i="44"/>
  <c r="B13" i="44"/>
  <c r="B14" i="44"/>
  <c r="B15" i="44"/>
  <c r="B16" i="44"/>
  <c r="B17" i="44"/>
  <c r="B18" i="44"/>
  <c r="B9" i="44"/>
  <c r="B22" i="43"/>
  <c r="B23" i="43"/>
  <c r="B25" i="43"/>
  <c r="B26" i="43"/>
  <c r="B27" i="43"/>
  <c r="B28" i="43"/>
  <c r="B29" i="43"/>
  <c r="B10" i="43"/>
  <c r="B11" i="43"/>
  <c r="B12" i="43"/>
  <c r="B13" i="43"/>
  <c r="B14" i="43"/>
  <c r="B15" i="43"/>
  <c r="B16" i="43"/>
  <c r="B17" i="43"/>
  <c r="B18" i="43"/>
  <c r="B9" i="43"/>
  <c r="B37" i="42"/>
  <c r="C36" i="42"/>
  <c r="C37" i="42"/>
  <c r="B39" i="42"/>
  <c r="B11" i="40"/>
  <c r="B9" i="49"/>
  <c r="C9" i="49"/>
  <c r="D9" i="49"/>
  <c r="B13" i="47"/>
  <c r="D16" i="33"/>
  <c r="D38" i="33"/>
  <c r="S27" i="33"/>
  <c r="S25" i="33"/>
  <c r="C10" i="42"/>
  <c r="S14" i="33"/>
  <c r="C11" i="42"/>
  <c r="S15" i="33"/>
  <c r="C12" i="42"/>
  <c r="S16" i="33"/>
  <c r="C13" i="42"/>
  <c r="S17" i="33"/>
  <c r="C14" i="42"/>
  <c r="S18" i="33"/>
  <c r="C15" i="42"/>
  <c r="S19" i="33"/>
  <c r="S20" i="33"/>
  <c r="C17" i="42"/>
  <c r="S21" i="33"/>
  <c r="C18" i="42"/>
  <c r="S22" i="33"/>
  <c r="S23" i="33"/>
  <c r="S13" i="33"/>
  <c r="D10" i="42"/>
  <c r="K14" i="33"/>
  <c r="D11" i="42"/>
  <c r="K15" i="33"/>
  <c r="D12" i="42"/>
  <c r="K16" i="33"/>
  <c r="D13" i="42"/>
  <c r="K17" i="33"/>
  <c r="D14" i="42"/>
  <c r="K18" i="33"/>
  <c r="D15" i="42"/>
  <c r="K19" i="33"/>
  <c r="D16" i="42"/>
  <c r="K20" i="33"/>
  <c r="D17" i="42"/>
  <c r="K21" i="33"/>
  <c r="D18" i="42"/>
  <c r="K22" i="33"/>
  <c r="K13" i="33"/>
  <c r="D27" i="33"/>
  <c r="D25" i="33"/>
  <c r="D14" i="33"/>
  <c r="D15" i="33"/>
  <c r="D17" i="33"/>
  <c r="D18" i="33"/>
  <c r="D19" i="33"/>
  <c r="D20" i="33"/>
  <c r="D21" i="33"/>
  <c r="D22" i="33"/>
  <c r="D23" i="33"/>
  <c r="D13" i="33"/>
  <c r="C10" i="40"/>
  <c r="C9" i="40"/>
  <c r="B9" i="40"/>
  <c r="C11" i="40"/>
  <c r="D11" i="40"/>
  <c r="B22" i="40"/>
  <c r="B23" i="40"/>
  <c r="B24" i="40"/>
  <c r="B26" i="40"/>
  <c r="B27" i="40"/>
  <c r="B28" i="40"/>
  <c r="B29" i="40"/>
  <c r="B10" i="40"/>
  <c r="B12" i="40"/>
  <c r="B13" i="40"/>
  <c r="B14" i="40"/>
  <c r="B16" i="40"/>
  <c r="B18" i="40"/>
  <c r="C14" i="43"/>
  <c r="D14" i="43"/>
  <c r="C13" i="43"/>
  <c r="C13" i="44"/>
  <c r="D13" i="44"/>
  <c r="C11" i="44"/>
  <c r="E18" i="53"/>
  <c r="E19" i="53"/>
  <c r="E20" i="53"/>
  <c r="E22" i="53"/>
  <c r="E23" i="53"/>
  <c r="E24" i="53"/>
  <c r="E25" i="53"/>
  <c r="E17" i="53"/>
  <c r="E6" i="53"/>
  <c r="E7" i="53"/>
  <c r="E8" i="53"/>
  <c r="E9" i="53"/>
  <c r="E10" i="53"/>
  <c r="E11" i="53"/>
  <c r="E12" i="53"/>
  <c r="E13" i="53"/>
  <c r="E14" i="53"/>
  <c r="E15" i="53"/>
  <c r="E5" i="53"/>
  <c r="D9" i="51"/>
  <c r="P35" i="33"/>
  <c r="D10" i="51"/>
  <c r="P36" i="33"/>
  <c r="D11" i="51"/>
  <c r="P37" i="33"/>
  <c r="D12" i="51"/>
  <c r="P38" i="33"/>
  <c r="D13" i="51"/>
  <c r="P39" i="33"/>
  <c r="D14" i="51"/>
  <c r="P40" i="33"/>
  <c r="D15" i="51"/>
  <c r="P41" i="33"/>
  <c r="D16" i="51"/>
  <c r="P42" i="33"/>
  <c r="D17" i="51"/>
  <c r="P43" i="33"/>
  <c r="D18" i="51"/>
  <c r="P44" i="33"/>
  <c r="D19" i="51"/>
  <c r="P45" i="33"/>
  <c r="D21" i="51"/>
  <c r="P47" i="33"/>
  <c r="D31" i="51"/>
  <c r="P49" i="33"/>
  <c r="Z49" i="33"/>
  <c r="Y49" i="33"/>
  <c r="Y36" i="33"/>
  <c r="Z36" i="33"/>
  <c r="Y37" i="33"/>
  <c r="Z37" i="33"/>
  <c r="Y38" i="33"/>
  <c r="Z38" i="33"/>
  <c r="Y39" i="33"/>
  <c r="Z39" i="33"/>
  <c r="Y40" i="33"/>
  <c r="Z40" i="33"/>
  <c r="Y41" i="33"/>
  <c r="Z41" i="33"/>
  <c r="Y42" i="33"/>
  <c r="Z42" i="33"/>
  <c r="Y43" i="33"/>
  <c r="Z43" i="33"/>
  <c r="Y44" i="33"/>
  <c r="Z44" i="33"/>
  <c r="Y45" i="33"/>
  <c r="Z45" i="33"/>
  <c r="Y47" i="33"/>
  <c r="Z47" i="33"/>
  <c r="Z35" i="33"/>
  <c r="Y35" i="33"/>
  <c r="G49" i="33"/>
  <c r="G36" i="33"/>
  <c r="G37" i="33"/>
  <c r="G38" i="33"/>
  <c r="G39" i="33"/>
  <c r="G40" i="33"/>
  <c r="G41" i="33"/>
  <c r="G42" i="33"/>
  <c r="G43" i="33"/>
  <c r="G44" i="33"/>
  <c r="G45" i="33"/>
  <c r="G47" i="33"/>
  <c r="G35" i="33"/>
  <c r="D29" i="51"/>
  <c r="D28" i="51"/>
  <c r="D27" i="51"/>
  <c r="D26" i="51"/>
  <c r="D25" i="51"/>
  <c r="D24" i="51"/>
  <c r="D23" i="51"/>
  <c r="D22" i="51"/>
  <c r="I5" i="33"/>
  <c r="B10" i="49"/>
  <c r="C14" i="33"/>
  <c r="C41" i="50"/>
  <c r="B31" i="50"/>
  <c r="H49" i="33"/>
  <c r="B29" i="50"/>
  <c r="H36" i="33"/>
  <c r="B24" i="50"/>
  <c r="D24" i="50"/>
  <c r="B19" i="50"/>
  <c r="B12" i="50"/>
  <c r="B26" i="50"/>
  <c r="D26" i="50"/>
  <c r="B14" i="50"/>
  <c r="H40" i="33"/>
  <c r="B28" i="50"/>
  <c r="D28" i="50"/>
  <c r="B22" i="50"/>
  <c r="D22" i="50"/>
  <c r="B21" i="50"/>
  <c r="H47" i="33"/>
  <c r="B17" i="50"/>
  <c r="B23" i="50"/>
  <c r="D23" i="50"/>
  <c r="B18" i="50"/>
  <c r="H44" i="33"/>
  <c r="B11" i="50"/>
  <c r="B25" i="50"/>
  <c r="D25" i="50"/>
  <c r="B9" i="50"/>
  <c r="B27" i="50"/>
  <c r="D27" i="50"/>
  <c r="B15" i="50"/>
  <c r="H41" i="33"/>
  <c r="B13" i="50"/>
  <c r="D29" i="50"/>
  <c r="D31" i="50"/>
  <c r="Q49" i="33"/>
  <c r="C41" i="44"/>
  <c r="B41" i="44"/>
  <c r="B36" i="42"/>
  <c r="B41" i="42"/>
  <c r="C41" i="42"/>
  <c r="C41" i="40"/>
  <c r="H37" i="33"/>
  <c r="D11" i="50"/>
  <c r="Q37" i="33"/>
  <c r="H38" i="33"/>
  <c r="D12" i="50"/>
  <c r="Q38" i="33"/>
  <c r="D21" i="50"/>
  <c r="Q47" i="33"/>
  <c r="H45" i="33"/>
  <c r="D19" i="50"/>
  <c r="Q45" i="33"/>
  <c r="H39" i="33"/>
  <c r="D13" i="50"/>
  <c r="Q39" i="33"/>
  <c r="D17" i="50"/>
  <c r="Q43" i="33"/>
  <c r="H43" i="33"/>
  <c r="D10" i="50"/>
  <c r="Q36" i="33"/>
  <c r="D18" i="50"/>
  <c r="Q44" i="33"/>
  <c r="D16" i="50"/>
  <c r="Q42" i="33"/>
  <c r="H42" i="33"/>
  <c r="D15" i="50"/>
  <c r="Q41" i="33"/>
  <c r="H35" i="33"/>
  <c r="D9" i="50"/>
  <c r="Q35" i="33"/>
  <c r="D14" i="50"/>
  <c r="Q40" i="33"/>
  <c r="V49" i="33"/>
  <c r="V35" i="33"/>
  <c r="C28" i="40"/>
  <c r="C15" i="40"/>
  <c r="C24" i="40"/>
  <c r="C12" i="40"/>
  <c r="C29" i="40"/>
  <c r="C16" i="40"/>
  <c r="C22" i="40"/>
  <c r="C23" i="40"/>
  <c r="C18" i="40"/>
  <c r="C26" i="40"/>
  <c r="C13" i="40"/>
  <c r="C27" i="40"/>
  <c r="C14" i="40"/>
  <c r="D24" i="40"/>
  <c r="D12" i="40"/>
  <c r="D9" i="40"/>
  <c r="D16" i="40"/>
  <c r="D17" i="40"/>
  <c r="D13" i="40"/>
  <c r="D14" i="40"/>
  <c r="D27" i="40"/>
  <c r="D10" i="40"/>
  <c r="D28" i="40"/>
  <c r="D47" i="33"/>
  <c r="D35" i="33"/>
  <c r="D49" i="33"/>
  <c r="D39" i="33"/>
  <c r="D37" i="33"/>
  <c r="D44" i="33"/>
  <c r="D36" i="33"/>
  <c r="D43" i="33"/>
  <c r="D45" i="33"/>
  <c r="D42" i="33"/>
  <c r="D41" i="33"/>
  <c r="D40" i="33"/>
  <c r="V43" i="33"/>
  <c r="C22" i="42"/>
  <c r="V36" i="33"/>
  <c r="V40" i="33"/>
  <c r="V44" i="33"/>
  <c r="C23" i="42"/>
  <c r="C27" i="42"/>
  <c r="V41" i="33"/>
  <c r="V37" i="33"/>
  <c r="V45" i="33"/>
  <c r="V42" i="33"/>
  <c r="C25" i="42"/>
  <c r="C29" i="42"/>
  <c r="V38" i="33"/>
  <c r="C28" i="42"/>
  <c r="V39" i="33"/>
  <c r="V47" i="33"/>
  <c r="D23" i="42"/>
  <c r="D18" i="40"/>
  <c r="D22" i="42"/>
  <c r="D15" i="40"/>
  <c r="R13" i="33"/>
  <c r="U35" i="33"/>
  <c r="C27" i="33"/>
  <c r="C49" i="33"/>
  <c r="R27" i="33"/>
  <c r="U49" i="33"/>
  <c r="R25" i="33"/>
  <c r="U47" i="33"/>
  <c r="C47" i="33"/>
  <c r="D28" i="42"/>
  <c r="D9" i="44"/>
  <c r="D23" i="40"/>
  <c r="D26" i="40"/>
  <c r="D29" i="40"/>
  <c r="U27" i="33"/>
  <c r="X49" i="33"/>
  <c r="AA49" i="33"/>
  <c r="U18" i="33"/>
  <c r="X40" i="33"/>
  <c r="AA40" i="33"/>
  <c r="C13" i="47"/>
  <c r="U17" i="33"/>
  <c r="X39" i="33"/>
  <c r="AA39" i="33"/>
  <c r="B9" i="47"/>
  <c r="F13" i="33"/>
  <c r="F35" i="33"/>
  <c r="D22" i="40"/>
  <c r="D27" i="42"/>
  <c r="D25" i="40"/>
  <c r="C27" i="47"/>
  <c r="C11" i="47"/>
  <c r="U15" i="33"/>
  <c r="X37" i="33"/>
  <c r="AA37" i="33"/>
  <c r="U23" i="33"/>
  <c r="X45" i="33"/>
  <c r="AA45" i="33"/>
  <c r="C28" i="47"/>
  <c r="C26" i="47"/>
  <c r="C12" i="47"/>
  <c r="U16" i="33"/>
  <c r="X38" i="33"/>
  <c r="AA38" i="33"/>
  <c r="C9" i="47"/>
  <c r="U13" i="33"/>
  <c r="X35" i="33"/>
  <c r="AA35" i="33"/>
  <c r="C24" i="47"/>
  <c r="C10" i="47"/>
  <c r="U14" i="33"/>
  <c r="X36" i="33"/>
  <c r="AA36" i="33"/>
  <c r="C25" i="47"/>
  <c r="C23" i="47"/>
  <c r="C15" i="47"/>
  <c r="U19" i="33"/>
  <c r="X41" i="33"/>
  <c r="AA41" i="33"/>
  <c r="C29" i="47"/>
  <c r="C17" i="47"/>
  <c r="U21" i="33"/>
  <c r="X43" i="33"/>
  <c r="AA43" i="33"/>
  <c r="C18" i="47"/>
  <c r="U22" i="33"/>
  <c r="X44" i="33"/>
  <c r="AA44" i="33"/>
  <c r="C22" i="47"/>
  <c r="U20" i="33"/>
  <c r="X42" i="33"/>
  <c r="AA42" i="33"/>
  <c r="U25" i="33"/>
  <c r="X47" i="33"/>
  <c r="AA47" i="33"/>
  <c r="M47" i="33"/>
  <c r="B28" i="49"/>
  <c r="C41" i="33"/>
  <c r="C22" i="33"/>
  <c r="C44" i="33"/>
  <c r="B27" i="49"/>
  <c r="B29" i="49"/>
  <c r="B16" i="49"/>
  <c r="C20" i="33"/>
  <c r="C42" i="33"/>
  <c r="C36" i="33"/>
  <c r="B14" i="49"/>
  <c r="C18" i="33"/>
  <c r="C40" i="33"/>
  <c r="B22" i="49"/>
  <c r="B17" i="49"/>
  <c r="C21" i="33"/>
  <c r="C43" i="33"/>
  <c r="B23" i="49"/>
  <c r="B24" i="49"/>
  <c r="B11" i="49"/>
  <c r="C15" i="33"/>
  <c r="C37" i="33"/>
  <c r="C23" i="33"/>
  <c r="C45" i="33"/>
  <c r="B13" i="49"/>
  <c r="C17" i="33"/>
  <c r="C39" i="33"/>
  <c r="B25" i="49"/>
  <c r="B12" i="49"/>
  <c r="C16" i="33"/>
  <c r="C38" i="33"/>
  <c r="B26" i="49"/>
  <c r="M42" i="33"/>
  <c r="M44" i="33"/>
  <c r="C29" i="43"/>
  <c r="C16" i="43"/>
  <c r="C11" i="43"/>
  <c r="C22" i="43"/>
  <c r="C17" i="43"/>
  <c r="C15" i="43"/>
  <c r="C10" i="43"/>
  <c r="C18" i="43"/>
  <c r="C25" i="43"/>
  <c r="T13" i="33"/>
  <c r="C28" i="43"/>
  <c r="C26" i="43"/>
  <c r="C27" i="43"/>
  <c r="M36" i="33"/>
  <c r="M40" i="33"/>
  <c r="M45" i="33"/>
  <c r="M37" i="33"/>
  <c r="D26" i="42"/>
  <c r="M49" i="33"/>
  <c r="M35" i="33"/>
  <c r="M39" i="33"/>
  <c r="D29" i="42"/>
  <c r="M43" i="33"/>
  <c r="M38" i="33"/>
  <c r="M41" i="33"/>
  <c r="D25" i="42"/>
  <c r="C14" i="49"/>
  <c r="R18" i="33"/>
  <c r="U40" i="33"/>
  <c r="C25" i="49"/>
  <c r="C23" i="49"/>
  <c r="D23" i="49"/>
  <c r="C11" i="49"/>
  <c r="R15" i="33"/>
  <c r="U37" i="33"/>
  <c r="L49" i="33"/>
  <c r="C27" i="49"/>
  <c r="R22" i="33"/>
  <c r="U44" i="33"/>
  <c r="C16" i="49"/>
  <c r="R20" i="33"/>
  <c r="U42" i="33"/>
  <c r="C13" i="49"/>
  <c r="R17" i="33"/>
  <c r="U39" i="33"/>
  <c r="C29" i="49"/>
  <c r="C10" i="49"/>
  <c r="R14" i="33"/>
  <c r="U36" i="33"/>
  <c r="C26" i="49"/>
  <c r="D26" i="49"/>
  <c r="C24" i="49"/>
  <c r="C22" i="49"/>
  <c r="D22" i="49"/>
  <c r="R19" i="33"/>
  <c r="U41" i="33"/>
  <c r="R23" i="33"/>
  <c r="U45" i="33"/>
  <c r="C17" i="49"/>
  <c r="R21" i="33"/>
  <c r="U43" i="33"/>
  <c r="C12" i="49"/>
  <c r="R16" i="33"/>
  <c r="U38" i="33"/>
  <c r="C28" i="49"/>
  <c r="F20" i="33"/>
  <c r="F42" i="33"/>
  <c r="B28" i="47"/>
  <c r="D28" i="47"/>
  <c r="F23" i="33"/>
  <c r="F45" i="33"/>
  <c r="B12" i="47"/>
  <c r="F16" i="33"/>
  <c r="F38" i="33"/>
  <c r="B14" i="47"/>
  <c r="F18" i="33"/>
  <c r="F40" i="33"/>
  <c r="B25" i="47"/>
  <c r="B23" i="47"/>
  <c r="D23" i="47"/>
  <c r="F25" i="33"/>
  <c r="F47" i="33"/>
  <c r="B11" i="47"/>
  <c r="F15" i="33"/>
  <c r="F37" i="33"/>
  <c r="B17" i="47"/>
  <c r="F21" i="33"/>
  <c r="F43" i="33"/>
  <c r="B27" i="47"/>
  <c r="B18" i="47"/>
  <c r="F22" i="33"/>
  <c r="F44" i="33"/>
  <c r="F17" i="33"/>
  <c r="F39" i="33"/>
  <c r="B29" i="47"/>
  <c r="B10" i="47"/>
  <c r="F14" i="33"/>
  <c r="F36" i="33"/>
  <c r="B26" i="47"/>
  <c r="D26" i="47"/>
  <c r="B24" i="47"/>
  <c r="B22" i="47"/>
  <c r="B15" i="47"/>
  <c r="F19" i="33"/>
  <c r="F41" i="33"/>
  <c r="C14" i="44"/>
  <c r="T15" i="33"/>
  <c r="C24" i="44"/>
  <c r="T17" i="33"/>
  <c r="C28" i="44"/>
  <c r="T25" i="33"/>
  <c r="W47" i="33"/>
  <c r="C23" i="44"/>
  <c r="C17" i="44"/>
  <c r="C18" i="44"/>
  <c r="D25" i="44"/>
  <c r="C16" i="44"/>
  <c r="C27" i="44"/>
  <c r="D27" i="44"/>
  <c r="C26" i="44"/>
  <c r="D26" i="44"/>
  <c r="C10" i="44"/>
  <c r="C22" i="44"/>
  <c r="D22" i="44"/>
  <c r="C29" i="44"/>
  <c r="C15" i="44"/>
  <c r="V17" i="33"/>
  <c r="W39" i="33"/>
  <c r="V15" i="33"/>
  <c r="W37" i="33"/>
  <c r="V13" i="33"/>
  <c r="W35" i="33"/>
  <c r="D25" i="47"/>
  <c r="E25" i="33"/>
  <c r="E47" i="33"/>
  <c r="E21" i="33"/>
  <c r="E43" i="33"/>
  <c r="E18" i="33"/>
  <c r="E40" i="33"/>
  <c r="E17" i="33"/>
  <c r="E39" i="33"/>
  <c r="D28" i="43"/>
  <c r="V25" i="33"/>
  <c r="D11" i="49"/>
  <c r="J15" i="33"/>
  <c r="L37" i="33"/>
  <c r="E20" i="33"/>
  <c r="E42" i="33"/>
  <c r="D25" i="43"/>
  <c r="D24" i="49"/>
  <c r="D22" i="43"/>
  <c r="E16" i="33"/>
  <c r="E38" i="33"/>
  <c r="T19" i="33"/>
  <c r="D23" i="43"/>
  <c r="D26" i="43"/>
  <c r="J13" i="33"/>
  <c r="L35" i="33"/>
  <c r="C13" i="33"/>
  <c r="C35" i="33"/>
  <c r="E19" i="33"/>
  <c r="E41" i="33"/>
  <c r="D29" i="43"/>
  <c r="E27" i="33"/>
  <c r="E49" i="33"/>
  <c r="E23" i="33"/>
  <c r="E45" i="33"/>
  <c r="D23" i="44"/>
  <c r="E15" i="33"/>
  <c r="E37" i="33"/>
  <c r="E22" i="33"/>
  <c r="E44" i="33"/>
  <c r="E13" i="33"/>
  <c r="E35" i="33"/>
  <c r="D14" i="49"/>
  <c r="J18" i="33"/>
  <c r="L40" i="33"/>
  <c r="E14" i="33"/>
  <c r="E36" i="33"/>
  <c r="D27" i="47"/>
  <c r="O49" i="33"/>
  <c r="F27" i="33"/>
  <c r="F49" i="33"/>
  <c r="D14" i="44"/>
  <c r="T18" i="33"/>
  <c r="D17" i="44"/>
  <c r="T21" i="33"/>
  <c r="D16" i="44"/>
  <c r="T20" i="33"/>
  <c r="D18" i="44"/>
  <c r="T22" i="33"/>
  <c r="D12" i="44"/>
  <c r="T16" i="33"/>
  <c r="T27" i="33"/>
  <c r="D10" i="44"/>
  <c r="T14" i="33"/>
  <c r="N45" i="33"/>
  <c r="T23" i="33"/>
  <c r="D12" i="43"/>
  <c r="D29" i="47"/>
  <c r="L45" i="33"/>
  <c r="D13" i="47"/>
  <c r="M17" i="33"/>
  <c r="O39" i="33"/>
  <c r="D11" i="43"/>
  <c r="D28" i="44"/>
  <c r="D18" i="47"/>
  <c r="M22" i="33"/>
  <c r="O44" i="33"/>
  <c r="D14" i="47"/>
  <c r="M18" i="33"/>
  <c r="O40" i="33"/>
  <c r="D10" i="43"/>
  <c r="D27" i="43"/>
  <c r="D9" i="47"/>
  <c r="M13" i="33"/>
  <c r="O35" i="33"/>
  <c r="D15" i="43"/>
  <c r="D15" i="44"/>
  <c r="D15" i="47"/>
  <c r="M19" i="33"/>
  <c r="O41" i="33"/>
  <c r="D12" i="47"/>
  <c r="M16" i="33"/>
  <c r="O38" i="33"/>
  <c r="D29" i="44"/>
  <c r="D24" i="44"/>
  <c r="D22" i="47"/>
  <c r="D17" i="47"/>
  <c r="M21" i="33"/>
  <c r="O43" i="33"/>
  <c r="O45" i="33"/>
  <c r="D17" i="43"/>
  <c r="D18" i="43"/>
  <c r="D10" i="47"/>
  <c r="M14" i="33"/>
  <c r="O36" i="33"/>
  <c r="D11" i="44"/>
  <c r="D24" i="47"/>
  <c r="D11" i="47"/>
  <c r="M15" i="33"/>
  <c r="O37" i="33"/>
  <c r="D13" i="43"/>
  <c r="O47" i="33"/>
  <c r="M20" i="33"/>
  <c r="O42" i="33"/>
  <c r="D16" i="43"/>
  <c r="D9" i="43"/>
  <c r="L13" i="33"/>
  <c r="N35" i="33"/>
  <c r="D13" i="49"/>
  <c r="J17" i="33"/>
  <c r="L39" i="33"/>
  <c r="D17" i="49"/>
  <c r="J21" i="33"/>
  <c r="L43" i="33"/>
  <c r="D10" i="49"/>
  <c r="J14" i="33"/>
  <c r="L36" i="33"/>
  <c r="L47" i="33"/>
  <c r="J19" i="33"/>
  <c r="L41" i="33"/>
  <c r="D16" i="49"/>
  <c r="J20" i="33"/>
  <c r="L42" i="33"/>
  <c r="D25" i="49"/>
  <c r="D18" i="49"/>
  <c r="J22" i="33"/>
  <c r="L44" i="33"/>
  <c r="D27" i="49"/>
  <c r="D12" i="49"/>
  <c r="J16" i="33"/>
  <c r="L38" i="33"/>
  <c r="D29" i="49"/>
  <c r="D28" i="49"/>
  <c r="V18" i="33"/>
  <c r="W40" i="33"/>
  <c r="V22" i="33"/>
  <c r="W44" i="33"/>
  <c r="V19" i="33"/>
  <c r="W41" i="33"/>
  <c r="V20" i="33"/>
  <c r="W42" i="33"/>
  <c r="V23" i="33"/>
  <c r="W45" i="33"/>
  <c r="V27" i="33"/>
  <c r="W49" i="33"/>
  <c r="V21" i="33"/>
  <c r="W43" i="33"/>
  <c r="V16" i="33"/>
  <c r="W38" i="33"/>
  <c r="V14" i="33"/>
  <c r="W36" i="33"/>
  <c r="L22" i="33"/>
  <c r="N44" i="33"/>
  <c r="L14" i="33"/>
  <c r="N36" i="33"/>
  <c r="L20" i="33"/>
  <c r="N42" i="33"/>
  <c r="L15" i="33"/>
  <c r="N37" i="33"/>
  <c r="N47" i="33"/>
  <c r="N49" i="33"/>
  <c r="L21" i="33"/>
  <c r="N43" i="33"/>
  <c r="L17" i="33"/>
  <c r="N39" i="33"/>
  <c r="L16" i="33"/>
  <c r="N38" i="33"/>
  <c r="L18" i="33"/>
  <c r="N40" i="33"/>
  <c r="L19" i="33"/>
  <c r="N41" i="33"/>
  <c r="D14" i="14"/>
  <c r="D13" i="14"/>
  <c r="D8" i="14"/>
  <c r="C24" i="14"/>
  <c r="B24" i="14"/>
  <c r="D7" i="14"/>
  <c r="D6" i="14"/>
  <c r="J34" i="2"/>
  <c r="G34" i="2"/>
  <c r="F34" i="2"/>
  <c r="E34" i="2"/>
  <c r="D34" i="2"/>
  <c r="C34" i="2"/>
  <c r="I33" i="2"/>
  <c r="I34" i="2"/>
  <c r="H33" i="2"/>
  <c r="H34" i="2"/>
  <c r="G21" i="2"/>
  <c r="F21" i="2"/>
  <c r="E21" i="2"/>
  <c r="D21" i="2"/>
  <c r="C21" i="2"/>
  <c r="N19" i="2"/>
  <c r="N18" i="2"/>
  <c r="N17" i="2"/>
  <c r="P9" i="2"/>
  <c r="R40" i="33"/>
  <c r="R35" i="33"/>
  <c r="R41" i="33"/>
  <c r="R38" i="33"/>
  <c r="R39" i="33"/>
  <c r="R36" i="33"/>
  <c r="R42" i="33"/>
  <c r="R43" i="33"/>
  <c r="R44" i="33"/>
  <c r="R45" i="33"/>
  <c r="N14" i="2"/>
  <c r="P10" i="2"/>
  <c r="R47" i="33"/>
  <c r="R49" i="33"/>
  <c r="R37" i="33"/>
  <c r="N20" i="2"/>
  <c r="N15" i="33"/>
  <c r="X15" i="33"/>
  <c r="N21" i="33"/>
  <c r="X21" i="33"/>
  <c r="X23" i="33"/>
  <c r="N17" i="33"/>
  <c r="X17" i="33"/>
  <c r="N22" i="33"/>
  <c r="X22" i="33"/>
  <c r="X27" i="33"/>
  <c r="N16" i="33"/>
  <c r="X16" i="33"/>
  <c r="N18" i="33"/>
  <c r="X18" i="33"/>
  <c r="N13" i="33"/>
  <c r="X13" i="33"/>
  <c r="N19" i="33"/>
  <c r="X19" i="33"/>
  <c r="X25" i="33"/>
  <c r="N14" i="33"/>
  <c r="X14" i="33"/>
  <c r="N20" i="33"/>
  <c r="X20" i="33"/>
  <c r="I35" i="33"/>
  <c r="I36" i="33"/>
  <c r="I49" i="33"/>
  <c r="I38" i="33"/>
  <c r="I39" i="33"/>
  <c r="I41" i="33"/>
  <c r="I37" i="33"/>
  <c r="I45" i="33"/>
  <c r="I43" i="33"/>
  <c r="I42" i="33"/>
  <c r="I47" i="33"/>
  <c r="I44" i="33"/>
  <c r="I40" i="33"/>
  <c r="G17" i="33"/>
  <c r="G19" i="33"/>
  <c r="G13" i="33"/>
  <c r="G18" i="33"/>
  <c r="G14" i="33"/>
  <c r="G21" i="33"/>
  <c r="G23" i="33"/>
  <c r="G27" i="33"/>
  <c r="G16" i="33"/>
  <c r="G20" i="33"/>
  <c r="G15" i="33"/>
  <c r="G22" i="33"/>
  <c r="G25" i="3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sampb</author>
  </authors>
  <commentList>
    <comment ref="B42" authorId="0" shapeId="0" xr:uid="{0ED11ADE-6586-43EB-81AE-E59CDD5697D5}">
      <text>
        <r>
          <rPr>
            <b/>
            <sz val="9"/>
            <color indexed="81"/>
            <rFont val="Tahoma"/>
            <family val="2"/>
          </rPr>
          <t>sampb:</t>
        </r>
        <r>
          <rPr>
            <sz val="9"/>
            <color indexed="81"/>
            <rFont val="Tahoma"/>
            <family val="2"/>
          </rPr>
          <t xml:space="preserve">
Based on GREET's inputs
https://reader.elsevier.com/reader/sd/pii/S0921344921003712?token=000FE4FACF32678C98962B4EE0A663CA48D5FACD9A6129EBCF421002AFFFEDD1C2976837F6BE13028049349D13662BB5&amp;originRegion=us-east-1&amp;originCreation=20220311184633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tc={59A8C3B8-A61F-8D49-8E66-4273FEF9BF8B}</author>
    <author>tc={F02696EF-186F-4143-99DD-C0757383A720}</author>
    <author>tc={D6B48686-CBB9-E64C-9690-5D29984FD54D}</author>
  </authors>
  <commentList>
    <comment ref="E8" authorId="0" shapeId="0" xr:uid="{59A8C3B8-A61F-8D49-8E66-4273FEF9BF8B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data for these two columns are normalized to 1 kg of MHP</t>
      </text>
    </comment>
    <comment ref="B44" authorId="1" shapeId="0" xr:uid="{F02696EF-186F-4143-99DD-C0757383A720}">
      <text>
        <t>[Threaded comment]
Your version of Excel allows you to read this threaded comment; however, any edits to it will get removed if the file is opened in a newer version of Excel. Learn more: https://go.microsoft.com/fwlink/?linkid=870924
Comment:
    Source: 
Nickel Life Cycle Analysis Updates and Additions in the GREET Model
Q. Dai and J. C. Kelly
October 2020</t>
      </text>
    </comment>
    <comment ref="B49" authorId="2" shapeId="0" xr:uid="{D6B48686-CBB9-E64C-9690-5D29984FD54D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Source: 
Nickel Life Cycle Analysis Updates and Additions in the GREET Model
Q. Dai and J. C. Kelly
October 2020
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sampb</author>
  </authors>
  <commentList>
    <comment ref="B42" authorId="0" shapeId="0" xr:uid="{CEEB7546-59E2-0E48-80F8-292E567C8108}">
      <text>
        <r>
          <rPr>
            <b/>
            <sz val="9"/>
            <color indexed="81"/>
            <rFont val="Tahoma"/>
            <family val="2"/>
          </rPr>
          <t>sampb:</t>
        </r>
        <r>
          <rPr>
            <sz val="9"/>
            <color indexed="81"/>
            <rFont val="Tahoma"/>
            <family val="2"/>
          </rPr>
          <t xml:space="preserve">
Based on GREET's inputs
https://reader.elsevier.com/reader/sd/pii/S0921344921003712?token=000FE4FACF32678C98962B4EE0A663CA48D5FACD9A6129EBCF421002AFFFEDD1C2976837F6BE13028049349D13662BB5&amp;originRegion=us-east-1&amp;originCreation=20220311184633</t>
        </r>
      </text>
    </comment>
  </commentList>
</comments>
</file>

<file path=xl/sharedStrings.xml><?xml version="1.0" encoding="utf-8"?>
<sst xmlns="http://schemas.openxmlformats.org/spreadsheetml/2006/main" count="3036" uniqueCount="397">
  <si>
    <t>NCA active material</t>
  </si>
  <si>
    <t>Percentage by mass of battery pack (essentially kg material per kg battery pack)</t>
  </si>
  <si>
    <t>Atomic Form</t>
  </si>
  <si>
    <t>Li(Ni0.84,Co0.12,Al0.04)O2</t>
  </si>
  <si>
    <t>NCA</t>
  </si>
  <si>
    <t>NMC111</t>
  </si>
  <si>
    <t>NMC811</t>
  </si>
  <si>
    <t>LFP</t>
  </si>
  <si>
    <t>LMO</t>
  </si>
  <si>
    <t>Atm/FormUn.</t>
  </si>
  <si>
    <t>Atomic Mass</t>
  </si>
  <si>
    <t>Weight %</t>
  </si>
  <si>
    <t xml:space="preserve">    Active Material</t>
  </si>
  <si>
    <t>Atom</t>
  </si>
  <si>
    <t>Li</t>
  </si>
  <si>
    <t xml:space="preserve">    Graphite/Carbon</t>
  </si>
  <si>
    <t>Ni</t>
  </si>
  <si>
    <t>Fe</t>
  </si>
  <si>
    <t xml:space="preserve">    Silicon</t>
  </si>
  <si>
    <t>Mn</t>
  </si>
  <si>
    <t>Al</t>
  </si>
  <si>
    <t>P</t>
  </si>
  <si>
    <t xml:space="preserve">    Binder</t>
  </si>
  <si>
    <t>Co</t>
  </si>
  <si>
    <t xml:space="preserve">    Copper</t>
  </si>
  <si>
    <t>O</t>
  </si>
  <si>
    <t xml:space="preserve">    Wrought Aluminum</t>
  </si>
  <si>
    <t>Mol Mass</t>
  </si>
  <si>
    <t xml:space="preserve">    Cast Aluminum</t>
  </si>
  <si>
    <r>
      <t xml:space="preserve">    Electrolyte: LiPF</t>
    </r>
    <r>
      <rPr>
        <vertAlign val="subscript"/>
        <sz val="8"/>
        <rFont val="Arial"/>
        <family val="2"/>
      </rPr>
      <t>6</t>
    </r>
  </si>
  <si>
    <t>Mass [kg per kg battery pack]</t>
  </si>
  <si>
    <t xml:space="preserve">    Electrolyte: Ethylene Carbonate</t>
  </si>
  <si>
    <t xml:space="preserve">    Electrolyte: Dimethyl Carbonate</t>
  </si>
  <si>
    <t xml:space="preserve">    Plastic: Polypropylene</t>
    <phoneticPr fontId="0" type="noConversion"/>
  </si>
  <si>
    <t>Al (cath)</t>
  </si>
  <si>
    <t xml:space="preserve">    Plastic: Polyethylene</t>
  </si>
  <si>
    <t xml:space="preserve">    Plastic: Polyethylene Terephthalate</t>
  </si>
  <si>
    <t xml:space="preserve">    Steel</t>
  </si>
  <si>
    <t>Cu</t>
  </si>
  <si>
    <t xml:space="preserve">    Thermal Insulation</t>
  </si>
  <si>
    <t>graphite</t>
  </si>
  <si>
    <t xml:space="preserve">    Coolant: Glycol</t>
  </si>
  <si>
    <t>Total</t>
  </si>
  <si>
    <t xml:space="preserve">    Electronic Parts</t>
  </si>
  <si>
    <t>from Greet 2020</t>
  </si>
  <si>
    <t>GREET 2020</t>
  </si>
  <si>
    <t>Li-ion Battery Specific Power (W/kg)</t>
  </si>
  <si>
    <t>Li-ion Battery Specific Energy (Wh/kg)</t>
  </si>
  <si>
    <t>EV</t>
  </si>
  <si>
    <t>NMC622</t>
  </si>
  <si>
    <t>LMR-NMC:Gr</t>
  </si>
  <si>
    <t>LMR-NMC:Gr-SI</t>
  </si>
  <si>
    <t>NMC532</t>
  </si>
  <si>
    <t>Battery Pack Size</t>
  </si>
  <si>
    <t>kWh</t>
  </si>
  <si>
    <t>%</t>
  </si>
  <si>
    <t>kg</t>
  </si>
  <si>
    <t>Element</t>
  </si>
  <si>
    <t>Compound</t>
  </si>
  <si>
    <t>Ammonium nitrate</t>
  </si>
  <si>
    <t>Limestone (CaCO3)</t>
  </si>
  <si>
    <t>Sulfur</t>
  </si>
  <si>
    <t>Sodium hydroxide</t>
  </si>
  <si>
    <t>Sand</t>
  </si>
  <si>
    <t>Ammonia</t>
  </si>
  <si>
    <t>Sulfuric acid</t>
  </si>
  <si>
    <t>Soda ash (U.S.)</t>
  </si>
  <si>
    <t>Engine oil</t>
  </si>
  <si>
    <t>CO2 Total</t>
  </si>
  <si>
    <t>g</t>
  </si>
  <si>
    <t>VOC</t>
  </si>
  <si>
    <t>mg</t>
  </si>
  <si>
    <t>CO</t>
  </si>
  <si>
    <t>NOx</t>
  </si>
  <si>
    <t>PM10</t>
  </si>
  <si>
    <t>PM2.5</t>
  </si>
  <si>
    <t>SOx</t>
  </si>
  <si>
    <t>CH4</t>
  </si>
  <si>
    <t>N2O</t>
  </si>
  <si>
    <t>ug</t>
  </si>
  <si>
    <t>BC</t>
  </si>
  <si>
    <t>POC</t>
  </si>
  <si>
    <t>kJ</t>
  </si>
  <si>
    <t>MJ</t>
  </si>
  <si>
    <t>Water Total</t>
  </si>
  <si>
    <t>cm^3</t>
  </si>
  <si>
    <t>Water</t>
  </si>
  <si>
    <t>J</t>
  </si>
  <si>
    <t>m^3</t>
  </si>
  <si>
    <t>Fossil Fuel</t>
  </si>
  <si>
    <t>Natural Gas Fuel</t>
  </si>
  <si>
    <t>Coal Fuel</t>
  </si>
  <si>
    <t>Petroleum Fuel</t>
  </si>
  <si>
    <t>Non Fossil Fuel</t>
  </si>
  <si>
    <t>Nuclear</t>
  </si>
  <si>
    <t>Renewable</t>
  </si>
  <si>
    <t>Biomass</t>
  </si>
  <si>
    <t>Coke</t>
  </si>
  <si>
    <t>Sodium Chloride</t>
  </si>
  <si>
    <t>Nitric Acid</t>
  </si>
  <si>
    <t>Hydrochloric acid</t>
  </si>
  <si>
    <t>Hydrogen Peroxide</t>
  </si>
  <si>
    <t>Concentrated Li Brine Production - Chile</t>
  </si>
  <si>
    <t>Lithium Carbonate</t>
  </si>
  <si>
    <t>t</t>
  </si>
  <si>
    <t>Mass</t>
  </si>
  <si>
    <t>Energy</t>
  </si>
  <si>
    <t>Volume</t>
  </si>
  <si>
    <t>Unit listed in raw data</t>
  </si>
  <si>
    <t>Desired Unit</t>
  </si>
  <si>
    <t>Conversion (multiply by)</t>
  </si>
  <si>
    <t>Misc.</t>
  </si>
  <si>
    <t>Laterite Mining</t>
  </si>
  <si>
    <t>Laterite Beneficiation and Preparation</t>
  </si>
  <si>
    <t>MHP Refining</t>
  </si>
  <si>
    <t>Nickel Sulfate</t>
  </si>
  <si>
    <t>mmBTU</t>
  </si>
  <si>
    <t>Product</t>
  </si>
  <si>
    <t>Atomic mass</t>
  </si>
  <si>
    <t>Molecular Weight [kg/mol]</t>
  </si>
  <si>
    <t>Moles of Element in Product</t>
  </si>
  <si>
    <t>kg emission / functional unit</t>
  </si>
  <si>
    <t>MJ fuel / functional unit</t>
  </si>
  <si>
    <r>
      <t xml:space="preserve">cm^3 of </t>
    </r>
    <r>
      <rPr>
        <b/>
        <u/>
        <sz val="11"/>
        <color theme="1"/>
        <rFont val="Calibri"/>
        <family val="2"/>
        <scheme val="minor"/>
      </rPr>
      <t>Water</t>
    </r>
    <r>
      <rPr>
        <b/>
        <sz val="11"/>
        <color theme="1"/>
        <rFont val="Calibri"/>
        <family val="2"/>
        <scheme val="minor"/>
      </rPr>
      <t xml:space="preserve"> / functional unit</t>
    </r>
  </si>
  <si>
    <t>Factor to multiply by to normalize by mass of element [kg] in product</t>
  </si>
  <si>
    <t xml:space="preserve">     Total energy</t>
  </si>
  <si>
    <t xml:space="preserve">     VOC</t>
  </si>
  <si>
    <t xml:space="preserve">     CO</t>
  </si>
  <si>
    <t xml:space="preserve">     NOx</t>
  </si>
  <si>
    <t xml:space="preserve">     PM10</t>
  </si>
  <si>
    <t xml:space="preserve">     PM2.5</t>
  </si>
  <si>
    <t xml:space="preserve">     SOx</t>
  </si>
  <si>
    <t xml:space="preserve">     BC</t>
  </si>
  <si>
    <t xml:space="preserve">     OC</t>
  </si>
  <si>
    <t xml:space="preserve">     CH4</t>
  </si>
  <si>
    <t xml:space="preserve">     N2O</t>
  </si>
  <si>
    <t xml:space="preserve">     CO2</t>
  </si>
  <si>
    <t>gal</t>
  </si>
  <si>
    <t>Li2CO3 Production - Chile</t>
  </si>
  <si>
    <t>Bauxite Refining: Bayer Process</t>
  </si>
  <si>
    <t>Copper Ore Mining</t>
  </si>
  <si>
    <t>Bauxite</t>
  </si>
  <si>
    <t>Total Energy</t>
  </si>
  <si>
    <t>Unit Conversions</t>
  </si>
  <si>
    <t>Phosphoric Acid</t>
  </si>
  <si>
    <t>mm^3</t>
  </si>
  <si>
    <t>dm^3</t>
  </si>
  <si>
    <t>Normalized by Mass of Element in Functional Unit</t>
  </si>
  <si>
    <t>Product data is normalized by →</t>
  </si>
  <si>
    <r>
      <t xml:space="preserve">Stage </t>
    </r>
    <r>
      <rPr>
        <b/>
        <sz val="11"/>
        <color theme="1"/>
        <rFont val="Calibri"/>
        <family val="2"/>
      </rPr>
      <t>→</t>
    </r>
  </si>
  <si>
    <t>Amount of element in product the raw data are normalized by</t>
  </si>
  <si>
    <r>
      <t>[kg element per</t>
    </r>
    <r>
      <rPr>
        <b/>
        <u/>
        <sz val="11"/>
        <color theme="1"/>
        <rFont val="Calibri"/>
        <family val="2"/>
        <scheme val="minor"/>
      </rPr>
      <t xml:space="preserve"> kg of NCA active material</t>
    </r>
    <r>
      <rPr>
        <b/>
        <sz val="11"/>
        <color theme="1"/>
        <rFont val="Calibri"/>
        <family val="2"/>
        <scheme val="minor"/>
      </rPr>
      <t>]</t>
    </r>
  </si>
  <si>
    <t>Virgin Steel</t>
  </si>
  <si>
    <t>Percentage of Element in Product</t>
  </si>
  <si>
    <t>NCA - just mining</t>
  </si>
  <si>
    <t>Functional Unit:</t>
  </si>
  <si>
    <t>1 kg NCA active material</t>
  </si>
  <si>
    <t>Scope:</t>
  </si>
  <si>
    <t>gate-to-gate</t>
  </si>
  <si>
    <t>cradle (mining/brine production)</t>
  </si>
  <si>
    <t>1 kg of each element</t>
  </si>
  <si>
    <t>ton</t>
  </si>
  <si>
    <t>Co in Cobalt Salts</t>
  </si>
  <si>
    <t>Cu-Co Ore Mining - Mass Allocation</t>
  </si>
  <si>
    <t>NCA - cradle-to-gate</t>
  </si>
  <si>
    <t>cradle-to-gate</t>
  </si>
  <si>
    <t>NCA -gate-to-gate</t>
  </si>
  <si>
    <t>Nickel Refining</t>
  </si>
  <si>
    <t>Nickel Ore Mining</t>
  </si>
  <si>
    <r>
      <t>Units [per kg of product]</t>
    </r>
    <r>
      <rPr>
        <b/>
        <sz val="11"/>
        <color theme="1"/>
        <rFont val="Calibri"/>
        <family val="2"/>
      </rPr>
      <t>↓</t>
    </r>
  </si>
  <si>
    <t>Production of Nickel Sulfate from Class 1 Nickel</t>
  </si>
  <si>
    <t>Nickel</t>
  </si>
  <si>
    <t>NCA - just brine production</t>
  </si>
  <si>
    <t>Li2CO3 Production from Ore</t>
  </si>
  <si>
    <t>Spodumene concentrate</t>
  </si>
  <si>
    <t>Spodumene from Ore</t>
  </si>
  <si>
    <t>Bauxite (Al Ore) Mining</t>
  </si>
  <si>
    <t>NCA - mining</t>
  </si>
  <si>
    <t>Concentrated Li Brine Transportation in Chile</t>
  </si>
  <si>
    <t>Ni production</t>
  </si>
  <si>
    <t>Production of Manganese Sulfate</t>
  </si>
  <si>
    <t>MnSO4</t>
  </si>
  <si>
    <t>Manganese Sulfate</t>
  </si>
  <si>
    <t>Co production</t>
  </si>
  <si>
    <t>Li production</t>
  </si>
  <si>
    <t>Al production</t>
  </si>
  <si>
    <t>Co in Co salts</t>
  </si>
  <si>
    <t>MHP</t>
  </si>
  <si>
    <t>Brine</t>
  </si>
  <si>
    <t>Spodumene</t>
  </si>
  <si>
    <t>Class 1 Nickel</t>
  </si>
  <si>
    <t>Copper smelting/refining</t>
  </si>
  <si>
    <t>Copper (virgin)</t>
  </si>
  <si>
    <t>Mn in Mn ore</t>
  </si>
  <si>
    <t>Ratio Refining:Mining</t>
  </si>
  <si>
    <t>Consumable Impacts from GREET.net [per kg of consumable]</t>
  </si>
  <si>
    <t>Lime (CaO)</t>
  </si>
  <si>
    <t>Kerosene (Ethanol-To-Jet: Distributed)</t>
  </si>
  <si>
    <t>Nitrogen (average)</t>
  </si>
  <si>
    <t>Gaseous Hydrogen (Compressed G.H2 Produced from NA NG))</t>
  </si>
  <si>
    <t>Ca(OH)2 (estimated)</t>
  </si>
  <si>
    <t>Natural Gas (averaging US Natural Gas Production from Shale and Conventional)</t>
  </si>
  <si>
    <t>Crude Co(OH)2 Transportation</t>
  </si>
  <si>
    <t>Aluminum</t>
  </si>
  <si>
    <t>Refined CoSO4/CoCl2 production in China</t>
  </si>
  <si>
    <t>Crude Co(OH)2 Production in DRC</t>
  </si>
  <si>
    <t>Spodumene Transportation</t>
  </si>
  <si>
    <t>LCO active material</t>
  </si>
  <si>
    <t>LiCoO2</t>
  </si>
  <si>
    <t>LCO - cradle-to-gate</t>
  </si>
  <si>
    <t>LCO - just mining</t>
  </si>
  <si>
    <t>LCO -gate-to-gate</t>
  </si>
  <si>
    <r>
      <t>[kg element per</t>
    </r>
    <r>
      <rPr>
        <b/>
        <u/>
        <sz val="11"/>
        <color theme="1"/>
        <rFont val="Calibri"/>
        <family val="2"/>
        <scheme val="minor"/>
      </rPr>
      <t xml:space="preserve"> kg of LCO active material</t>
    </r>
    <r>
      <rPr>
        <b/>
        <sz val="11"/>
        <color theme="1"/>
        <rFont val="Calibri"/>
        <family val="2"/>
        <scheme val="minor"/>
      </rPr>
      <t>]</t>
    </r>
  </si>
  <si>
    <t>1 kg LCO active material</t>
  </si>
  <si>
    <r>
      <t>a</t>
    </r>
    <r>
      <rPr>
        <i/>
        <sz val="12"/>
        <color theme="1"/>
        <rFont val="Times New Roman"/>
        <family val="1"/>
      </rPr>
      <t>Department of Energy Resources Engineering, Stanford University, Stanford, California, 94305, United States</t>
    </r>
  </si>
  <si>
    <r>
      <t>b</t>
    </r>
    <r>
      <rPr>
        <i/>
        <sz val="12"/>
        <color theme="1"/>
        <rFont val="Times New Roman"/>
        <family val="1"/>
      </rPr>
      <t>Department of Chemical Engineering, Stanford University, Stanford, California 94305, United States</t>
    </r>
  </si>
  <si>
    <r>
      <t>c</t>
    </r>
    <r>
      <rPr>
        <i/>
        <sz val="12"/>
        <color theme="1"/>
        <rFont val="Times New Roman"/>
        <family val="1"/>
      </rPr>
      <t>Precourt Institute for Energy, Stanford University, Stanford, California 94305, United States</t>
    </r>
  </si>
  <si>
    <r>
      <t>d</t>
    </r>
    <r>
      <rPr>
        <i/>
        <sz val="12"/>
        <color theme="1"/>
        <rFont val="Times New Roman"/>
        <family val="1"/>
      </rPr>
      <t>Departments of Physics and Economics, Kenyon College, Gambier, Ohio 43022, United States</t>
    </r>
  </si>
  <si>
    <t># denotes equal co-first author contribution</t>
  </si>
  <si>
    <t>SUPPLEMENTARY INFORMATION (2)</t>
  </si>
  <si>
    <t>Spreadsheet</t>
  </si>
  <si>
    <t>Content</t>
  </si>
  <si>
    <t>Battery Composition</t>
  </si>
  <si>
    <t>Conversions</t>
  </si>
  <si>
    <t>Ni_MHP</t>
  </si>
  <si>
    <t>Ni_Class1</t>
  </si>
  <si>
    <t>Co_SO4</t>
  </si>
  <si>
    <t>Li_Brine</t>
  </si>
  <si>
    <t>Li_Ore</t>
  </si>
  <si>
    <t>Final</t>
  </si>
  <si>
    <t>Instructions on reading this workbook:</t>
  </si>
  <si>
    <t>The elemental breakdown of NCA and LCO active material used in the functional unit of this life cycle analysis (LCA).</t>
  </si>
  <si>
    <t>LCO - just brine production</t>
  </si>
  <si>
    <t>Data Extracted from GREET.net</t>
  </si>
  <si>
    <t>The life cycle inventory (LCI) for the production of Nickel Sulfate from Class I Nickel.</t>
  </si>
  <si>
    <t>The life cycle inventory (LCI) for the production of Lithium Carbonate from Ore.</t>
  </si>
  <si>
    <t>The life cycle inventory (LCI) for the production of Lithium Carbonate from Brine.</t>
  </si>
  <si>
    <t>The life cycle inventory (LCI) for the production of Cobalt Sulfate from Cobalt Salts.</t>
  </si>
  <si>
    <t>The life cycle inventory (LCI) for the production of Nickel Sulfate from Mixed Hydroxide Precipitates (MHP).</t>
  </si>
  <si>
    <t>The life cycle inventory (LCI) for the production of Aluminum Oxide from Bauxite Ore.</t>
  </si>
  <si>
    <t>The life cycle inventory (LCI) for the production of Copper (virgin) from Copper Ore.</t>
  </si>
  <si>
    <t>The life cycle inventory (LCI) for the production of Manganese Sulfate from Manganese Ore.</t>
  </si>
  <si>
    <t>Aggregation of the individual contributions of each element in the overall functional units.</t>
  </si>
  <si>
    <t>Functional Units</t>
  </si>
  <si>
    <t xml:space="preserve">1 kg of element </t>
  </si>
  <si>
    <t>Each of the element sheets is organized by the following sections:</t>
  </si>
  <si>
    <t>Functional Unit</t>
  </si>
  <si>
    <t>Section</t>
  </si>
  <si>
    <t>Function of section</t>
  </si>
  <si>
    <t>Provides the mass of the element of interest in the functional unit(s).</t>
  </si>
  <si>
    <t>Provides the conversion factor for normalizing the LCI data to 1 kg of the element of interest prior to normalizing by the mass of that element in the functional unit(s).</t>
  </si>
  <si>
    <t>Provides the LCI data extracted from the GREET model prior to normalization with the functional unit(s).</t>
  </si>
  <si>
    <t>Provides the LCI data extracted from the GREET model after normalization with the functional unit(s).</t>
  </si>
  <si>
    <t>Element Sheets (Ni_MHP, Ni_Class1, Co_SO4, etc.)</t>
  </si>
  <si>
    <t>Production Weights</t>
  </si>
  <si>
    <t>This sheet is organized by the following sections:</t>
  </si>
  <si>
    <t>Per 1 kg of each element</t>
  </si>
  <si>
    <t>LCO</t>
  </si>
  <si>
    <t>This table provides the values for weighting production pathways for elements that have more than one production pathway (i.e., Ni and Li).</t>
  </si>
  <si>
    <t>Per 1 kg of Element</t>
  </si>
  <si>
    <t>Pulls the normalized LCI data from the element tabs of Ni, Co, Al, and Li; weights the data using the "Production Weights" table; and totals the values. Within this section, there are three scopes that frame the data: cradle-to-gate, gate-to-gate, and isolated cradle.</t>
  </si>
  <si>
    <t>Pulls the normalized LCI data from all of the element tabs; weights the data using the "Production Weights" table; and totals the values. Within this section, there are three scopes that frame the data: cradle-to-gate, gate-to-gate, and isolated cradle.</t>
  </si>
  <si>
    <t>Pulls the normalized LCI data from the element tabs of Li and Co; weights the data using the "Production Weights" table; and totals the values. Within this section, there are three scopes that frame the data: cradle-to-gate, gate-to-gate, and isolated cradle.</t>
  </si>
  <si>
    <t>The life cycle inventory (LCI) for the chemical consumables used in the Redwood recycling processes. Data extracted from GREET and SimaPro.</t>
  </si>
  <si>
    <t>Consumables</t>
  </si>
  <si>
    <r>
      <t>Michael L. Machala</t>
    </r>
    <r>
      <rPr>
        <vertAlign val="superscript"/>
        <sz val="12"/>
        <color theme="1"/>
        <rFont val="Times New Roman"/>
        <family val="1"/>
      </rPr>
      <t>a,c,</t>
    </r>
    <r>
      <rPr>
        <vertAlign val="superscript"/>
        <sz val="12"/>
        <color rgb="FF222222"/>
        <rFont val="Times New Roman"/>
        <family val="1"/>
      </rPr>
      <t>#</t>
    </r>
    <r>
      <rPr>
        <sz val="12"/>
        <color rgb="FF222222"/>
        <rFont val="Times New Roman"/>
        <family val="1"/>
      </rPr>
      <t>, Xi Chen</t>
    </r>
    <r>
      <rPr>
        <vertAlign val="superscript"/>
        <sz val="12"/>
        <color theme="1"/>
        <rFont val="Times New Roman"/>
        <family val="1"/>
      </rPr>
      <t>b,</t>
    </r>
    <r>
      <rPr>
        <vertAlign val="superscript"/>
        <sz val="12"/>
        <color rgb="FF222222"/>
        <rFont val="Times New Roman"/>
        <family val="1"/>
      </rPr>
      <t>#</t>
    </r>
    <r>
      <rPr>
        <sz val="12"/>
        <color rgb="FF222222"/>
        <rFont val="Times New Roman"/>
        <family val="1"/>
      </rPr>
      <t>, Samantha P. Bunke</t>
    </r>
    <r>
      <rPr>
        <vertAlign val="superscript"/>
        <sz val="12"/>
        <color theme="1"/>
        <rFont val="Times New Roman"/>
        <family val="1"/>
      </rPr>
      <t>b,</t>
    </r>
    <r>
      <rPr>
        <vertAlign val="superscript"/>
        <sz val="12"/>
        <color rgb="FF222222"/>
        <rFont val="Times New Roman"/>
        <family val="1"/>
      </rPr>
      <t>#</t>
    </r>
    <r>
      <rPr>
        <sz val="12"/>
        <color rgb="FF222222"/>
        <rFont val="Times New Roman"/>
        <family val="1"/>
      </rPr>
      <t>, Gregory Forbes</t>
    </r>
    <r>
      <rPr>
        <vertAlign val="superscript"/>
        <sz val="12"/>
        <color theme="1"/>
        <rFont val="Times New Roman"/>
        <family val="1"/>
      </rPr>
      <t>a</t>
    </r>
    <r>
      <rPr>
        <sz val="12"/>
        <color rgb="FF222222"/>
        <rFont val="Times New Roman"/>
        <family val="1"/>
      </rPr>
      <t>, Akarys Yegizbay</t>
    </r>
    <r>
      <rPr>
        <vertAlign val="superscript"/>
        <sz val="12"/>
        <color rgb="FF222222"/>
        <rFont val="Times New Roman"/>
        <family val="1"/>
      </rPr>
      <t>d</t>
    </r>
    <r>
      <rPr>
        <sz val="12"/>
        <color rgb="FF222222"/>
        <rFont val="Times New Roman"/>
        <family val="1"/>
      </rPr>
      <t>, Jacques de Chalendar</t>
    </r>
    <r>
      <rPr>
        <vertAlign val="superscript"/>
        <sz val="12"/>
        <color theme="1"/>
        <rFont val="Times New Roman"/>
        <family val="1"/>
      </rPr>
      <t>a</t>
    </r>
    <r>
      <rPr>
        <sz val="12"/>
        <color rgb="FF222222"/>
        <rFont val="Times New Roman"/>
        <family val="1"/>
      </rPr>
      <t>, Inês L. Azevedo</t>
    </r>
    <r>
      <rPr>
        <vertAlign val="superscript"/>
        <sz val="12"/>
        <color theme="1"/>
        <rFont val="Times New Roman"/>
        <family val="1"/>
      </rPr>
      <t>a,c</t>
    </r>
    <r>
      <rPr>
        <sz val="12"/>
        <color rgb="FF222222"/>
        <rFont val="Times New Roman"/>
        <family val="1"/>
      </rPr>
      <t>,</t>
    </r>
    <r>
      <rPr>
        <sz val="12"/>
        <color theme="1"/>
        <rFont val="Times New Roman"/>
        <family val="1"/>
      </rPr>
      <t xml:space="preserve"> Sally Benson</t>
    </r>
    <r>
      <rPr>
        <vertAlign val="superscript"/>
        <sz val="12"/>
        <color theme="1"/>
        <rFont val="Times New Roman"/>
        <family val="1"/>
      </rPr>
      <t>a,c</t>
    </r>
    <r>
      <rPr>
        <sz val="12"/>
        <color theme="1"/>
        <rFont val="Times New Roman"/>
        <family val="1"/>
      </rPr>
      <t>, William A. Tarpeh</t>
    </r>
    <r>
      <rPr>
        <vertAlign val="superscript"/>
        <sz val="12"/>
        <color theme="1"/>
        <rFont val="Times New Roman"/>
        <family val="1"/>
      </rPr>
      <t>b,c,*</t>
    </r>
  </si>
  <si>
    <t>kg emission / kg consumable</t>
  </si>
  <si>
    <t>MJ fuel / kg consumable</t>
  </si>
  <si>
    <r>
      <t xml:space="preserve">cm^3 of </t>
    </r>
    <r>
      <rPr>
        <b/>
        <u/>
        <sz val="11"/>
        <color theme="1"/>
        <rFont val="Calibri"/>
        <family val="2"/>
        <scheme val="minor"/>
      </rPr>
      <t>Water</t>
    </r>
    <r>
      <rPr>
        <b/>
        <sz val="11"/>
        <color theme="1"/>
        <rFont val="Calibri"/>
        <family val="2"/>
        <scheme val="minor"/>
      </rPr>
      <t xml:space="preserve"> / kg consumable</t>
    </r>
  </si>
  <si>
    <t>NCA-eq</t>
  </si>
  <si>
    <t>Emission Conversions</t>
  </si>
  <si>
    <t>GHG</t>
  </si>
  <si>
    <t>Conversion factor to CO2-eq</t>
  </si>
  <si>
    <t>A list of unit conversions used throughout the workbook, as well as the CO2-eq emission factos used.</t>
  </si>
  <si>
    <t>Life cycle comparison of industrial-scale lithium-ion battery recycling and mining supply chains</t>
  </si>
  <si>
    <t>Consumable Impacts from SimaPro [per kg of consumable]</t>
  </si>
  <si>
    <t>Formic Acid</t>
  </si>
  <si>
    <t>Hexane</t>
  </si>
  <si>
    <t>Na2S</t>
  </si>
  <si>
    <t>CO2</t>
  </si>
  <si>
    <t>Total CO2 - eq</t>
  </si>
  <si>
    <t>MJ fuel /  kg consumable</t>
  </si>
  <si>
    <r>
      <t xml:space="preserve">L of </t>
    </r>
    <r>
      <rPr>
        <b/>
        <u/>
        <sz val="11"/>
        <color theme="1"/>
        <rFont val="Calibri"/>
        <family val="2"/>
        <scheme val="minor"/>
      </rPr>
      <t>Water</t>
    </r>
    <r>
      <rPr>
        <b/>
        <sz val="11"/>
        <color theme="1"/>
        <rFont val="Calibri"/>
        <family val="2"/>
        <scheme val="minor"/>
      </rPr>
      <t xml:space="preserve"> /  kg consumable</t>
    </r>
  </si>
  <si>
    <t>LFP active material</t>
  </si>
  <si>
    <t>LiFePO 4 </t>
  </si>
  <si>
    <t>Electricity Mix:</t>
  </si>
  <si>
    <t>Non-Distributed: Papa New Guinea Mix for Ni Production</t>
  </si>
  <si>
    <t>Distributed - China mix</t>
  </si>
  <si>
    <t>*just diesel</t>
  </si>
  <si>
    <t>Distributed - Congo Mix for Co Production</t>
  </si>
  <si>
    <t>*transportation</t>
  </si>
  <si>
    <t>Nickel as limiting product</t>
  </si>
  <si>
    <t>Cobalt as limiting product</t>
  </si>
  <si>
    <t>MHP - mining + laterite benef.</t>
  </si>
  <si>
    <t>MHP - just laterite benef.</t>
  </si>
  <si>
    <t>NCA - mining + laterite benef.</t>
  </si>
  <si>
    <t>NCA - just MHP refining</t>
  </si>
  <si>
    <t>NCA - just laterite beneficiation</t>
  </si>
  <si>
    <t>Intermediate Product</t>
  </si>
  <si>
    <t>Final Product</t>
  </si>
  <si>
    <t>NiSO4</t>
  </si>
  <si>
    <t>CoSO4</t>
  </si>
  <si>
    <t>Electricity:</t>
  </si>
  <si>
    <t>Mix:</t>
  </si>
  <si>
    <t>Distributed - Electricity Mix for Lithium from Brine</t>
  </si>
  <si>
    <t>based on Chile 2018</t>
  </si>
  <si>
    <t>Process stage:</t>
  </si>
  <si>
    <t>Glass</t>
  </si>
  <si>
    <t>Paper</t>
  </si>
  <si>
    <t>Plastic</t>
  </si>
  <si>
    <t>Metal Cans</t>
  </si>
  <si>
    <t>AVG</t>
  </si>
  <si>
    <t>dev1</t>
  </si>
  <si>
    <t>dev2</t>
  </si>
  <si>
    <t>Conv.</t>
  </si>
  <si>
    <t>--</t>
  </si>
  <si>
    <t>3°</t>
  </si>
  <si>
    <t>Pyro</t>
  </si>
  <si>
    <t>Hydro</t>
  </si>
  <si>
    <t>Direct</t>
  </si>
  <si>
    <t>Hy</t>
  </si>
  <si>
    <t>Me</t>
  </si>
  <si>
    <t>RC</t>
  </si>
  <si>
    <t>CO2-eq</t>
  </si>
  <si>
    <t>Panel a</t>
  </si>
  <si>
    <t>Panel b</t>
  </si>
  <si>
    <t>DEV</t>
  </si>
  <si>
    <t>Panel c</t>
  </si>
  <si>
    <t>Rcycled battery</t>
  </si>
  <si>
    <t>Recycled scrap</t>
  </si>
  <si>
    <t>Conv.2</t>
  </si>
  <si>
    <t>Hy-only</t>
  </si>
  <si>
    <t>NiCo</t>
  </si>
  <si>
    <t>Recycled battery</t>
  </si>
  <si>
    <t>Elec-RC</t>
  </si>
  <si>
    <t>Elec-Me</t>
  </si>
  <si>
    <t>Elec-Hy</t>
  </si>
  <si>
    <t>H2SO4</t>
  </si>
  <si>
    <t>H2O2</t>
  </si>
  <si>
    <t>Ca(OH)2-RC</t>
  </si>
  <si>
    <t>Ca(OH)2-Hy</t>
  </si>
  <si>
    <t>Energ: Recycled scrap</t>
  </si>
  <si>
    <t>Energy: Recycled battery</t>
  </si>
  <si>
    <t>CO2-eq: Recycled scrap</t>
  </si>
  <si>
    <t>CO2-eq: Recycled battery</t>
  </si>
  <si>
    <t>Water: Recycled scrap</t>
  </si>
  <si>
    <t>Water: Recycled battery</t>
  </si>
  <si>
    <t>NV*</t>
  </si>
  <si>
    <t>BPAT</t>
  </si>
  <si>
    <t>CISO</t>
  </si>
  <si>
    <t>NEVP</t>
  </si>
  <si>
    <t>WACM</t>
  </si>
  <si>
    <t>RE</t>
  </si>
  <si>
    <t>WAT</t>
  </si>
  <si>
    <t>NUC</t>
  </si>
  <si>
    <t>SUN</t>
  </si>
  <si>
    <t>NG</t>
  </si>
  <si>
    <t>WND</t>
  </si>
  <si>
    <t>COL</t>
  </si>
  <si>
    <t>OIL</t>
  </si>
  <si>
    <t>BIO</t>
  </si>
  <si>
    <t>GEO</t>
  </si>
  <si>
    <t>OTH</t>
  </si>
  <si>
    <t>Cir.</t>
  </si>
  <si>
    <t>Refining</t>
  </si>
  <si>
    <t>Logistics</t>
  </si>
  <si>
    <t>Mining</t>
  </si>
  <si>
    <t>CO2e</t>
  </si>
  <si>
    <t>Eng</t>
  </si>
  <si>
    <t>wat</t>
  </si>
  <si>
    <t>EVs</t>
  </si>
  <si>
    <t>Energy Storage</t>
  </si>
  <si>
    <t>Consumer Electronics</t>
  </si>
  <si>
    <t>Others</t>
  </si>
  <si>
    <t>Tot</t>
  </si>
  <si>
    <t>-</t>
  </si>
  <si>
    <t>+</t>
  </si>
  <si>
    <t>NiMH</t>
  </si>
  <si>
    <t>N/A</t>
  </si>
  <si>
    <t>3°-CO3</t>
  </si>
  <si>
    <t>Hydro-CO3</t>
  </si>
  <si>
    <t>NCA w/recycled Ni inputs</t>
  </si>
  <si>
    <t>NCA (mined inputs)</t>
  </si>
  <si>
    <t>This study (mined inputs)</t>
  </si>
  <si>
    <t>Electricity-Me</t>
  </si>
  <si>
    <t>Electricity</t>
  </si>
  <si>
    <t>Alkali</t>
  </si>
  <si>
    <t>SX</t>
  </si>
  <si>
    <t>HCOOH</t>
  </si>
  <si>
    <t>Panel d</t>
  </si>
  <si>
    <t>Panel e</t>
  </si>
  <si>
    <t>Panel f</t>
  </si>
  <si>
    <t>Panel g</t>
  </si>
  <si>
    <t>Panel h</t>
  </si>
  <si>
    <t>CO2-RC</t>
  </si>
  <si>
    <t>Alkali-RC</t>
  </si>
  <si>
    <t>Alkali-Hy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</si>
</sst>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%"/>
    <numFmt numFmtId="165" formatCode="_(* #,##0_);_(* \(#,##0\);_(* &quot;-&quot;??_);_(@_)"/>
    <numFmt numFmtId="166" formatCode="0.0000"/>
    <numFmt numFmtId="167" formatCode="0.000%"/>
    <numFmt numFmtId="168" formatCode="0.0E+00"/>
    <numFmt numFmtId="169" formatCode="0.000000000"/>
  </numFmts>
  <fonts count="3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bscript"/>
      <sz val="8"/>
      <name val="Arial"/>
      <family val="2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</font>
    <font>
      <b/>
      <u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Times New Roman"/>
      <family val="1"/>
    </font>
    <font>
      <sz val="12"/>
      <color rgb="FF222222"/>
      <name val="Times New Roman"/>
      <family val="1"/>
    </font>
    <font>
      <vertAlign val="superscript"/>
      <sz val="12"/>
      <color theme="1"/>
      <name val="Times New Roman"/>
      <family val="1"/>
    </font>
    <font>
      <vertAlign val="superscript"/>
      <sz val="12"/>
      <color rgb="FF222222"/>
      <name val="Times New Roman"/>
      <family val="1"/>
    </font>
    <font>
      <i/>
      <sz val="12"/>
      <color theme="1"/>
      <name val="Times New Roman"/>
      <family val="1"/>
    </font>
    <font>
      <i/>
      <vertAlign val="superscript"/>
      <sz val="12"/>
      <color theme="1"/>
      <name val="Times New Roman"/>
      <family val="1"/>
    </font>
    <font>
      <b/>
      <sz val="16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rgb="FF00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BA8CD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8" fillId="0" borderId="0"/>
  </cellStyleXfs>
  <cellXfs count="252">
    <xf numFmtId="0" fontId="0" fillId="0" borderId="0" xfId="0"/>
    <xf numFmtId="0" fontId="5" fillId="0" borderId="0" xfId="2"/>
    <xf numFmtId="0" fontId="6" fillId="0" borderId="0" xfId="2" applyFont="1" applyAlignment="1">
      <alignment horizontal="center"/>
    </xf>
    <xf numFmtId="0" fontId="5" fillId="0" borderId="1" xfId="2" applyBorder="1"/>
    <xf numFmtId="0" fontId="6" fillId="0" borderId="1" xfId="2" applyFont="1" applyBorder="1"/>
    <xf numFmtId="164" fontId="5" fillId="0" borderId="1" xfId="2" applyNumberFormat="1" applyBorder="1"/>
    <xf numFmtId="164" fontId="5" fillId="0" borderId="0" xfId="2" applyNumberFormat="1"/>
    <xf numFmtId="164" fontId="6" fillId="0" borderId="1" xfId="2" applyNumberFormat="1" applyFont="1" applyBorder="1"/>
    <xf numFmtId="9" fontId="0" fillId="0" borderId="1" xfId="3" applyFont="1" applyBorder="1"/>
    <xf numFmtId="164" fontId="5" fillId="0" borderId="5" xfId="2" applyNumberFormat="1" applyBorder="1"/>
    <xf numFmtId="0" fontId="5" fillId="0" borderId="5" xfId="2" applyBorder="1"/>
    <xf numFmtId="9" fontId="5" fillId="0" borderId="1" xfId="2" applyNumberFormat="1" applyBorder="1"/>
    <xf numFmtId="2" fontId="5" fillId="0" borderId="1" xfId="2" applyNumberFormat="1" applyBorder="1"/>
    <xf numFmtId="2" fontId="6" fillId="0" borderId="1" xfId="2" applyNumberFormat="1" applyFont="1" applyBorder="1"/>
    <xf numFmtId="0" fontId="5" fillId="0" borderId="2" xfId="2" applyBorder="1" applyAlignment="1">
      <alignment horizontal="center"/>
    </xf>
    <xf numFmtId="0" fontId="5" fillId="0" borderId="3" xfId="2" applyBorder="1" applyAlignment="1">
      <alignment horizontal="center"/>
    </xf>
    <xf numFmtId="0" fontId="5" fillId="0" borderId="4" xfId="2" applyBorder="1" applyAlignment="1">
      <alignment horizontal="center"/>
    </xf>
    <xf numFmtId="0" fontId="5" fillId="0" borderId="0" xfId="2" applyAlignment="1">
      <alignment horizontal="center"/>
    </xf>
    <xf numFmtId="165" fontId="5" fillId="4" borderId="2" xfId="2" applyNumberFormat="1" applyFill="1" applyBorder="1" applyAlignment="1">
      <alignment horizontal="center"/>
    </xf>
    <xf numFmtId="165" fontId="5" fillId="4" borderId="3" xfId="2" applyNumberFormat="1" applyFill="1" applyBorder="1" applyAlignment="1">
      <alignment horizontal="center"/>
    </xf>
    <xf numFmtId="165" fontId="5" fillId="4" borderId="4" xfId="2" applyNumberFormat="1" applyFill="1" applyBorder="1" applyAlignment="1">
      <alignment horizontal="center"/>
    </xf>
    <xf numFmtId="0" fontId="5" fillId="0" borderId="2" xfId="2" applyBorder="1"/>
    <xf numFmtId="0" fontId="5" fillId="0" borderId="3" xfId="2" applyBorder="1"/>
    <xf numFmtId="0" fontId="5" fillId="0" borderId="4" xfId="2" applyBorder="1"/>
    <xf numFmtId="0" fontId="5" fillId="0" borderId="6" xfId="2" applyBorder="1" applyAlignment="1">
      <alignment horizontal="center"/>
    </xf>
    <xf numFmtId="1" fontId="5" fillId="4" borderId="6" xfId="2" applyNumberFormat="1" applyFill="1" applyBorder="1" applyAlignment="1">
      <alignment horizontal="center"/>
    </xf>
    <xf numFmtId="1" fontId="8" fillId="4" borderId="4" xfId="4" applyNumberFormat="1" applyFill="1" applyBorder="1" applyAlignment="1">
      <alignment horizontal="center"/>
    </xf>
    <xf numFmtId="0" fontId="4" fillId="0" borderId="0" xfId="0" applyFont="1"/>
    <xf numFmtId="0" fontId="4" fillId="3" borderId="1" xfId="0" applyFont="1" applyFill="1" applyBorder="1"/>
    <xf numFmtId="0" fontId="4" fillId="3" borderId="10" xfId="0" applyFont="1" applyFill="1" applyBorder="1"/>
    <xf numFmtId="0" fontId="4" fillId="3" borderId="12" xfId="0" applyFont="1" applyFill="1" applyBorder="1"/>
    <xf numFmtId="0" fontId="4" fillId="3" borderId="13" xfId="0" applyFont="1" applyFill="1" applyBorder="1"/>
    <xf numFmtId="0" fontId="4" fillId="3" borderId="14" xfId="0" applyFont="1" applyFill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7" xfId="0" applyBorder="1"/>
    <xf numFmtId="0" fontId="0" fillId="0" borderId="9" xfId="0" applyBorder="1"/>
    <xf numFmtId="0" fontId="0" fillId="0" borderId="21" xfId="0" applyBorder="1"/>
    <xf numFmtId="0" fontId="0" fillId="0" borderId="8" xfId="0" applyBorder="1"/>
    <xf numFmtId="11" fontId="0" fillId="0" borderId="0" xfId="0" applyNumberFormat="1"/>
    <xf numFmtId="0" fontId="0" fillId="0" borderId="5" xfId="0" applyBorder="1"/>
    <xf numFmtId="0" fontId="0" fillId="0" borderId="24" xfId="0" applyBorder="1"/>
    <xf numFmtId="0" fontId="4" fillId="0" borderId="25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0" fillId="0" borderId="26" xfId="0" applyBorder="1"/>
    <xf numFmtId="0" fontId="4" fillId="3" borderId="27" xfId="0" applyFont="1" applyFill="1" applyBorder="1"/>
    <xf numFmtId="0" fontId="0" fillId="0" borderId="25" xfId="0" applyBorder="1"/>
    <xf numFmtId="0" fontId="0" fillId="0" borderId="33" xfId="0" applyBorder="1"/>
    <xf numFmtId="0" fontId="0" fillId="0" borderId="36" xfId="0" applyBorder="1"/>
    <xf numFmtId="0" fontId="0" fillId="0" borderId="37" xfId="0" applyBorder="1"/>
    <xf numFmtId="0" fontId="0" fillId="0" borderId="12" xfId="0" applyBorder="1"/>
    <xf numFmtId="0" fontId="0" fillId="0" borderId="38" xfId="0" applyBorder="1"/>
    <xf numFmtId="0" fontId="4" fillId="0" borderId="39" xfId="0" applyFont="1" applyBorder="1" applyAlignment="1">
      <alignment horizontal="center"/>
    </xf>
    <xf numFmtId="0" fontId="0" fillId="5" borderId="22" xfId="0" applyFill="1" applyBorder="1"/>
    <xf numFmtId="0" fontId="0" fillId="5" borderId="24" xfId="0" applyFill="1" applyBorder="1"/>
    <xf numFmtId="0" fontId="0" fillId="5" borderId="5" xfId="0" applyFill="1" applyBorder="1"/>
    <xf numFmtId="0" fontId="0" fillId="0" borderId="40" xfId="0" applyBorder="1"/>
    <xf numFmtId="0" fontId="0" fillId="0" borderId="32" xfId="0" applyBorder="1"/>
    <xf numFmtId="0" fontId="0" fillId="5" borderId="28" xfId="0" applyFill="1" applyBorder="1"/>
    <xf numFmtId="0" fontId="4" fillId="3" borderId="35" xfId="0" applyFont="1" applyFill="1" applyBorder="1"/>
    <xf numFmtId="0" fontId="4" fillId="0" borderId="41" xfId="0" applyFont="1" applyBorder="1" applyAlignment="1">
      <alignment horizontal="center"/>
    </xf>
    <xf numFmtId="0" fontId="4" fillId="3" borderId="10" xfId="0" applyFont="1" applyFill="1" applyBorder="1" applyAlignment="1">
      <alignment wrapText="1"/>
    </xf>
    <xf numFmtId="0" fontId="4" fillId="0" borderId="0" xfId="0" applyFont="1" applyAlignment="1">
      <alignment horizontal="center"/>
    </xf>
    <xf numFmtId="0" fontId="4" fillId="0" borderId="11" xfId="0" applyFont="1" applyBorder="1"/>
    <xf numFmtId="0" fontId="4" fillId="0" borderId="10" xfId="0" applyFont="1" applyBorder="1"/>
    <xf numFmtId="0" fontId="4" fillId="0" borderId="25" xfId="0" applyFont="1" applyBorder="1"/>
    <xf numFmtId="0" fontId="0" fillId="0" borderId="11" xfId="0" applyBorder="1"/>
    <xf numFmtId="0" fontId="0" fillId="0" borderId="28" xfId="0" applyBorder="1"/>
    <xf numFmtId="0" fontId="0" fillId="0" borderId="41" xfId="0" applyBorder="1"/>
    <xf numFmtId="0" fontId="4" fillId="3" borderId="3" xfId="0" applyFont="1" applyFill="1" applyBorder="1" applyAlignment="1">
      <alignment horizontal="center" wrapText="1"/>
    </xf>
    <xf numFmtId="0" fontId="4" fillId="3" borderId="35" xfId="0" applyFont="1" applyFill="1" applyBorder="1" applyAlignment="1">
      <alignment horizontal="center" wrapText="1"/>
    </xf>
    <xf numFmtId="0" fontId="4" fillId="0" borderId="33" xfId="0" applyFont="1" applyBorder="1" applyAlignment="1">
      <alignment horizontal="center"/>
    </xf>
    <xf numFmtId="0" fontId="0" fillId="0" borderId="44" xfId="0" applyBorder="1"/>
    <xf numFmtId="0" fontId="0" fillId="0" borderId="34" xfId="0" applyBorder="1"/>
    <xf numFmtId="164" fontId="5" fillId="0" borderId="0" xfId="1" applyNumberFormat="1" applyFont="1"/>
    <xf numFmtId="0" fontId="4" fillId="3" borderId="40" xfId="0" applyFont="1" applyFill="1" applyBorder="1"/>
    <xf numFmtId="0" fontId="4" fillId="3" borderId="32" xfId="0" applyFont="1" applyFill="1" applyBorder="1"/>
    <xf numFmtId="0" fontId="0" fillId="5" borderId="36" xfId="0" applyFill="1" applyBorder="1"/>
    <xf numFmtId="0" fontId="4" fillId="5" borderId="42" xfId="0" applyFont="1" applyFill="1" applyBorder="1"/>
    <xf numFmtId="0" fontId="4" fillId="3" borderId="28" xfId="0" applyFont="1" applyFill="1" applyBorder="1"/>
    <xf numFmtId="0" fontId="0" fillId="5" borderId="42" xfId="0" applyFill="1" applyBorder="1"/>
    <xf numFmtId="0" fontId="0" fillId="0" borderId="15" xfId="0" applyBorder="1"/>
    <xf numFmtId="0" fontId="4" fillId="3" borderId="43" xfId="0" applyFont="1" applyFill="1" applyBorder="1"/>
    <xf numFmtId="0" fontId="4" fillId="3" borderId="45" xfId="0" applyFont="1" applyFill="1" applyBorder="1"/>
    <xf numFmtId="0" fontId="4" fillId="3" borderId="1" xfId="0" applyFont="1" applyFill="1" applyBorder="1" applyAlignment="1">
      <alignment horizontal="center" wrapText="1"/>
    </xf>
    <xf numFmtId="0" fontId="4" fillId="3" borderId="48" xfId="0" applyFont="1" applyFill="1" applyBorder="1"/>
    <xf numFmtId="166" fontId="5" fillId="0" borderId="1" xfId="2" applyNumberFormat="1" applyBorder="1"/>
    <xf numFmtId="10" fontId="0" fillId="0" borderId="1" xfId="3" applyNumberFormat="1" applyFont="1" applyBorder="1"/>
    <xf numFmtId="10" fontId="5" fillId="0" borderId="0" xfId="2" applyNumberFormat="1"/>
    <xf numFmtId="0" fontId="6" fillId="0" borderId="0" xfId="2" applyFont="1"/>
    <xf numFmtId="0" fontId="0" fillId="5" borderId="0" xfId="0" applyFill="1" applyAlignment="1">
      <alignment horizontal="center"/>
    </xf>
    <xf numFmtId="0" fontId="0" fillId="5" borderId="24" xfId="0" applyFill="1" applyBorder="1" applyAlignment="1">
      <alignment horizontal="center"/>
    </xf>
    <xf numFmtId="0" fontId="4" fillId="3" borderId="31" xfId="0" applyFont="1" applyFill="1" applyBorder="1" applyAlignment="1">
      <alignment horizontal="center"/>
    </xf>
    <xf numFmtId="0" fontId="4" fillId="3" borderId="15" xfId="0" applyFont="1" applyFill="1" applyBorder="1" applyAlignment="1">
      <alignment wrapText="1"/>
    </xf>
    <xf numFmtId="0" fontId="0" fillId="0" borderId="22" xfId="0" applyBorder="1"/>
    <xf numFmtId="0" fontId="4" fillId="3" borderId="43" xfId="0" applyFont="1" applyFill="1" applyBorder="1" applyAlignment="1">
      <alignment horizontal="center" wrapText="1"/>
    </xf>
    <xf numFmtId="0" fontId="9" fillId="0" borderId="0" xfId="0" applyFont="1"/>
    <xf numFmtId="0" fontId="4" fillId="3" borderId="48" xfId="0" applyFont="1" applyFill="1" applyBorder="1" applyAlignment="1">
      <alignment horizontal="center"/>
    </xf>
    <xf numFmtId="0" fontId="4" fillId="3" borderId="49" xfId="0" applyFont="1" applyFill="1" applyBorder="1" applyAlignment="1">
      <alignment horizontal="center"/>
    </xf>
    <xf numFmtId="0" fontId="4" fillId="3" borderId="23" xfId="0" applyFont="1" applyFill="1" applyBorder="1"/>
    <xf numFmtId="0" fontId="4" fillId="3" borderId="46" xfId="0" applyFont="1" applyFill="1" applyBorder="1"/>
    <xf numFmtId="0" fontId="4" fillId="3" borderId="47" xfId="0" applyFont="1" applyFill="1" applyBorder="1"/>
    <xf numFmtId="0" fontId="4" fillId="3" borderId="30" xfId="0" applyFont="1" applyFill="1" applyBorder="1"/>
    <xf numFmtId="0" fontId="4" fillId="3" borderId="26" xfId="0" applyFont="1" applyFill="1" applyBorder="1"/>
    <xf numFmtId="0" fontId="4" fillId="3" borderId="55" xfId="0" applyFont="1" applyFill="1" applyBorder="1" applyAlignment="1">
      <alignment horizontal="center"/>
    </xf>
    <xf numFmtId="0" fontId="0" fillId="5" borderId="56" xfId="0" applyFill="1" applyBorder="1"/>
    <xf numFmtId="0" fontId="0" fillId="0" borderId="56" xfId="0" applyBorder="1"/>
    <xf numFmtId="0" fontId="0" fillId="0" borderId="57" xfId="0" applyBorder="1"/>
    <xf numFmtId="0" fontId="4" fillId="3" borderId="35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32" xfId="0" applyFont="1" applyFill="1" applyBorder="1" applyAlignment="1">
      <alignment horizontal="center"/>
    </xf>
    <xf numFmtId="0" fontId="4" fillId="3" borderId="29" xfId="0" applyFont="1" applyFill="1" applyBorder="1"/>
    <xf numFmtId="0" fontId="4" fillId="0" borderId="16" xfId="0" applyFont="1" applyBorder="1" applyAlignment="1">
      <alignment horizontal="center"/>
    </xf>
    <xf numFmtId="0" fontId="4" fillId="3" borderId="20" xfId="0" applyFont="1" applyFill="1" applyBorder="1"/>
    <xf numFmtId="0" fontId="4" fillId="3" borderId="0" xfId="0" applyFont="1" applyFill="1"/>
    <xf numFmtId="0" fontId="4" fillId="8" borderId="0" xfId="0" applyFont="1" applyFill="1"/>
    <xf numFmtId="0" fontId="0" fillId="8" borderId="0" xfId="0" applyFill="1"/>
    <xf numFmtId="0" fontId="4" fillId="3" borderId="22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3" borderId="12" xfId="0" applyFont="1" applyFill="1" applyBorder="1" applyAlignment="1">
      <alignment horizontal="center" wrapText="1"/>
    </xf>
    <xf numFmtId="0" fontId="4" fillId="3" borderId="12" xfId="0" applyFont="1" applyFill="1" applyBorder="1" applyAlignment="1">
      <alignment horizontal="center"/>
    </xf>
    <xf numFmtId="0" fontId="16" fillId="0" borderId="0" xfId="0" applyFont="1"/>
    <xf numFmtId="0" fontId="4" fillId="3" borderId="54" xfId="0" applyFont="1" applyFill="1" applyBorder="1" applyAlignment="1">
      <alignment horizontal="center"/>
    </xf>
    <xf numFmtId="0" fontId="4" fillId="0" borderId="33" xfId="0" applyFont="1" applyBorder="1"/>
    <xf numFmtId="0" fontId="4" fillId="0" borderId="16" xfId="0" applyFont="1" applyBorder="1"/>
    <xf numFmtId="0" fontId="0" fillId="5" borderId="25" xfId="0" applyFill="1" applyBorder="1"/>
    <xf numFmtId="9" fontId="0" fillId="0" borderId="24" xfId="1" applyFont="1" applyFill="1" applyBorder="1"/>
    <xf numFmtId="9" fontId="0" fillId="0" borderId="17" xfId="1" applyFont="1" applyFill="1" applyBorder="1"/>
    <xf numFmtId="9" fontId="5" fillId="0" borderId="0" xfId="1" applyFont="1"/>
    <xf numFmtId="0" fontId="5" fillId="0" borderId="0" xfId="1" applyNumberFormat="1" applyFont="1"/>
    <xf numFmtId="0" fontId="4" fillId="3" borderId="31" xfId="0" applyFont="1" applyFill="1" applyBorder="1"/>
    <xf numFmtId="0" fontId="4" fillId="3" borderId="17" xfId="0" applyFont="1" applyFill="1" applyBorder="1"/>
    <xf numFmtId="164" fontId="0" fillId="0" borderId="0" xfId="1" applyNumberFormat="1" applyFont="1"/>
    <xf numFmtId="2" fontId="5" fillId="0" borderId="1" xfId="1" applyNumberFormat="1" applyFont="1" applyBorder="1"/>
    <xf numFmtId="168" fontId="0" fillId="0" borderId="0" xfId="0" applyNumberFormat="1" applyAlignment="1">
      <alignment horizontal="center"/>
    </xf>
    <xf numFmtId="168" fontId="0" fillId="0" borderId="24" xfId="0" applyNumberFormat="1" applyBorder="1" applyAlignment="1">
      <alignment horizontal="center"/>
    </xf>
    <xf numFmtId="168" fontId="0" fillId="5" borderId="0" xfId="0" applyNumberFormat="1" applyFill="1" applyAlignment="1">
      <alignment horizontal="center"/>
    </xf>
    <xf numFmtId="168" fontId="0" fillId="5" borderId="24" xfId="0" applyNumberFormat="1" applyFill="1" applyBorder="1" applyAlignment="1">
      <alignment horizontal="center"/>
    </xf>
    <xf numFmtId="168" fontId="0" fillId="0" borderId="26" xfId="0" applyNumberFormat="1" applyBorder="1" applyAlignment="1">
      <alignment horizontal="center"/>
    </xf>
    <xf numFmtId="168" fontId="0" fillId="0" borderId="17" xfId="0" applyNumberFormat="1" applyBorder="1" applyAlignment="1">
      <alignment horizontal="center"/>
    </xf>
    <xf numFmtId="168" fontId="0" fillId="0" borderId="0" xfId="0" applyNumberFormat="1"/>
    <xf numFmtId="0" fontId="24" fillId="0" borderId="0" xfId="2" applyFont="1"/>
    <xf numFmtId="0" fontId="6" fillId="0" borderId="29" xfId="0" applyFont="1" applyBorder="1"/>
    <xf numFmtId="0" fontId="6" fillId="0" borderId="53" xfId="0" applyFont="1" applyBorder="1"/>
    <xf numFmtId="0" fontId="6" fillId="0" borderId="30" xfId="0" applyFont="1" applyBorder="1"/>
    <xf numFmtId="0" fontId="6" fillId="0" borderId="31" xfId="0" applyFont="1" applyBorder="1"/>
    <xf numFmtId="0" fontId="0" fillId="9" borderId="33" xfId="0" applyFill="1" applyBorder="1"/>
    <xf numFmtId="0" fontId="0" fillId="6" borderId="33" xfId="0" applyFill="1" applyBorder="1"/>
    <xf numFmtId="0" fontId="0" fillId="10" borderId="33" xfId="0" applyFill="1" applyBorder="1"/>
    <xf numFmtId="0" fontId="0" fillId="7" borderId="16" xfId="0" applyFill="1" applyBorder="1"/>
    <xf numFmtId="0" fontId="4" fillId="3" borderId="58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58" xfId="0" applyFont="1" applyFill="1" applyBorder="1" applyAlignment="1">
      <alignment horizontal="center" wrapText="1"/>
    </xf>
    <xf numFmtId="0" fontId="0" fillId="0" borderId="42" xfId="0" applyBorder="1"/>
    <xf numFmtId="0" fontId="6" fillId="0" borderId="0" xfId="0" applyFont="1"/>
    <xf numFmtId="0" fontId="0" fillId="12" borderId="0" xfId="0" applyFill="1"/>
    <xf numFmtId="0" fontId="0" fillId="12" borderId="7" xfId="0" applyFill="1" applyBorder="1"/>
    <xf numFmtId="0" fontId="0" fillId="0" borderId="6" xfId="0" applyBorder="1"/>
    <xf numFmtId="0" fontId="0" fillId="0" borderId="3" xfId="0" applyBorder="1"/>
    <xf numFmtId="0" fontId="0" fillId="0" borderId="35" xfId="0" applyBorder="1"/>
    <xf numFmtId="0" fontId="0" fillId="12" borderId="33" xfId="0" applyFill="1" applyBorder="1"/>
    <xf numFmtId="0" fontId="0" fillId="12" borderId="16" xfId="0" applyFill="1" applyBorder="1"/>
    <xf numFmtId="0" fontId="0" fillId="12" borderId="26" xfId="0" applyFill="1" applyBorder="1"/>
    <xf numFmtId="0" fontId="0" fillId="12" borderId="34" xfId="0" applyFill="1" applyBorder="1"/>
    <xf numFmtId="0" fontId="0" fillId="10" borderId="23" xfId="0" applyFill="1" applyBorder="1"/>
    <xf numFmtId="0" fontId="26" fillId="11" borderId="33" xfId="0" applyFont="1" applyFill="1" applyBorder="1"/>
    <xf numFmtId="0" fontId="0" fillId="10" borderId="14" xfId="0" applyFill="1" applyBorder="1"/>
    <xf numFmtId="0" fontId="0" fillId="11" borderId="0" xfId="0" applyFill="1"/>
    <xf numFmtId="0" fontId="0" fillId="11" borderId="24" xfId="0" applyFill="1" applyBorder="1"/>
    <xf numFmtId="0" fontId="27" fillId="0" borderId="0" xfId="0" applyFont="1"/>
    <xf numFmtId="0" fontId="0" fillId="10" borderId="13" xfId="0" applyFill="1" applyBorder="1"/>
    <xf numFmtId="0" fontId="25" fillId="0" borderId="40" xfId="0" applyFont="1" applyBorder="1"/>
    <xf numFmtId="0" fontId="25" fillId="0" borderId="6" xfId="0" applyFont="1" applyBorder="1"/>
    <xf numFmtId="0" fontId="25" fillId="0" borderId="2" xfId="0" applyFont="1" applyBorder="1"/>
    <xf numFmtId="0" fontId="4" fillId="3" borderId="15" xfId="0" applyFont="1" applyFill="1" applyBorder="1"/>
    <xf numFmtId="2" fontId="0" fillId="0" borderId="0" xfId="0" applyNumberFormat="1"/>
    <xf numFmtId="169" fontId="0" fillId="0" borderId="0" xfId="0" applyNumberFormat="1"/>
    <xf numFmtId="0" fontId="23" fillId="0" borderId="0" xfId="0" applyFont="1"/>
    <xf numFmtId="0" fontId="2" fillId="0" borderId="0" xfId="2" applyFont="1"/>
    <xf numFmtId="0" fontId="28" fillId="0" borderId="0" xfId="0" applyFont="1"/>
    <xf numFmtId="0" fontId="2" fillId="0" borderId="1" xfId="2" applyFont="1" applyBorder="1"/>
    <xf numFmtId="2" fontId="1" fillId="0" borderId="1" xfId="1" applyNumberFormat="1" applyFont="1" applyBorder="1"/>
    <xf numFmtId="164" fontId="1" fillId="0" borderId="0" xfId="1" applyNumberFormat="1" applyFont="1"/>
    <xf numFmtId="0" fontId="1" fillId="0" borderId="0" xfId="1" applyNumberFormat="1" applyFont="1"/>
    <xf numFmtId="9" fontId="1" fillId="0" borderId="0" xfId="1" applyFont="1"/>
    <xf numFmtId="0" fontId="10" fillId="0" borderId="0" xfId="0" applyFont="1"/>
    <xf numFmtId="0" fontId="0" fillId="0" borderId="0" xfId="0" applyAlignment="1">
      <alignment wrapText="1"/>
    </xf>
    <xf numFmtId="0" fontId="4" fillId="3" borderId="51" xfId="0" applyFont="1" applyFill="1" applyBorder="1"/>
    <xf numFmtId="0" fontId="4" fillId="3" borderId="24" xfId="0" applyFont="1" applyFill="1" applyBorder="1"/>
    <xf numFmtId="0" fontId="4" fillId="13" borderId="60" xfId="0" applyFont="1" applyFill="1" applyBorder="1"/>
    <xf numFmtId="0" fontId="4" fillId="13" borderId="32" xfId="0" applyFont="1" applyFill="1" applyBorder="1"/>
    <xf numFmtId="0" fontId="4" fillId="10" borderId="29" xfId="0" applyFont="1" applyFill="1" applyBorder="1"/>
    <xf numFmtId="0" fontId="4" fillId="10" borderId="30" xfId="0" applyFont="1" applyFill="1" applyBorder="1"/>
    <xf numFmtId="0" fontId="4" fillId="10" borderId="31" xfId="0" applyFont="1" applyFill="1" applyBorder="1"/>
    <xf numFmtId="0" fontId="0" fillId="5" borderId="0" xfId="0" applyFill="1"/>
    <xf numFmtId="0" fontId="4" fillId="5" borderId="56" xfId="0" applyFont="1" applyFill="1" applyBorder="1"/>
    <xf numFmtId="0" fontId="4" fillId="5" borderId="24" xfId="0" applyFont="1" applyFill="1" applyBorder="1"/>
    <xf numFmtId="0" fontId="4" fillId="5" borderId="0" xfId="0" applyFont="1" applyFill="1"/>
    <xf numFmtId="9" fontId="0" fillId="0" borderId="0" xfId="1" applyFont="1"/>
    <xf numFmtId="0" fontId="29" fillId="0" borderId="0" xfId="0" applyFont="1"/>
    <xf numFmtId="0" fontId="0" fillId="0" borderId="40" xfId="0" applyBorder="1" applyAlignment="1">
      <alignment horizontal="left"/>
    </xf>
    <xf numFmtId="0" fontId="0" fillId="0" borderId="6" xfId="0" applyBorder="1" applyAlignment="1">
      <alignment horizontal="left"/>
    </xf>
    <xf numFmtId="0" fontId="22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5" fillId="2" borderId="2" xfId="2" applyFill="1" applyBorder="1" applyAlignment="1">
      <alignment horizontal="center"/>
    </xf>
    <xf numFmtId="0" fontId="5" fillId="2" borderId="3" xfId="2" applyFill="1" applyBorder="1" applyAlignment="1">
      <alignment horizontal="center"/>
    </xf>
    <xf numFmtId="0" fontId="5" fillId="2" borderId="4" xfId="2" applyFill="1" applyBorder="1" applyAlignment="1">
      <alignment horizontal="center"/>
    </xf>
    <xf numFmtId="0" fontId="6" fillId="3" borderId="1" xfId="2" applyFont="1" applyFill="1" applyBorder="1" applyAlignment="1">
      <alignment horizontal="center"/>
    </xf>
    <xf numFmtId="0" fontId="5" fillId="2" borderId="1" xfId="2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4" fillId="3" borderId="29" xfId="0" applyFont="1" applyFill="1" applyBorder="1" applyAlignment="1">
      <alignment horizontal="center"/>
    </xf>
    <xf numFmtId="0" fontId="4" fillId="3" borderId="30" xfId="0" applyFont="1" applyFill="1" applyBorder="1" applyAlignment="1">
      <alignment horizontal="center"/>
    </xf>
    <xf numFmtId="0" fontId="4" fillId="3" borderId="31" xfId="0" applyFont="1" applyFill="1" applyBorder="1" applyAlignment="1">
      <alignment horizontal="center"/>
    </xf>
    <xf numFmtId="0" fontId="15" fillId="3" borderId="29" xfId="0" applyFont="1" applyFill="1" applyBorder="1" applyAlignment="1">
      <alignment horizontal="center"/>
    </xf>
    <xf numFmtId="0" fontId="15" fillId="3" borderId="30" xfId="0" applyFont="1" applyFill="1" applyBorder="1" applyAlignment="1">
      <alignment horizontal="center"/>
    </xf>
    <xf numFmtId="0" fontId="15" fillId="3" borderId="31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23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25" xfId="0" applyFont="1" applyBorder="1" applyAlignment="1">
      <alignment horizontal="left" wrapText="1"/>
    </xf>
    <xf numFmtId="0" fontId="4" fillId="0" borderId="41" xfId="0" applyFont="1" applyBorder="1" applyAlignment="1">
      <alignment horizontal="left" wrapText="1"/>
    </xf>
    <xf numFmtId="0" fontId="0" fillId="0" borderId="18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17" xfId="0" applyBorder="1" applyAlignment="1">
      <alignment horizontal="center"/>
    </xf>
    <xf numFmtId="167" fontId="0" fillId="0" borderId="19" xfId="1" applyNumberFormat="1" applyFont="1" applyBorder="1" applyAlignment="1">
      <alignment horizontal="center"/>
    </xf>
    <xf numFmtId="167" fontId="0" fillId="0" borderId="28" xfId="1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26" xfId="0" applyBorder="1" applyAlignment="1">
      <alignment horizontal="center"/>
    </xf>
    <xf numFmtId="167" fontId="0" fillId="0" borderId="19" xfId="1" applyNumberFormat="1" applyFont="1" applyFill="1" applyBorder="1" applyAlignment="1">
      <alignment horizontal="center"/>
    </xf>
    <xf numFmtId="167" fontId="0" fillId="0" borderId="28" xfId="1" applyNumberFormat="1" applyFont="1" applyFill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3" borderId="51" xfId="0" applyFont="1" applyFill="1" applyBorder="1" applyAlignment="1">
      <alignment horizontal="center"/>
    </xf>
    <xf numFmtId="0" fontId="4" fillId="3" borderId="52" xfId="0" applyFont="1" applyFill="1" applyBorder="1" applyAlignment="1">
      <alignment horizontal="center"/>
    </xf>
    <xf numFmtId="0" fontId="4" fillId="3" borderId="50" xfId="0" applyFont="1" applyFill="1" applyBorder="1" applyAlignment="1">
      <alignment horizontal="center"/>
    </xf>
    <xf numFmtId="0" fontId="9" fillId="3" borderId="13" xfId="0" applyFont="1" applyFill="1" applyBorder="1" applyAlignment="1">
      <alignment horizontal="left"/>
    </xf>
    <xf numFmtId="0" fontId="9" fillId="3" borderId="23" xfId="0" applyFont="1" applyFill="1" applyBorder="1" applyAlignment="1">
      <alignment horizontal="left"/>
    </xf>
    <xf numFmtId="0" fontId="9" fillId="3" borderId="14" xfId="0" applyFont="1" applyFill="1" applyBorder="1" applyAlignment="1">
      <alignment horizontal="left"/>
    </xf>
    <xf numFmtId="0" fontId="9" fillId="3" borderId="29" xfId="0" applyFont="1" applyFill="1" applyBorder="1" applyAlignment="1">
      <alignment horizontal="center"/>
    </xf>
    <xf numFmtId="0" fontId="9" fillId="3" borderId="30" xfId="0" applyFont="1" applyFill="1" applyBorder="1" applyAlignment="1">
      <alignment horizontal="center"/>
    </xf>
    <xf numFmtId="0" fontId="9" fillId="3" borderId="31" xfId="0" applyFont="1" applyFill="1" applyBorder="1" applyAlignment="1">
      <alignment horizontal="center"/>
    </xf>
    <xf numFmtId="0" fontId="23" fillId="3" borderId="59" xfId="0" applyFont="1" applyFill="1" applyBorder="1" applyAlignment="1">
      <alignment horizontal="center"/>
    </xf>
    <xf numFmtId="0" fontId="23" fillId="3" borderId="52" xfId="0" applyFont="1" applyFill="1" applyBorder="1" applyAlignment="1">
      <alignment horizontal="center"/>
    </xf>
    <xf numFmtId="0" fontId="23" fillId="3" borderId="50" xfId="0" applyFont="1" applyFill="1" applyBorder="1" applyAlignment="1">
      <alignment horizontal="center"/>
    </xf>
    <xf numFmtId="0" fontId="23" fillId="10" borderId="51" xfId="0" applyFont="1" applyFill="1" applyBorder="1" applyAlignment="1">
      <alignment horizontal="center"/>
    </xf>
    <xf numFmtId="0" fontId="23" fillId="10" borderId="52" xfId="0" applyFont="1" applyFill="1" applyBorder="1" applyAlignment="1">
      <alignment horizontal="center"/>
    </xf>
    <xf numFmtId="0" fontId="23" fillId="10" borderId="50" xfId="0" applyFont="1" applyFill="1" applyBorder="1" applyAlignment="1">
      <alignment horizontal="center"/>
    </xf>
  </cellXfs>
  <cellStyles count="5">
    <cellStyle name="Normal" xfId="0" builtinId="0"/>
    <cellStyle name="Normal 2" xfId="2" xr:uid="{518DD3EE-8139-42F4-A4F1-6EACB45F56FC}"/>
    <cellStyle name="Normal 4" xfId="4" xr:uid="{620885E9-571B-4DC1-B46B-6DDD5CA9972D}"/>
    <cellStyle name="Percent" xfId="1" builtinId="5"/>
    <cellStyle name="Percent 2" xfId="3" xr:uid="{63C12E91-48C2-4B8F-97E5-53A81FEA1D79}"/>
  </cellStyles>
  <dxfs count="0"/>
  <tableStyles count="0" defaultTableStyle="TableStyleMedium2" defaultPivotStyle="PivotStyleLight16"/>
  <colors>
    <mruColors>
      <color rgb="FFBA8C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microsoft.com/office/2017/10/relationships/person" Target="persons/perso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xichen/Desktop/Postdoc%20Research/Project/2021/Li%20LCA/MS/NC/Revision%20for%20NC/3rd%20Revision/Supplementary%20File%20B_ConventionalRefiningAnalysis-2023_SI.xlsx" TargetMode="External"/><Relationship Id="rId1" Type="http://schemas.openxmlformats.org/officeDocument/2006/relationships/externalLinkPath" Target="/Users/xichen/Desktop/Postdoc%20Research/Project/2021/Li%20LCA/MS/NC/Revision%20for%20NC/3rd%20Revision/Supplementary%20File%20B_ConventionalRefiningAnalysis-2023_S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ENT"/>
      <sheetName val="Battery Composition"/>
      <sheetName val="Conversions"/>
      <sheetName val="Ni_MHP"/>
      <sheetName val="Ni_Class1"/>
      <sheetName val="Co_SO4"/>
      <sheetName val="NiCo_MHP"/>
      <sheetName val="Li_brine"/>
      <sheetName val="Li_ore"/>
      <sheetName val="Al"/>
      <sheetName val="Cu"/>
      <sheetName val="Mn"/>
      <sheetName val="Final"/>
      <sheetName val="Consumables"/>
    </sheetNames>
    <sheetDataSet>
      <sheetData sheetId="0" refreshError="1"/>
      <sheetData sheetId="1" refreshError="1"/>
      <sheetData sheetId="2" refreshError="1"/>
      <sheetData sheetId="3">
        <row r="4">
          <cell r="B4">
            <v>0.48888706101248969</v>
          </cell>
        </row>
        <row r="9">
          <cell r="B9">
            <v>2.9077990966517096E-3</v>
          </cell>
          <cell r="C9">
            <v>3.7356351764549183E-4</v>
          </cell>
          <cell r="D9">
            <v>2.5342355790062177E-3</v>
          </cell>
        </row>
        <row r="10">
          <cell r="B10">
            <v>1.5359726893650467E-2</v>
          </cell>
          <cell r="C10">
            <v>1.4908438292645491E-3</v>
          </cell>
          <cell r="D10">
            <v>1.3868883064385917E-2</v>
          </cell>
        </row>
        <row r="11">
          <cell r="B11">
            <v>3.2018897822625396E-2</v>
          </cell>
          <cell r="C11">
            <v>9.3903836542867884E-3</v>
          </cell>
          <cell r="D11">
            <v>2.2628514168338609E-2</v>
          </cell>
        </row>
        <row r="12">
          <cell r="B12">
            <v>2.8256691182572268E-3</v>
          </cell>
          <cell r="C12">
            <v>6.2009554621716479E-4</v>
          </cell>
          <cell r="D12">
            <v>2.2055735720400618E-3</v>
          </cell>
        </row>
        <row r="13">
          <cell r="B13">
            <v>2.1684871977131416E-3</v>
          </cell>
          <cell r="C13">
            <v>5.5245909342170867E-4</v>
          </cell>
          <cell r="D13">
            <v>1.616028104291433E-3</v>
          </cell>
        </row>
        <row r="14">
          <cell r="B14">
            <v>0.21419057875777509</v>
          </cell>
          <cell r="C14">
            <v>5.6769150463950886E-3</v>
          </cell>
          <cell r="D14">
            <v>0.20851366371138</v>
          </cell>
        </row>
        <row r="15">
          <cell r="B15">
            <v>1.9452584848104912E-4</v>
          </cell>
          <cell r="C15">
            <v>5.4488409489539395E-5</v>
          </cell>
          <cell r="D15">
            <v>1.4003743899150973E-4</v>
          </cell>
        </row>
        <row r="16">
          <cell r="B16">
            <v>3.8962007051500131E-4</v>
          </cell>
          <cell r="C16">
            <v>1.0014614118101325E-4</v>
          </cell>
          <cell r="D16">
            <v>2.8947392933398807E-4</v>
          </cell>
        </row>
        <row r="17">
          <cell r="B17">
            <v>2.1025984935928627E-2</v>
          </cell>
          <cell r="C17">
            <v>2.6804496754905122E-3</v>
          </cell>
          <cell r="D17">
            <v>1.8345535260438115E-2</v>
          </cell>
        </row>
        <row r="18">
          <cell r="B18">
            <v>2.2308661951442454E-4</v>
          </cell>
          <cell r="C18">
            <v>3.4773520246769757E-5</v>
          </cell>
          <cell r="D18">
            <v>1.8831309926765479E-4</v>
          </cell>
        </row>
        <row r="19">
          <cell r="B19">
            <v>12.469365355508435</v>
          </cell>
          <cell r="C19">
            <v>2.4407291776702169</v>
          </cell>
          <cell r="D19">
            <v>10.028636177838218</v>
          </cell>
        </row>
        <row r="21">
          <cell r="B21">
            <v>171.20690253932165</v>
          </cell>
          <cell r="C21">
            <v>30.722011468289001</v>
          </cell>
          <cell r="D21">
            <v>140.48489107103265</v>
          </cell>
        </row>
        <row r="31">
          <cell r="B31">
            <v>39883.340580755881</v>
          </cell>
          <cell r="C31">
            <v>4860.5885310381655</v>
          </cell>
          <cell r="D31">
            <v>35022.752049717717</v>
          </cell>
        </row>
      </sheetData>
      <sheetData sheetId="4">
        <row r="9">
          <cell r="B9">
            <v>1.6731496463581843E-3</v>
          </cell>
          <cell r="C9">
            <v>2.4784267746892202E-4</v>
          </cell>
          <cell r="D9">
            <v>1.4253069688892623E-3</v>
          </cell>
        </row>
        <row r="10">
          <cell r="B10">
            <v>8.710893071791263E-3</v>
          </cell>
          <cell r="C10">
            <v>1.0360459826788489E-3</v>
          </cell>
          <cell r="D10">
            <v>7.6748470891124139E-3</v>
          </cell>
        </row>
        <row r="11">
          <cell r="B11">
            <v>1.060613468394629E-2</v>
          </cell>
          <cell r="C11">
            <v>2.2408771938492531E-3</v>
          </cell>
          <cell r="D11">
            <v>8.3652574900970368E-3</v>
          </cell>
        </row>
        <row r="12">
          <cell r="B12">
            <v>1.2645458991762226E-2</v>
          </cell>
          <cell r="C12">
            <v>3.6985090138491231E-4</v>
          </cell>
          <cell r="D12">
            <v>1.2275608090377314E-2</v>
          </cell>
        </row>
        <row r="13">
          <cell r="B13">
            <v>6.444077249425903E-3</v>
          </cell>
          <cell r="C13">
            <v>1.6280337652394288E-4</v>
          </cell>
          <cell r="D13">
            <v>6.2812738729019603E-3</v>
          </cell>
        </row>
        <row r="14">
          <cell r="B14">
            <v>1.419573480158608</v>
          </cell>
          <cell r="C14">
            <v>1.3219892848423845E-3</v>
          </cell>
          <cell r="D14">
            <v>1.4182514908737656</v>
          </cell>
        </row>
        <row r="15">
          <cell r="B15">
            <v>5.9457557369182035E-5</v>
          </cell>
          <cell r="C15">
            <v>1.04300325375109E-5</v>
          </cell>
          <cell r="D15">
            <v>4.9027524831671134E-5</v>
          </cell>
        </row>
        <row r="16">
          <cell r="B16">
            <v>1.5360295267203371E-4</v>
          </cell>
          <cell r="C16">
            <v>2.5442433135004389E-5</v>
          </cell>
          <cell r="D16">
            <v>1.2816051953702933E-4</v>
          </cell>
        </row>
        <row r="17">
          <cell r="B17">
            <v>1.6814479002305677E-2</v>
          </cell>
          <cell r="C17">
            <v>2.4650619162390587E-3</v>
          </cell>
          <cell r="D17">
            <v>1.4349417086066619E-2</v>
          </cell>
        </row>
        <row r="18">
          <cell r="B18">
            <v>3.3832435736550631E-4</v>
          </cell>
          <cell r="C18">
            <v>1.9228151189587168E-4</v>
          </cell>
          <cell r="D18">
            <v>1.4604284546963463E-4</v>
          </cell>
        </row>
        <row r="19">
          <cell r="B19">
            <v>7.2289592084354091</v>
          </cell>
          <cell r="C19">
            <v>1.2051772424450353</v>
          </cell>
          <cell r="D19">
            <v>6.0237819659903735</v>
          </cell>
        </row>
        <row r="21">
          <cell r="B21">
            <v>127.16363592486876</v>
          </cell>
          <cell r="C21">
            <v>19.0551624975508</v>
          </cell>
          <cell r="D21">
            <v>108.10847342731796</v>
          </cell>
        </row>
        <row r="31">
          <cell r="B31">
            <v>69449.706522604873</v>
          </cell>
          <cell r="C31">
            <v>12130.980228085284</v>
          </cell>
          <cell r="D31">
            <v>57318.726294519591</v>
          </cell>
        </row>
      </sheetData>
      <sheetData sheetId="5">
        <row r="4">
          <cell r="B4">
            <v>9.2041154290063515E-2</v>
          </cell>
        </row>
        <row r="9">
          <cell r="B9">
            <v>3.8313575615289811E-4</v>
          </cell>
          <cell r="C9">
            <v>6.9529151203977715E-5</v>
          </cell>
          <cell r="D9">
            <v>3.136066049489204E-4</v>
          </cell>
          <cell r="E9">
            <v>2.5065941778828881E-3</v>
          </cell>
          <cell r="F9">
            <v>4.5488149514157859E-4</v>
          </cell>
          <cell r="G9">
            <v>2.0517126827413095E-3</v>
          </cell>
        </row>
        <row r="10">
          <cell r="B10">
            <v>1.2448690784219551E-3</v>
          </cell>
          <cell r="C10">
            <v>2.1233125293985784E-4</v>
          </cell>
          <cell r="D10">
            <v>1.0325378254820972E-3</v>
          </cell>
          <cell r="E10">
            <v>8.1443236087671688E-3</v>
          </cell>
          <cell r="F10">
            <v>1.3891375938016863E-3</v>
          </cell>
          <cell r="G10">
            <v>6.7551860149654827E-3</v>
          </cell>
        </row>
        <row r="11">
          <cell r="B11">
            <v>2.238091938062025E-3</v>
          </cell>
          <cell r="C11">
            <v>4.8602428998618838E-4</v>
          </cell>
          <cell r="D11">
            <v>1.7520676480758366E-3</v>
          </cell>
          <cell r="E11">
            <v>1.4642298797280934E-2</v>
          </cell>
          <cell r="F11">
            <v>3.1797232078304657E-3</v>
          </cell>
          <cell r="G11">
            <v>1.1462575589450468E-2</v>
          </cell>
        </row>
        <row r="12">
          <cell r="B12">
            <v>1.1524692701854361E-2</v>
          </cell>
          <cell r="C12">
            <v>5.6961247297527507E-3</v>
          </cell>
          <cell r="D12">
            <v>5.8285679721016099E-3</v>
          </cell>
          <cell r="E12">
            <v>7.5398151084675361E-2</v>
          </cell>
          <cell r="F12">
            <v>3.7265832945111779E-2</v>
          </cell>
          <cell r="G12">
            <v>3.8132318139563581E-2</v>
          </cell>
        </row>
        <row r="13">
          <cell r="B13">
            <v>1.3130285469449849E-3</v>
          </cell>
          <cell r="C13">
            <v>6.1330332133799055E-4</v>
          </cell>
          <cell r="D13">
            <v>6.9972522560699435E-4</v>
          </cell>
          <cell r="E13">
            <v>8.5902442106001071E-3</v>
          </cell>
          <cell r="F13">
            <v>4.0124225156593146E-3</v>
          </cell>
          <cell r="G13">
            <v>4.5778216949407926E-3</v>
          </cell>
        </row>
        <row r="14">
          <cell r="B14">
            <v>5.9167856825523002E-3</v>
          </cell>
          <cell r="C14">
            <v>1.1444459734143713E-5</v>
          </cell>
          <cell r="D14">
            <v>5.9053412228181569E-3</v>
          </cell>
          <cell r="E14">
            <v>3.8709466045627493E-2</v>
          </cell>
          <cell r="F14">
            <v>7.487324186775144E-5</v>
          </cell>
          <cell r="G14">
            <v>3.8634592803759742E-2</v>
          </cell>
        </row>
        <row r="15">
          <cell r="B15">
            <v>4.9957907562875576E-5</v>
          </cell>
          <cell r="C15">
            <v>2.0433636440217587E-5</v>
          </cell>
          <cell r="D15">
            <v>2.9524271122657989E-5</v>
          </cell>
          <cell r="E15">
            <v>3.2684028630922704E-4</v>
          </cell>
          <cell r="F15">
            <v>1.3368325276742144E-4</v>
          </cell>
          <cell r="G15">
            <v>1.931570335418056E-4</v>
          </cell>
        </row>
        <row r="16">
          <cell r="B16">
            <v>3.6981290344430468E-5</v>
          </cell>
          <cell r="C16">
            <v>6.1431790110165587E-6</v>
          </cell>
          <cell r="D16">
            <v>3.0838111333413908E-5</v>
          </cell>
          <cell r="E16">
            <v>2.41943190055468E-4</v>
          </cell>
          <cell r="F16">
            <v>4.0190602144064563E-5</v>
          </cell>
          <cell r="G16">
            <v>2.0175258791140343E-4</v>
          </cell>
        </row>
        <row r="17">
          <cell r="B17">
            <v>3.6918731356202859E-3</v>
          </cell>
          <cell r="C17">
            <v>2.4626894603445949E-4</v>
          </cell>
          <cell r="D17">
            <v>3.4456041895858263E-3</v>
          </cell>
          <cell r="E17">
            <v>2.4153390955071921E-2</v>
          </cell>
          <cell r="F17">
            <v>1.6111686168935554E-3</v>
          </cell>
          <cell r="G17">
            <v>2.2542222338178364E-2</v>
          </cell>
        </row>
        <row r="18">
          <cell r="B18">
            <v>4.051268739883182E-5</v>
          </cell>
          <cell r="C18">
            <v>4.9142997096699669E-6</v>
          </cell>
          <cell r="D18">
            <v>3.5598387689161855E-5</v>
          </cell>
          <cell r="E18">
            <v>2.6504669619970461E-4</v>
          </cell>
          <cell r="F18">
            <v>3.2150888667552335E-5</v>
          </cell>
          <cell r="G18">
            <v>2.3289580753215228E-4</v>
          </cell>
        </row>
        <row r="19">
          <cell r="B19">
            <v>1.6974901559330406</v>
          </cell>
          <cell r="C19">
            <v>0.20097952579611311</v>
          </cell>
          <cell r="D19">
            <v>1.4965106301369275</v>
          </cell>
          <cell r="E19">
            <v>11.10551253320576</v>
          </cell>
          <cell r="F19">
            <v>1.3148710375994235</v>
          </cell>
          <cell r="G19">
            <v>9.7906414956063355</v>
          </cell>
        </row>
        <row r="21">
          <cell r="B21">
            <v>27.313501817631465</v>
          </cell>
          <cell r="C21">
            <v>2.7581350875239083</v>
          </cell>
          <cell r="D21">
            <v>24.555366730107558</v>
          </cell>
          <cell r="E21">
            <v>178.69348797178517</v>
          </cell>
          <cell r="F21">
            <v>18.04458404410304</v>
          </cell>
          <cell r="G21">
            <v>160.64890392768214</v>
          </cell>
        </row>
        <row r="31">
          <cell r="B31">
            <v>20557.384733991836</v>
          </cell>
          <cell r="C31">
            <v>866.50184715828357</v>
          </cell>
          <cell r="D31">
            <v>19690.882886833551</v>
          </cell>
          <cell r="E31">
            <v>134492.85288361026</v>
          </cell>
          <cell r="F31">
            <v>5668.9266149958439</v>
          </cell>
          <cell r="G31">
            <v>128823.92626861442</v>
          </cell>
        </row>
      </sheetData>
      <sheetData sheetId="6" refreshError="1"/>
      <sheetData sheetId="7">
        <row r="4">
          <cell r="B4">
            <v>7.1842483792491849E-2</v>
          </cell>
        </row>
        <row r="9">
          <cell r="B9">
            <v>2.7045283104886093E-4</v>
          </cell>
          <cell r="C9">
            <v>4.7802322015410209E-6</v>
          </cell>
          <cell r="D9">
            <v>2.6567259884731993E-4</v>
          </cell>
          <cell r="E9">
            <v>2.6686974331721093E-4</v>
          </cell>
          <cell r="F9">
            <v>4.7169014118822312E-6</v>
          </cell>
          <cell r="G9">
            <v>2.6215284190532869E-4</v>
          </cell>
        </row>
        <row r="10">
          <cell r="B10">
            <v>1.1330036748487269E-3</v>
          </cell>
          <cell r="C10">
            <v>6.8358914539389827E-5</v>
          </cell>
          <cell r="D10">
            <v>1.064644760309337E-3</v>
          </cell>
          <cell r="E10">
            <v>1.1179931033138651E-3</v>
          </cell>
          <cell r="F10">
            <v>6.7453263128439183E-5</v>
          </cell>
          <cell r="G10">
            <v>1.0505398401854259E-3</v>
          </cell>
        </row>
        <row r="11">
          <cell r="B11">
            <v>1.8478414048655051E-3</v>
          </cell>
          <cell r="C11">
            <v>6.3171902516968504E-5</v>
          </cell>
          <cell r="D11">
            <v>1.7846695023485365E-3</v>
          </cell>
          <cell r="E11">
            <v>1.8233603231103939E-3</v>
          </cell>
          <cell r="F11">
            <v>6.2334971108205978E-5</v>
          </cell>
          <cell r="G11">
            <v>1.7610253520021879E-3</v>
          </cell>
        </row>
        <row r="12">
          <cell r="B12">
            <v>6.5328366920085136E-4</v>
          </cell>
          <cell r="C12">
            <v>6.9546445096718147E-6</v>
          </cell>
          <cell r="D12">
            <v>6.4632902469117951E-4</v>
          </cell>
          <cell r="E12">
            <v>6.446286564530723E-4</v>
          </cell>
          <cell r="F12">
            <v>6.8625060716160865E-6</v>
          </cell>
          <cell r="G12">
            <v>6.3776615038145621E-4</v>
          </cell>
        </row>
        <row r="13">
          <cell r="B13">
            <v>4.5335037513828072E-4</v>
          </cell>
          <cell r="C13">
            <v>5.1068031048063104E-6</v>
          </cell>
          <cell r="D13">
            <v>4.4824357203347443E-4</v>
          </cell>
          <cell r="E13">
            <v>4.4734417375744394E-4</v>
          </cell>
          <cell r="F13">
            <v>5.0391457485056932E-6</v>
          </cell>
          <cell r="G13">
            <v>4.4230502800893826E-4</v>
          </cell>
        </row>
        <row r="14">
          <cell r="B14">
            <v>1.0355012169801421E-3</v>
          </cell>
          <cell r="C14">
            <v>2.6335809504375425E-5</v>
          </cell>
          <cell r="D14">
            <v>1.0091654074757667E-3</v>
          </cell>
          <cell r="E14">
            <v>1.0217824043787689E-3</v>
          </cell>
          <cell r="F14">
            <v>2.5986900174891833E-5</v>
          </cell>
          <cell r="G14">
            <v>9.9579550420387706E-4</v>
          </cell>
        </row>
        <row r="15">
          <cell r="B15">
            <v>4.2408968124487198E-5</v>
          </cell>
          <cell r="C15">
            <v>2.272628169921195E-6</v>
          </cell>
          <cell r="D15">
            <v>4.0136339954566E-5</v>
          </cell>
          <cell r="E15">
            <v>4.1847113945296403E-5</v>
          </cell>
          <cell r="F15">
            <v>2.242519311076321E-6</v>
          </cell>
          <cell r="G15">
            <v>3.960459463422008E-5</v>
          </cell>
        </row>
        <row r="16">
          <cell r="B16">
            <v>8.2754939272252059E-5</v>
          </cell>
          <cell r="C16">
            <v>1.070084797308462E-6</v>
          </cell>
          <cell r="D16">
            <v>8.16848544749436E-5</v>
          </cell>
          <cell r="E16">
            <v>8.1658562478968374E-5</v>
          </cell>
          <cell r="F16">
            <v>1.0559078049871342E-6</v>
          </cell>
          <cell r="G16">
            <v>8.0602654673981244E-5</v>
          </cell>
        </row>
        <row r="17">
          <cell r="B17">
            <v>1.485931346520629E-3</v>
          </cell>
          <cell r="C17">
            <v>5.6888448928832119E-5</v>
          </cell>
          <cell r="D17">
            <v>1.4290428975917968E-3</v>
          </cell>
          <cell r="E17">
            <v>1.4662450213409519E-3</v>
          </cell>
          <cell r="F17">
            <v>5.6134763701582017E-5</v>
          </cell>
          <cell r="G17">
            <v>1.4101102576393699E-3</v>
          </cell>
        </row>
        <row r="18">
          <cell r="B18">
            <v>1.0673563446430095E-5</v>
          </cell>
          <cell r="C18">
            <v>8.6095965406303669E-7</v>
          </cell>
          <cell r="D18">
            <v>9.8126037923670584E-6</v>
          </cell>
          <cell r="E18">
            <v>1.0532155001602309E-5</v>
          </cell>
          <cell r="F18">
            <v>8.4955325109821984E-7</v>
          </cell>
          <cell r="G18">
            <v>9.6826017505040888E-6</v>
          </cell>
        </row>
        <row r="19">
          <cell r="B19">
            <v>0.97618659589135925</v>
          </cell>
          <cell r="C19">
            <v>3.4746401900828512E-2</v>
          </cell>
          <cell r="D19">
            <v>0.94144019399053069</v>
          </cell>
          <cell r="E19">
            <v>0.96325361159988565</v>
          </cell>
          <cell r="F19">
            <v>3.4286065043244107E-2</v>
          </cell>
          <cell r="G19">
            <v>0.9289675465566416</v>
          </cell>
        </row>
        <row r="21">
          <cell r="B21">
            <v>11.569567059766563</v>
          </cell>
          <cell r="C21">
            <v>0.57478840541140241</v>
          </cell>
          <cell r="D21">
            <v>10.99477865435516</v>
          </cell>
          <cell r="E21">
            <v>11.416287932934788</v>
          </cell>
          <cell r="F21">
            <v>0.56717333525023206</v>
          </cell>
          <cell r="G21">
            <v>10.849114597684556</v>
          </cell>
        </row>
        <row r="31">
          <cell r="B31">
            <v>6231.4569554238224</v>
          </cell>
          <cell r="C31">
            <v>1215.4476464246104</v>
          </cell>
          <cell r="D31">
            <v>5016.0093089992115</v>
          </cell>
          <cell r="F31">
            <v>1199.3448179444013</v>
          </cell>
          <cell r="G31">
            <v>4949.5548320864882</v>
          </cell>
        </row>
      </sheetData>
      <sheetData sheetId="8">
        <row r="9">
          <cell r="B9">
            <v>1.039861345796877E-3</v>
          </cell>
          <cell r="C9">
            <v>2.0513737876793955E-4</v>
          </cell>
          <cell r="D9">
            <v>8.347239670289375E-4</v>
          </cell>
          <cell r="E9">
            <v>1.0260847681352859E-3</v>
          </cell>
          <cell r="F9">
            <v>2.0241962121178575E-4</v>
          </cell>
          <cell r="G9">
            <v>8.2366514692350018E-4</v>
          </cell>
        </row>
        <row r="10">
          <cell r="B10">
            <v>4.8321301120308781E-3</v>
          </cell>
          <cell r="C10">
            <v>5.3619209805785297E-4</v>
          </cell>
          <cell r="D10">
            <v>4.295938013973025E-3</v>
          </cell>
          <cell r="E10">
            <v>4.768111754171551E-3</v>
          </cell>
          <cell r="F10">
            <v>5.2908837013269895E-4</v>
          </cell>
          <cell r="G10">
            <v>4.2390233840388517E-3</v>
          </cell>
        </row>
        <row r="11">
          <cell r="B11">
            <v>7.30545665236303E-3</v>
          </cell>
          <cell r="C11">
            <v>2.1717626949953207E-3</v>
          </cell>
          <cell r="D11">
            <v>5.1336939573677094E-3</v>
          </cell>
          <cell r="E11">
            <v>7.2086704881965573E-3</v>
          </cell>
          <cell r="F11">
            <v>2.1429901499333431E-3</v>
          </cell>
          <cell r="G11">
            <v>5.0656803382632138E-3</v>
          </cell>
        </row>
        <row r="12">
          <cell r="B12">
            <v>1.4324505429792662E-3</v>
          </cell>
          <cell r="C12">
            <v>9.7211030661722389E-5</v>
          </cell>
          <cell r="D12">
            <v>1.3352395123175439E-3</v>
          </cell>
          <cell r="E12">
            <v>1.4134727569200881E-3</v>
          </cell>
          <cell r="F12">
            <v>9.5923132694471537E-5</v>
          </cell>
          <cell r="G12">
            <v>1.3175496242256166E-3</v>
          </cell>
        </row>
        <row r="13">
          <cell r="B13">
            <v>9.5353066204723438E-4</v>
          </cell>
          <cell r="C13">
            <v>8.2383202228784947E-5</v>
          </cell>
          <cell r="D13">
            <v>8.7114745981844944E-4</v>
          </cell>
          <cell r="E13">
            <v>9.4089783434236831E-4</v>
          </cell>
          <cell r="F13">
            <v>8.1291750384649265E-5</v>
          </cell>
          <cell r="G13">
            <v>8.5960608395771899E-4</v>
          </cell>
        </row>
        <row r="14">
          <cell r="B14">
            <v>7.4642805027383416E-3</v>
          </cell>
          <cell r="C14">
            <v>6.4766436094502614E-5</v>
          </cell>
          <cell r="D14">
            <v>7.3995140666438391E-3</v>
          </cell>
          <cell r="E14">
            <v>7.3653901646663252E-3</v>
          </cell>
          <cell r="F14">
            <v>6.3908379546553297E-5</v>
          </cell>
          <cell r="G14">
            <v>7.3014817851197716E-3</v>
          </cell>
        </row>
        <row r="15">
          <cell r="B15">
            <v>7.1704115646858006E-5</v>
          </cell>
          <cell r="C15">
            <v>2.9319506758825354E-5</v>
          </cell>
          <cell r="D15">
            <v>4.2384608888032651E-5</v>
          </cell>
          <cell r="E15">
            <v>7.0754145420675942E-5</v>
          </cell>
          <cell r="F15">
            <v>2.8931067989084409E-5</v>
          </cell>
          <cell r="G15">
            <v>4.182307743159153E-5</v>
          </cell>
        </row>
        <row r="16">
          <cell r="B16">
            <v>1.0071806394630293E-4</v>
          </cell>
          <cell r="C16">
            <v>1.9196643222359528E-5</v>
          </cell>
          <cell r="D16">
            <v>8.1521420723943403E-5</v>
          </cell>
          <cell r="E16">
            <v>9.9383703134171757E-5</v>
          </cell>
          <cell r="F16">
            <v>1.8942316963129242E-5</v>
          </cell>
          <cell r="G16">
            <v>8.0441386171042515E-5</v>
          </cell>
        </row>
        <row r="17">
          <cell r="B17">
            <v>1.032183905522323E-2</v>
          </cell>
          <cell r="C17">
            <v>1.2906118226702534E-3</v>
          </cell>
          <cell r="D17">
            <v>9.0312272325529762E-3</v>
          </cell>
          <cell r="E17">
            <v>1.0185090422408385E-2</v>
          </cell>
          <cell r="F17">
            <v>1.273513183435463E-3</v>
          </cell>
          <cell r="G17">
            <v>8.9115772389729217E-3</v>
          </cell>
        </row>
        <row r="18">
          <cell r="B18">
            <v>4.7247137171365395E-5</v>
          </cell>
          <cell r="C18">
            <v>1.3032281073304381E-5</v>
          </cell>
          <cell r="D18">
            <v>3.4214856098061014E-5</v>
          </cell>
          <cell r="E18">
            <v>4.6621184627634334E-5</v>
          </cell>
          <cell r="F18">
            <v>1.2859623215562324E-5</v>
          </cell>
          <cell r="G18">
            <v>3.3761561412072014E-5</v>
          </cell>
        </row>
        <row r="19">
          <cell r="B19">
            <v>7.2564809796444099</v>
          </cell>
          <cell r="C19">
            <v>1.0253507437326481</v>
          </cell>
          <cell r="D19">
            <v>6.2311302359117615</v>
          </cell>
          <cell r="E19">
            <v>7.1603436684826791</v>
          </cell>
          <cell r="F19">
            <v>1.0117664094283683</v>
          </cell>
          <cell r="G19">
            <v>6.1485772590543109</v>
          </cell>
        </row>
        <row r="21">
          <cell r="B21">
            <v>81.18685370166618</v>
          </cell>
          <cell r="C21">
            <v>14.52293488698297</v>
          </cell>
          <cell r="D21">
            <v>66.663918814683214</v>
          </cell>
          <cell r="E21">
            <v>80.111251651794703</v>
          </cell>
          <cell r="F21">
            <v>14.330528138570347</v>
          </cell>
          <cell r="G21">
            <v>65.780723513224359</v>
          </cell>
        </row>
        <row r="31">
          <cell r="B31">
            <v>29362.611058432834</v>
          </cell>
          <cell r="C31">
            <v>8729.9575138481268</v>
          </cell>
          <cell r="D31">
            <v>20632.653544584708</v>
          </cell>
          <cell r="F31">
            <v>8614.2988847837369</v>
          </cell>
          <cell r="G31">
            <v>20359.302337646779</v>
          </cell>
        </row>
      </sheetData>
      <sheetData sheetId="9">
        <row r="4">
          <cell r="B4">
            <v>1.4046767374558079E-2</v>
          </cell>
        </row>
        <row r="9">
          <cell r="B9">
            <v>2.1166499667676265E-6</v>
          </cell>
          <cell r="C9">
            <v>3.9186669611525312E-8</v>
          </cell>
          <cell r="D9">
            <v>2.0774632971561011E-6</v>
          </cell>
        </row>
        <row r="10">
          <cell r="B10">
            <v>8.9651816441730489E-6</v>
          </cell>
          <cell r="C10">
            <v>1.1266709450027769E-7</v>
          </cell>
          <cell r="D10">
            <v>8.8525145496727717E-6</v>
          </cell>
        </row>
        <row r="11">
          <cell r="B11">
            <v>1.6539908518662613E-5</v>
          </cell>
          <cell r="C11">
            <v>4.309016234467907E-7</v>
          </cell>
          <cell r="D11">
            <v>1.6109006895215821E-5</v>
          </cell>
        </row>
        <row r="12">
          <cell r="B12">
            <v>1.4822743329821867E-5</v>
          </cell>
          <cell r="C12">
            <v>2.3953602769491723E-6</v>
          </cell>
          <cell r="D12">
            <v>1.2427383052872695E-5</v>
          </cell>
        </row>
        <row r="13">
          <cell r="B13">
            <v>7.4740814847017815E-6</v>
          </cell>
          <cell r="C13">
            <v>1.2136440456855405E-6</v>
          </cell>
          <cell r="D13">
            <v>6.2604374390162412E-6</v>
          </cell>
        </row>
        <row r="14">
          <cell r="B14">
            <v>1.9935529131041108E-5</v>
          </cell>
          <cell r="C14">
            <v>8.048689240859402E-8</v>
          </cell>
          <cell r="D14">
            <v>1.9855042238632516E-5</v>
          </cell>
        </row>
        <row r="15">
          <cell r="B15">
            <v>1.4070844848576543E-7</v>
          </cell>
          <cell r="C15">
            <v>7.57937204632592E-9</v>
          </cell>
          <cell r="D15">
            <v>1.3312907643943951E-7</v>
          </cell>
        </row>
        <row r="16">
          <cell r="B16">
            <v>2.6642383067437581E-7</v>
          </cell>
          <cell r="C16">
            <v>2.8227160858942089E-9</v>
          </cell>
          <cell r="D16">
            <v>2.6360111458848162E-7</v>
          </cell>
        </row>
        <row r="17">
          <cell r="B17">
            <v>3.4126529091118145E-5</v>
          </cell>
          <cell r="C17">
            <v>1.8110131438413196E-7</v>
          </cell>
          <cell r="D17">
            <v>3.3945427776734013E-5</v>
          </cell>
        </row>
        <row r="18">
          <cell r="B18">
            <v>3.4941601909337948E-7</v>
          </cell>
          <cell r="C18">
            <v>3.3816850968694202E-9</v>
          </cell>
          <cell r="D18">
            <v>3.4603433399651005E-7</v>
          </cell>
        </row>
        <row r="19">
          <cell r="B19">
            <v>1.3906027958260072E-2</v>
          </cell>
          <cell r="C19">
            <v>1.4931130672670245E-4</v>
          </cell>
          <cell r="D19">
            <v>1.3756716651533369E-2</v>
          </cell>
        </row>
        <row r="21">
          <cell r="B21">
            <v>0.21527274680300157</v>
          </cell>
          <cell r="C21">
            <v>2.0129077957556072E-3</v>
          </cell>
          <cell r="D21">
            <v>0.21325983900724596</v>
          </cell>
        </row>
        <row r="31">
          <cell r="B31">
            <v>95.323571253924953</v>
          </cell>
          <cell r="C31">
            <v>15.784293899948201</v>
          </cell>
          <cell r="D31">
            <v>79.539277353976757</v>
          </cell>
        </row>
      </sheetData>
      <sheetData sheetId="10">
        <row r="9">
          <cell r="B9">
            <v>2.9861604854577621E-4</v>
          </cell>
          <cell r="C9">
            <v>3.2443106973770514E-5</v>
          </cell>
          <cell r="D9">
            <v>2.6617294157200571E-4</v>
          </cell>
        </row>
        <row r="10">
          <cell r="B10">
            <v>2.0386139541548856E-3</v>
          </cell>
          <cell r="C10">
            <v>2.5882262162623944E-4</v>
          </cell>
          <cell r="D10">
            <v>1.7797913325286463E-3</v>
          </cell>
        </row>
        <row r="11">
          <cell r="B11">
            <v>2.4708300952947853E-3</v>
          </cell>
          <cell r="C11">
            <v>2.4581535188522742E-4</v>
          </cell>
          <cell r="D11">
            <v>2.2250147434095579E-3</v>
          </cell>
        </row>
        <row r="12">
          <cell r="B12">
            <v>2.9277380027227084E-4</v>
          </cell>
          <cell r="C12">
            <v>8.3949800757287659E-5</v>
          </cell>
          <cell r="D12">
            <v>2.0882399951498317E-4</v>
          </cell>
        </row>
        <row r="13">
          <cell r="B13">
            <v>1.8188131417516825E-4</v>
          </cell>
          <cell r="C13">
            <v>4.1628554264014509E-5</v>
          </cell>
          <cell r="D13">
            <v>1.4025275991115375E-4</v>
          </cell>
        </row>
        <row r="14">
          <cell r="B14">
            <v>0.14038217122196686</v>
          </cell>
          <cell r="C14">
            <v>9.978493912487531E-5</v>
          </cell>
          <cell r="D14">
            <v>0.14028238628284198</v>
          </cell>
        </row>
        <row r="15">
          <cell r="B15">
            <v>3.8754719268947349E-5</v>
          </cell>
          <cell r="C15">
            <v>7.6158666644620442E-7</v>
          </cell>
          <cell r="D15">
            <v>3.7993132602501144E-5</v>
          </cell>
        </row>
        <row r="16">
          <cell r="B16">
            <v>4.1659639434073537E-5</v>
          </cell>
          <cell r="C16">
            <v>3.041937421804814E-6</v>
          </cell>
          <cell r="D16">
            <v>3.8617702012268723E-5</v>
          </cell>
        </row>
        <row r="17">
          <cell r="B17">
            <v>5.1279507487447442E-3</v>
          </cell>
          <cell r="C17">
            <v>4.5150658355241772E-4</v>
          </cell>
          <cell r="D17">
            <v>4.6764441651923269E-3</v>
          </cell>
        </row>
        <row r="18">
          <cell r="B18">
            <v>4.5582654034182673E-5</v>
          </cell>
          <cell r="C18">
            <v>3.324018805425575E-6</v>
          </cell>
          <cell r="D18">
            <v>4.2258635228757095E-5</v>
          </cell>
        </row>
        <row r="19">
          <cell r="B19">
            <v>2.2411083737054738</v>
          </cell>
          <cell r="C19">
            <v>0.25148343502152265</v>
          </cell>
          <cell r="D19">
            <v>1.9896249386839511</v>
          </cell>
        </row>
        <row r="21">
          <cell r="B21">
            <v>36.312328797323588</v>
          </cell>
          <cell r="C21">
            <v>4.0598113945887553</v>
          </cell>
          <cell r="D21">
            <v>32.252517402734831</v>
          </cell>
        </row>
        <row r="31">
          <cell r="B31">
            <v>6204.136973164239</v>
          </cell>
          <cell r="C31">
            <v>947.10560690487614</v>
          </cell>
          <cell r="D31">
            <v>5257.0313662593626</v>
          </cell>
        </row>
      </sheetData>
      <sheetData sheetId="11">
        <row r="9">
          <cell r="B9">
            <v>1.9610334315300456E-4</v>
          </cell>
          <cell r="C9">
            <v>1.6369318275765143E-4</v>
          </cell>
          <cell r="D9">
            <v>3.2410160395353137E-5</v>
          </cell>
        </row>
        <row r="10">
          <cell r="B10">
            <v>9.3225718204947156E-4</v>
          </cell>
          <cell r="C10">
            <v>8.5903095840429461E-4</v>
          </cell>
          <cell r="D10">
            <v>7.3226223645176942E-5</v>
          </cell>
        </row>
        <row r="11">
          <cell r="B11">
            <v>1.6833347102589743E-3</v>
          </cell>
          <cell r="C11">
            <v>1.1124522561550291E-3</v>
          </cell>
          <cell r="D11">
            <v>5.7088245410394519E-4</v>
          </cell>
        </row>
        <row r="12">
          <cell r="B12">
            <v>5.3284390837517251E-3</v>
          </cell>
          <cell r="C12">
            <v>5.2876756119203915E-3</v>
          </cell>
          <cell r="D12">
            <v>4.0763471831333636E-5</v>
          </cell>
        </row>
        <row r="13">
          <cell r="B13">
            <v>2.6858823265741194E-3</v>
          </cell>
          <cell r="C13">
            <v>2.6499556319824515E-3</v>
          </cell>
          <cell r="D13">
            <v>3.5926694591667963E-5</v>
          </cell>
        </row>
        <row r="14">
          <cell r="B14">
            <v>4.5743317954445636E-3</v>
          </cell>
          <cell r="C14">
            <v>7.3380842937217873E-4</v>
          </cell>
          <cell r="D14">
            <v>3.8405233660723848E-3</v>
          </cell>
        </row>
        <row r="15">
          <cell r="B15">
            <v>9.4837550576901409E-6</v>
          </cell>
          <cell r="C15">
            <v>4.544277076891703E-6</v>
          </cell>
          <cell r="D15">
            <v>4.9394779807984379E-6</v>
          </cell>
        </row>
        <row r="16">
          <cell r="B16">
            <v>3.5676940029975798E-5</v>
          </cell>
          <cell r="C16">
            <v>2.1082248934892003E-5</v>
          </cell>
          <cell r="D16">
            <v>1.4594691095083795E-5</v>
          </cell>
        </row>
        <row r="17">
          <cell r="B17">
            <v>2.8706976925312782E-3</v>
          </cell>
          <cell r="C17">
            <v>2.7567695673980505E-3</v>
          </cell>
          <cell r="D17">
            <v>1.1392812513322768E-4</v>
          </cell>
        </row>
        <row r="18">
          <cell r="B18">
            <v>2.5226994477142408E-5</v>
          </cell>
          <cell r="C18">
            <v>2.3446595788069689E-5</v>
          </cell>
          <cell r="D18">
            <v>1.7803986890727192E-6</v>
          </cell>
        </row>
        <row r="19">
          <cell r="B19">
            <v>2.2179443628190625</v>
          </cell>
          <cell r="C19">
            <v>1.3428490329976799</v>
          </cell>
          <cell r="D19">
            <v>0.87509532982138261</v>
          </cell>
        </row>
        <row r="21">
          <cell r="B21">
            <v>24.189604619704198</v>
          </cell>
          <cell r="C21">
            <v>23.11105232119138</v>
          </cell>
          <cell r="D21">
            <v>1.0785522985128182</v>
          </cell>
        </row>
        <row r="31">
          <cell r="B31">
            <v>7303.842667424964</v>
          </cell>
          <cell r="C31">
            <v>6729.608624481225</v>
          </cell>
          <cell r="D31">
            <v>574.23404294373904</v>
          </cell>
        </row>
      </sheetData>
      <sheetData sheetId="12">
        <row r="4">
          <cell r="C4">
            <v>0.6</v>
          </cell>
          <cell r="E4">
            <v>1</v>
          </cell>
          <cell r="G4">
            <v>0.45</v>
          </cell>
        </row>
        <row r="5">
          <cell r="C5">
            <v>0.4</v>
          </cell>
          <cell r="G5">
            <v>0.55000000000000004</v>
          </cell>
        </row>
      </sheetData>
      <sheetData sheetId="13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Sam Bunke" id="{0F924D24-DFD2-4E4E-8333-3FB56D322244}" userId="S::sambunke@stanford.edu::b3e5f445-ce09-4c07-ae3b-bfc984cdc538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8" dT="2023-08-18T18:42:58.39" personId="{0F924D24-DFD2-4E4E-8333-3FB56D322244}" id="{59A8C3B8-A61F-8D49-8E66-4273FEF9BF8B}">
    <text>The data for these two columns are normalized to 1 kg of MHP</text>
  </threadedComment>
  <threadedComment ref="B44" dT="2023-08-18T18:42:17.20" personId="{0F924D24-DFD2-4E4E-8333-3FB56D322244}" id="{F02696EF-186F-4143-99DD-C0757383A720}">
    <text>Source: 
Nickel Life Cycle Analysis Updates and Additions in the GREET Model
Q. Dai and J. C. Kelly
October 2020</text>
  </threadedComment>
  <threadedComment ref="B49" dT="2023-08-18T18:42:23.11" personId="{0F924D24-DFD2-4E4E-8333-3FB56D322244}" id="{D6B48686-CBB9-E64C-9690-5D29984FD54D}">
    <text xml:space="preserve">Source: 
Nickel Life Cycle Analysis Updates and Additions in the GREET Model
Q. Dai and J. C. Kelly
October 2020
</text>
  </threadedComment>
</ThreadedComment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9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8319A-67DA-3845-A88D-83939665766E}">
  <dimension ref="A1:O12"/>
  <sheetViews>
    <sheetView zoomScale="120" zoomScaleNormal="120" workbookViewId="0">
      <selection sqref="A1:A1048576"/>
    </sheetView>
  </sheetViews>
  <sheetFormatPr baseColWidth="10" defaultRowHeight="15" x14ac:dyDescent="0.2"/>
  <sheetData>
    <row r="1" spans="1:15" x14ac:dyDescent="0.2">
      <c r="B1" t="s">
        <v>14</v>
      </c>
      <c r="C1" t="s">
        <v>16</v>
      </c>
      <c r="D1" t="s">
        <v>23</v>
      </c>
      <c r="E1" t="s">
        <v>19</v>
      </c>
      <c r="F1" t="s">
        <v>17</v>
      </c>
      <c r="G1" t="s">
        <v>21</v>
      </c>
      <c r="H1" t="s">
        <v>38</v>
      </c>
      <c r="I1" t="s">
        <v>20</v>
      </c>
      <c r="J1" t="s">
        <v>311</v>
      </c>
      <c r="K1" t="s">
        <v>312</v>
      </c>
      <c r="L1" t="s">
        <v>313</v>
      </c>
      <c r="M1" t="s">
        <v>311</v>
      </c>
      <c r="N1" t="s">
        <v>312</v>
      </c>
      <c r="O1" t="s">
        <v>313</v>
      </c>
    </row>
    <row r="3" spans="1:15" x14ac:dyDescent="0.2">
      <c r="A3" t="s">
        <v>307</v>
      </c>
      <c r="B3">
        <v>0</v>
      </c>
      <c r="M3">
        <v>8.0000000000000002E-3</v>
      </c>
      <c r="N3">
        <v>3.5999999999999997E-2</v>
      </c>
      <c r="O3">
        <v>3.2000000000000001E-2</v>
      </c>
    </row>
    <row r="4" spans="1:15" x14ac:dyDescent="0.2">
      <c r="A4" t="s">
        <v>308</v>
      </c>
      <c r="B4">
        <v>0</v>
      </c>
      <c r="M4">
        <v>0.09</v>
      </c>
      <c r="N4">
        <v>9.1999999999999998E-2</v>
      </c>
      <c r="O4">
        <v>0.13500000000000001</v>
      </c>
    </row>
    <row r="5" spans="1:15" x14ac:dyDescent="0.2">
      <c r="A5" t="s">
        <v>309</v>
      </c>
      <c r="B5">
        <v>0</v>
      </c>
      <c r="M5">
        <v>0.34</v>
      </c>
      <c r="N5">
        <v>0.307</v>
      </c>
      <c r="O5">
        <v>0.94</v>
      </c>
    </row>
    <row r="6" spans="1:15" x14ac:dyDescent="0.2">
      <c r="A6" t="s">
        <v>310</v>
      </c>
      <c r="B6">
        <v>0</v>
      </c>
      <c r="M6">
        <v>0.80300000000000005</v>
      </c>
      <c r="N6">
        <v>0.70899999999999996</v>
      </c>
      <c r="O6">
        <v>0.98699999999999999</v>
      </c>
    </row>
    <row r="7" spans="1:15" x14ac:dyDescent="0.2">
      <c r="A7" t="s">
        <v>257</v>
      </c>
      <c r="B7">
        <v>15.264279999999999</v>
      </c>
      <c r="C7">
        <v>0</v>
      </c>
      <c r="D7">
        <v>84.735720000000001</v>
      </c>
      <c r="E7">
        <v>0</v>
      </c>
      <c r="F7">
        <v>0</v>
      </c>
      <c r="G7">
        <v>0</v>
      </c>
      <c r="H7">
        <v>0</v>
      </c>
      <c r="I7">
        <v>0</v>
      </c>
      <c r="J7">
        <v>8.8445699999999992</v>
      </c>
      <c r="K7">
        <v>3.7135799999999999</v>
      </c>
      <c r="L7">
        <v>8.2327499999999993</v>
      </c>
    </row>
    <row r="8" spans="1:15" x14ac:dyDescent="0.2">
      <c r="A8" t="s">
        <v>5</v>
      </c>
      <c r="B8">
        <v>25.115600000000001</v>
      </c>
      <c r="C8">
        <v>14.09694</v>
      </c>
      <c r="D8">
        <v>45.422130000000003</v>
      </c>
      <c r="E8">
        <v>4.92164</v>
      </c>
      <c r="F8">
        <v>0</v>
      </c>
      <c r="G8">
        <v>0</v>
      </c>
      <c r="H8">
        <v>6.1529600000000002</v>
      </c>
      <c r="I8">
        <v>4.2907299999999999</v>
      </c>
      <c r="J8">
        <v>8.8474500000000003</v>
      </c>
      <c r="K8">
        <v>3.46739</v>
      </c>
      <c r="L8">
        <v>6.7031000000000001</v>
      </c>
    </row>
    <row r="9" spans="1:15" x14ac:dyDescent="0.2">
      <c r="A9" t="s">
        <v>6</v>
      </c>
      <c r="B9">
        <v>28.916810000000002</v>
      </c>
      <c r="C9">
        <v>38.756</v>
      </c>
      <c r="D9">
        <v>15.60956</v>
      </c>
      <c r="E9">
        <v>1.6912799999999999</v>
      </c>
      <c r="F9">
        <v>0</v>
      </c>
      <c r="G9">
        <v>0</v>
      </c>
      <c r="H9">
        <v>8.6242599999999996</v>
      </c>
      <c r="I9">
        <v>6.4020900000000003</v>
      </c>
      <c r="J9">
        <v>6.3271499999999996</v>
      </c>
      <c r="K9">
        <v>2.2712300000000001</v>
      </c>
      <c r="L9">
        <v>3.7698100000000001</v>
      </c>
    </row>
    <row r="10" spans="1:15" x14ac:dyDescent="0.2">
      <c r="A10" t="s">
        <v>4</v>
      </c>
      <c r="B10">
        <v>27.723520000000001</v>
      </c>
      <c r="C10">
        <v>37.277059999999999</v>
      </c>
      <c r="D10">
        <v>22.520790000000002</v>
      </c>
      <c r="E10">
        <v>0</v>
      </c>
      <c r="F10">
        <v>0</v>
      </c>
      <c r="G10">
        <v>0</v>
      </c>
      <c r="H10">
        <v>7.0554300000000003</v>
      </c>
      <c r="I10">
        <v>5.4232100000000001</v>
      </c>
      <c r="J10">
        <v>7.3023199999999999</v>
      </c>
      <c r="K10">
        <v>2.6728299999999998</v>
      </c>
      <c r="L10">
        <v>4.5711300000000001</v>
      </c>
    </row>
    <row r="11" spans="1:15" x14ac:dyDescent="0.2">
      <c r="A11" t="s">
        <v>8</v>
      </c>
      <c r="B11">
        <v>35.840870000000002</v>
      </c>
      <c r="C11">
        <v>0</v>
      </c>
      <c r="D11">
        <v>0</v>
      </c>
      <c r="E11">
        <v>41.532209999999999</v>
      </c>
      <c r="F11">
        <v>0</v>
      </c>
      <c r="G11">
        <v>0</v>
      </c>
      <c r="H11">
        <v>12.93812</v>
      </c>
      <c r="I11">
        <v>9.6888100000000001</v>
      </c>
      <c r="J11">
        <v>3.8214199999999998</v>
      </c>
      <c r="K11">
        <v>1.24135</v>
      </c>
      <c r="L11">
        <v>2.2361499999999999</v>
      </c>
    </row>
    <row r="12" spans="1:15" x14ac:dyDescent="0.2">
      <c r="A12" t="s">
        <v>7</v>
      </c>
      <c r="B12">
        <v>53.138109999999998</v>
      </c>
      <c r="C12">
        <v>0</v>
      </c>
      <c r="D12">
        <v>0</v>
      </c>
      <c r="E12">
        <v>0</v>
      </c>
      <c r="F12">
        <v>0.97743999999999998</v>
      </c>
      <c r="G12">
        <v>5.1339899999999998</v>
      </c>
      <c r="H12">
        <v>25.185690000000001</v>
      </c>
      <c r="I12">
        <v>15.56476</v>
      </c>
      <c r="J12">
        <v>2.4758499999999999</v>
      </c>
      <c r="K12">
        <v>1.0598700000000001</v>
      </c>
      <c r="L12">
        <v>1.8271200000000001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0F602-6E49-4698-BDB9-730E58DC4381}">
  <dimension ref="B2:AF45"/>
  <sheetViews>
    <sheetView workbookViewId="0">
      <selection activeCell="H10" sqref="H10"/>
    </sheetView>
  </sheetViews>
  <sheetFormatPr baseColWidth="10" defaultColWidth="8.83203125" defaultRowHeight="15" x14ac:dyDescent="0.2"/>
  <cols>
    <col min="1" max="1" width="3.1640625" customWidth="1"/>
    <col min="2" max="2" width="21.5" customWidth="1"/>
    <col min="18" max="18" width="7" customWidth="1"/>
  </cols>
  <sheetData>
    <row r="2" spans="2:18" ht="21" x14ac:dyDescent="0.25">
      <c r="B2" s="178" t="s">
        <v>274</v>
      </c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</row>
    <row r="4" spans="2:18" ht="32.5" customHeight="1" x14ac:dyDescent="0.2">
      <c r="B4" s="205" t="s">
        <v>265</v>
      </c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</row>
    <row r="5" spans="2:18" ht="18" x14ac:dyDescent="0.2">
      <c r="B5" s="203" t="s">
        <v>214</v>
      </c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</row>
    <row r="6" spans="2:18" ht="18" x14ac:dyDescent="0.2">
      <c r="B6" s="203" t="s">
        <v>215</v>
      </c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</row>
    <row r="7" spans="2:18" ht="18" x14ac:dyDescent="0.2">
      <c r="B7" s="203" t="s">
        <v>216</v>
      </c>
      <c r="C7" s="203"/>
      <c r="D7" s="203"/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</row>
    <row r="8" spans="2:18" ht="18" x14ac:dyDescent="0.2">
      <c r="B8" s="203" t="s">
        <v>217</v>
      </c>
      <c r="C8" s="203"/>
      <c r="D8" s="203"/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3"/>
    </row>
    <row r="9" spans="2:18" ht="20.5" customHeight="1" x14ac:dyDescent="0.2">
      <c r="B9" s="204" t="s">
        <v>218</v>
      </c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</row>
    <row r="12" spans="2:18" ht="19" x14ac:dyDescent="0.25">
      <c r="B12" s="97" t="s">
        <v>219</v>
      </c>
    </row>
    <row r="14" spans="2:18" ht="16" thickBot="1" x14ac:dyDescent="0.25"/>
    <row r="15" spans="2:18" ht="16" x14ac:dyDescent="0.2">
      <c r="B15" s="143" t="s">
        <v>220</v>
      </c>
      <c r="C15" s="144" t="s">
        <v>221</v>
      </c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6"/>
    </row>
    <row r="16" spans="2:18" x14ac:dyDescent="0.2">
      <c r="B16" s="147" t="s">
        <v>222</v>
      </c>
      <c r="C16" s="35" t="s">
        <v>231</v>
      </c>
      <c r="R16" s="42"/>
    </row>
    <row r="17" spans="2:32" x14ac:dyDescent="0.2">
      <c r="B17" s="148" t="s">
        <v>223</v>
      </c>
      <c r="C17" s="35" t="s">
        <v>273</v>
      </c>
      <c r="R17" s="42"/>
    </row>
    <row r="18" spans="2:32" x14ac:dyDescent="0.2">
      <c r="B18" s="149" t="s">
        <v>224</v>
      </c>
      <c r="C18" s="35" t="s">
        <v>238</v>
      </c>
      <c r="R18" s="42"/>
    </row>
    <row r="19" spans="2:32" x14ac:dyDescent="0.2">
      <c r="B19" s="149" t="s">
        <v>225</v>
      </c>
      <c r="C19" s="35" t="s">
        <v>234</v>
      </c>
      <c r="R19" s="42"/>
    </row>
    <row r="20" spans="2:32" x14ac:dyDescent="0.2">
      <c r="B20" s="149" t="s">
        <v>226</v>
      </c>
      <c r="C20" s="35" t="s">
        <v>237</v>
      </c>
      <c r="R20" s="42"/>
    </row>
    <row r="21" spans="2:32" x14ac:dyDescent="0.2">
      <c r="B21" s="149" t="s">
        <v>227</v>
      </c>
      <c r="C21" s="35" t="s">
        <v>236</v>
      </c>
      <c r="R21" s="42"/>
    </row>
    <row r="22" spans="2:32" x14ac:dyDescent="0.2">
      <c r="B22" s="149" t="s">
        <v>228</v>
      </c>
      <c r="C22" s="35" t="s">
        <v>235</v>
      </c>
      <c r="R22" s="42"/>
    </row>
    <row r="23" spans="2:32" x14ac:dyDescent="0.2">
      <c r="B23" s="149" t="s">
        <v>20</v>
      </c>
      <c r="C23" s="35" t="s">
        <v>239</v>
      </c>
      <c r="R23" s="42"/>
    </row>
    <row r="24" spans="2:32" x14ac:dyDescent="0.2">
      <c r="B24" s="149" t="s">
        <v>38</v>
      </c>
      <c r="C24" s="35" t="s">
        <v>240</v>
      </c>
      <c r="R24" s="42"/>
    </row>
    <row r="25" spans="2:32" x14ac:dyDescent="0.2">
      <c r="B25" s="149" t="s">
        <v>19</v>
      </c>
      <c r="C25" s="35" t="s">
        <v>241</v>
      </c>
      <c r="R25" s="42"/>
    </row>
    <row r="26" spans="2:32" x14ac:dyDescent="0.2">
      <c r="B26" s="166" t="s">
        <v>229</v>
      </c>
      <c r="C26" s="35" t="s">
        <v>242</v>
      </c>
      <c r="R26" s="42"/>
    </row>
    <row r="27" spans="2:32" ht="16" thickBot="1" x14ac:dyDescent="0.25">
      <c r="B27" s="150" t="s">
        <v>264</v>
      </c>
      <c r="C27" s="73" t="s">
        <v>263</v>
      </c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34"/>
    </row>
    <row r="31" spans="2:32" ht="17" thickBot="1" x14ac:dyDescent="0.25">
      <c r="B31" s="155" t="s">
        <v>230</v>
      </c>
    </row>
    <row r="32" spans="2:32" x14ac:dyDescent="0.2">
      <c r="B32" s="171" t="s">
        <v>253</v>
      </c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5"/>
      <c r="S32" s="165"/>
      <c r="T32" s="165"/>
      <c r="U32" s="165"/>
      <c r="V32" s="165"/>
      <c r="W32" s="165"/>
      <c r="X32" s="165"/>
      <c r="Y32" s="165"/>
      <c r="Z32" s="165"/>
      <c r="AA32" s="165"/>
      <c r="AB32" s="165"/>
      <c r="AC32" s="165"/>
      <c r="AD32" s="165"/>
      <c r="AE32" s="165"/>
      <c r="AF32" s="167"/>
    </row>
    <row r="33" spans="2:32" x14ac:dyDescent="0.2">
      <c r="B33" s="201" t="s">
        <v>245</v>
      </c>
      <c r="C33" s="202"/>
      <c r="D33" s="202"/>
      <c r="E33" s="202"/>
      <c r="F33" s="202"/>
      <c r="G33" s="158"/>
      <c r="V33" s="158"/>
      <c r="W33" s="158"/>
      <c r="X33" s="158"/>
      <c r="Y33" s="158"/>
      <c r="Z33" s="158"/>
      <c r="AA33" s="158"/>
      <c r="AB33" s="158"/>
      <c r="AC33" s="158"/>
      <c r="AD33" s="158"/>
      <c r="AE33" s="158"/>
      <c r="AF33" s="58"/>
    </row>
    <row r="34" spans="2:32" x14ac:dyDescent="0.2">
      <c r="B34" s="172" t="s">
        <v>247</v>
      </c>
      <c r="C34" s="158"/>
      <c r="D34" s="158"/>
      <c r="E34" s="158"/>
      <c r="F34" s="39"/>
      <c r="G34" s="173" t="s">
        <v>248</v>
      </c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8"/>
      <c r="W34" s="159"/>
      <c r="X34" s="159"/>
      <c r="Y34" s="159"/>
      <c r="Z34" s="159"/>
      <c r="AA34" s="159"/>
      <c r="AB34" s="159"/>
      <c r="AC34" s="159"/>
      <c r="AD34" s="159"/>
      <c r="AE34" s="159"/>
      <c r="AF34" s="160"/>
    </row>
    <row r="35" spans="2:32" x14ac:dyDescent="0.2">
      <c r="B35" s="161" t="s">
        <v>246</v>
      </c>
      <c r="C35" s="156"/>
      <c r="D35" s="156"/>
      <c r="E35" s="156"/>
      <c r="F35" s="157"/>
      <c r="G35" t="s">
        <v>249</v>
      </c>
      <c r="AF35" s="42"/>
    </row>
    <row r="36" spans="2:32" x14ac:dyDescent="0.2">
      <c r="B36" s="161" t="s">
        <v>233</v>
      </c>
      <c r="C36" s="156"/>
      <c r="D36" s="156"/>
      <c r="E36" s="156"/>
      <c r="F36" s="157"/>
      <c r="G36" t="s">
        <v>252</v>
      </c>
      <c r="AF36" s="42"/>
    </row>
    <row r="37" spans="2:32" x14ac:dyDescent="0.2">
      <c r="B37" s="161" t="s">
        <v>147</v>
      </c>
      <c r="C37" s="156"/>
      <c r="D37" s="156"/>
      <c r="E37" s="156"/>
      <c r="F37" s="157"/>
      <c r="G37" t="s">
        <v>251</v>
      </c>
      <c r="AF37" s="42"/>
    </row>
    <row r="38" spans="2:32" ht="16" thickBot="1" x14ac:dyDescent="0.25">
      <c r="B38" s="162" t="s">
        <v>150</v>
      </c>
      <c r="C38" s="163"/>
      <c r="D38" s="163"/>
      <c r="E38" s="163"/>
      <c r="F38" s="164"/>
      <c r="G38" s="45" t="s">
        <v>250</v>
      </c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34"/>
    </row>
    <row r="39" spans="2:32" x14ac:dyDescent="0.2">
      <c r="B39" s="166" t="s">
        <v>229</v>
      </c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/>
      <c r="O39" s="168"/>
      <c r="P39" s="168"/>
      <c r="Q39" s="168"/>
      <c r="R39" s="168"/>
      <c r="S39" s="168"/>
      <c r="T39" s="168"/>
      <c r="U39" s="168"/>
      <c r="V39" s="168"/>
      <c r="W39" s="168"/>
      <c r="X39" s="168"/>
      <c r="Y39" s="168"/>
      <c r="Z39" s="168"/>
      <c r="AA39" s="168"/>
      <c r="AB39" s="168"/>
      <c r="AC39" s="168"/>
      <c r="AD39" s="168"/>
      <c r="AE39" s="168"/>
      <c r="AF39" s="169"/>
    </row>
    <row r="40" spans="2:32" x14ac:dyDescent="0.2">
      <c r="B40" s="57" t="s">
        <v>255</v>
      </c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  <c r="Y40" s="158"/>
      <c r="Z40" s="158"/>
      <c r="AA40" s="158"/>
      <c r="AB40" s="158"/>
      <c r="AC40" s="158"/>
      <c r="AD40" s="158"/>
      <c r="AE40" s="158"/>
      <c r="AF40" s="58"/>
    </row>
    <row r="41" spans="2:32" x14ac:dyDescent="0.2">
      <c r="B41" s="172" t="s">
        <v>247</v>
      </c>
      <c r="C41" s="158"/>
      <c r="D41" s="158"/>
      <c r="E41" s="158"/>
      <c r="F41" s="39"/>
      <c r="G41" s="174" t="s">
        <v>248</v>
      </c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  <c r="Y41" s="159"/>
      <c r="Z41" s="159"/>
      <c r="AA41" s="159"/>
      <c r="AB41" s="159"/>
      <c r="AC41" s="159"/>
      <c r="AD41" s="159"/>
      <c r="AE41" s="159"/>
      <c r="AF41" s="160"/>
    </row>
    <row r="42" spans="2:32" x14ac:dyDescent="0.2">
      <c r="B42" s="161" t="s">
        <v>254</v>
      </c>
      <c r="C42" s="156"/>
      <c r="D42" s="156"/>
      <c r="E42" s="156"/>
      <c r="F42" s="157"/>
      <c r="G42" t="s">
        <v>258</v>
      </c>
      <c r="AF42" s="42"/>
    </row>
    <row r="43" spans="2:32" x14ac:dyDescent="0.2">
      <c r="B43" s="161" t="s">
        <v>269</v>
      </c>
      <c r="C43" s="156"/>
      <c r="D43" s="156"/>
      <c r="E43" s="156"/>
      <c r="F43" s="157"/>
      <c r="G43" t="s">
        <v>260</v>
      </c>
      <c r="AF43" s="42"/>
    </row>
    <row r="44" spans="2:32" x14ac:dyDescent="0.2">
      <c r="B44" s="161" t="s">
        <v>256</v>
      </c>
      <c r="C44" s="156"/>
      <c r="D44" s="156"/>
      <c r="E44" s="156"/>
      <c r="F44" s="157"/>
      <c r="G44" t="s">
        <v>261</v>
      </c>
      <c r="AF44" s="42"/>
    </row>
    <row r="45" spans="2:32" ht="16" thickBot="1" x14ac:dyDescent="0.25">
      <c r="B45" s="162" t="s">
        <v>257</v>
      </c>
      <c r="C45" s="163"/>
      <c r="D45" s="163"/>
      <c r="E45" s="163"/>
      <c r="F45" s="164"/>
      <c r="G45" s="45" t="s">
        <v>262</v>
      </c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34"/>
    </row>
  </sheetData>
  <mergeCells count="7">
    <mergeCell ref="B33:F33"/>
    <mergeCell ref="B8:R8"/>
    <mergeCell ref="B9:R9"/>
    <mergeCell ref="B4:R4"/>
    <mergeCell ref="B5:R5"/>
    <mergeCell ref="B6:R6"/>
    <mergeCell ref="B7:R7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41D87-0074-495F-A569-1FA6C9F7D3FA}">
  <sheetPr>
    <tabColor theme="4" tint="0.59999389629810485"/>
  </sheetPr>
  <dimension ref="A1:AA65"/>
  <sheetViews>
    <sheetView zoomScale="150" zoomScaleNormal="150" workbookViewId="0">
      <selection activeCell="AA5" sqref="AA5:AA10"/>
    </sheetView>
  </sheetViews>
  <sheetFormatPr baseColWidth="10" defaultColWidth="10.83203125" defaultRowHeight="16" x14ac:dyDescent="0.2"/>
  <cols>
    <col min="1" max="1" width="10.83203125" style="1"/>
    <col min="2" max="2" width="21.83203125" style="1" customWidth="1"/>
    <col min="3" max="6" width="10.83203125" style="1"/>
    <col min="7" max="7" width="11.6640625" style="1" customWidth="1"/>
    <col min="8" max="8" width="6.5" style="1" customWidth="1"/>
    <col min="9" max="9" width="11.6640625" style="1" customWidth="1"/>
    <col min="10" max="10" width="13.1640625" style="1" customWidth="1"/>
    <col min="11" max="11" width="11" style="1" bestFit="1" customWidth="1"/>
    <col min="12" max="12" width="2.33203125" style="1" customWidth="1"/>
    <col min="13" max="13" width="10.83203125" style="1"/>
    <col min="14" max="14" width="15.5" style="1" customWidth="1"/>
    <col min="15" max="15" width="14.83203125" style="1" customWidth="1"/>
    <col min="16" max="16" width="10.83203125" style="1"/>
    <col min="17" max="18" width="2.1640625" style="1" customWidth="1"/>
    <col min="19" max="16384" width="10.83203125" style="1"/>
  </cols>
  <sheetData>
    <row r="1" spans="2:27" x14ac:dyDescent="0.2">
      <c r="B1" s="142"/>
    </row>
    <row r="2" spans="2:27" x14ac:dyDescent="0.2">
      <c r="B2" s="1" t="s">
        <v>44</v>
      </c>
      <c r="M2" s="210" t="s">
        <v>0</v>
      </c>
      <c r="N2" s="210"/>
      <c r="O2" s="210"/>
      <c r="P2" s="210"/>
      <c r="S2" s="206" t="s">
        <v>207</v>
      </c>
      <c r="T2" s="207"/>
      <c r="U2" s="207"/>
      <c r="V2" s="208"/>
      <c r="X2" s="211" t="s">
        <v>283</v>
      </c>
      <c r="Y2" s="210"/>
      <c r="Z2" s="210"/>
      <c r="AA2" s="210"/>
    </row>
    <row r="3" spans="2:27" x14ac:dyDescent="0.2">
      <c r="B3" s="209" t="s">
        <v>1</v>
      </c>
      <c r="C3" s="209"/>
      <c r="D3" s="209"/>
      <c r="E3" s="209"/>
      <c r="F3" s="209"/>
      <c r="G3" s="209"/>
      <c r="H3" s="2"/>
      <c r="I3" s="2"/>
      <c r="J3" s="2"/>
      <c r="M3" s="1" t="s">
        <v>2</v>
      </c>
      <c r="N3" s="1" t="s">
        <v>3</v>
      </c>
      <c r="S3" s="1" t="s">
        <v>2</v>
      </c>
      <c r="T3" s="1" t="s">
        <v>208</v>
      </c>
      <c r="X3" s="179" t="s">
        <v>2</v>
      </c>
      <c r="Y3" s="180" t="s">
        <v>284</v>
      </c>
    </row>
    <row r="4" spans="2:27" x14ac:dyDescent="0.2">
      <c r="B4" s="3"/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N4" s="4" t="s">
        <v>9</v>
      </c>
      <c r="O4" s="4" t="s">
        <v>10</v>
      </c>
      <c r="P4" s="4" t="s">
        <v>11</v>
      </c>
      <c r="T4" s="4" t="s">
        <v>9</v>
      </c>
      <c r="U4" s="4" t="s">
        <v>10</v>
      </c>
      <c r="V4" s="4" t="s">
        <v>11</v>
      </c>
      <c r="Y4" s="4" t="s">
        <v>9</v>
      </c>
      <c r="Z4" s="4" t="s">
        <v>10</v>
      </c>
      <c r="AA4" s="4" t="s">
        <v>11</v>
      </c>
    </row>
    <row r="5" spans="2:27" x14ac:dyDescent="0.2">
      <c r="B5" s="3" t="s">
        <v>12</v>
      </c>
      <c r="C5" s="5">
        <v>0.34579482413318302</v>
      </c>
      <c r="D5" s="5">
        <v>0.38166128739196642</v>
      </c>
      <c r="E5" s="5">
        <v>0.31538309651365559</v>
      </c>
      <c r="F5" s="5">
        <v>0.35963976584124535</v>
      </c>
      <c r="G5" s="5">
        <v>0.43460186251013871</v>
      </c>
      <c r="H5" s="6"/>
      <c r="I5" s="7" t="s">
        <v>13</v>
      </c>
      <c r="J5" s="7" t="s">
        <v>118</v>
      </c>
      <c r="L5" s="6"/>
      <c r="M5" s="3" t="s">
        <v>14</v>
      </c>
      <c r="N5" s="3">
        <v>1</v>
      </c>
      <c r="O5" s="3">
        <v>6.9</v>
      </c>
      <c r="P5" s="8">
        <f>O5/$O$10</f>
        <v>7.1842483792491849E-2</v>
      </c>
      <c r="Q5" s="6"/>
      <c r="S5" s="3" t="s">
        <v>14</v>
      </c>
      <c r="T5" s="3">
        <v>1</v>
      </c>
      <c r="U5" s="134">
        <f>J6</f>
        <v>6.9379999999999997</v>
      </c>
      <c r="V5" s="8">
        <f>U5/$U$10</f>
        <v>7.0890680399309278E-2</v>
      </c>
      <c r="X5" s="3" t="s">
        <v>14</v>
      </c>
      <c r="Y5" s="3">
        <v>1</v>
      </c>
      <c r="Z5" s="3">
        <v>6.9</v>
      </c>
      <c r="AA5" s="8">
        <f>Z5/$Z$10</f>
        <v>5.4884305474908336E-2</v>
      </c>
    </row>
    <row r="6" spans="2:27" x14ac:dyDescent="0.2">
      <c r="B6" s="3" t="s">
        <v>15</v>
      </c>
      <c r="C6" s="5">
        <v>0.23425365316020708</v>
      </c>
      <c r="D6" s="5">
        <v>0.20169156627544349</v>
      </c>
      <c r="E6" s="5">
        <v>0.24438558696679671</v>
      </c>
      <c r="F6" s="5">
        <v>0.19113257538735198</v>
      </c>
      <c r="G6" s="5">
        <v>0.15584377585107806</v>
      </c>
      <c r="H6" s="6"/>
      <c r="I6" s="5" t="s">
        <v>14</v>
      </c>
      <c r="J6" s="3">
        <v>6.9379999999999997</v>
      </c>
      <c r="L6" s="6"/>
      <c r="M6" s="3" t="s">
        <v>16</v>
      </c>
      <c r="N6" s="3">
        <v>0.8</v>
      </c>
      <c r="O6" s="3">
        <f>$J$7*N6</f>
        <v>46.9544</v>
      </c>
      <c r="P6" s="8">
        <f>(O6)/$O$10</f>
        <v>0.48888706101248969</v>
      </c>
      <c r="Q6" s="6"/>
      <c r="S6" s="3"/>
      <c r="T6" s="3"/>
      <c r="U6" s="3"/>
      <c r="V6" s="8"/>
      <c r="X6" s="181" t="s">
        <v>17</v>
      </c>
      <c r="Y6" s="3">
        <v>1</v>
      </c>
      <c r="Z6" s="3">
        <v>55.844999999999999</v>
      </c>
      <c r="AA6" s="8">
        <f t="shared" ref="AA6:AA10" si="0">Z6/$Z$10</f>
        <v>0.44420493322409504</v>
      </c>
    </row>
    <row r="7" spans="2:27" x14ac:dyDescent="0.2">
      <c r="B7" s="3" t="s">
        <v>18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6"/>
      <c r="I7" s="5" t="s">
        <v>16</v>
      </c>
      <c r="J7" s="3">
        <v>58.692999999999998</v>
      </c>
      <c r="L7" s="6"/>
      <c r="M7" s="3" t="s">
        <v>20</v>
      </c>
      <c r="N7" s="3">
        <v>0.05</v>
      </c>
      <c r="O7" s="3">
        <f>$J$11*N7</f>
        <v>1.3491</v>
      </c>
      <c r="P7" s="88">
        <f>(O7)/$O$10</f>
        <v>1.4046767374558079E-2</v>
      </c>
      <c r="Q7" s="6"/>
      <c r="S7" s="3" t="s">
        <v>23</v>
      </c>
      <c r="T7" s="3">
        <v>1</v>
      </c>
      <c r="U7" s="3">
        <f>J9*T7</f>
        <v>58.933</v>
      </c>
      <c r="V7" s="8">
        <f>(U7)/$U$10</f>
        <v>0.60216207379251852</v>
      </c>
      <c r="X7" s="3"/>
      <c r="Y7" s="3"/>
      <c r="Z7" s="3"/>
      <c r="AA7" s="8">
        <f t="shared" si="0"/>
        <v>0</v>
      </c>
    </row>
    <row r="8" spans="2:27" x14ac:dyDescent="0.2">
      <c r="B8" s="3" t="s">
        <v>22</v>
      </c>
      <c r="C8" s="5">
        <v>1.1837724026395716E-2</v>
      </c>
      <c r="D8" s="5">
        <v>1.8148134160390732E-2</v>
      </c>
      <c r="E8" s="5">
        <v>2.2151166891221971E-2</v>
      </c>
      <c r="F8" s="5">
        <v>1.1240251861808109E-2</v>
      </c>
      <c r="G8" s="5">
        <v>1.2049910986963605E-2</v>
      </c>
      <c r="H8" s="6"/>
      <c r="I8" s="5" t="s">
        <v>19</v>
      </c>
      <c r="J8" s="3">
        <v>54.938000000000002</v>
      </c>
      <c r="L8" s="6"/>
      <c r="M8" s="3" t="s">
        <v>23</v>
      </c>
      <c r="N8" s="3">
        <v>0.15</v>
      </c>
      <c r="O8" s="3">
        <f>$J$9*N8</f>
        <v>8.83995</v>
      </c>
      <c r="P8" s="8">
        <f>(O8)/$O$10</f>
        <v>9.2041154290063515E-2</v>
      </c>
      <c r="Q8" s="6"/>
      <c r="S8" s="3"/>
      <c r="T8" s="3"/>
      <c r="U8" s="3"/>
      <c r="V8" s="8"/>
      <c r="X8" s="181" t="s">
        <v>21</v>
      </c>
      <c r="Y8" s="3">
        <v>1</v>
      </c>
      <c r="Z8" s="3">
        <v>30.974</v>
      </c>
      <c r="AA8" s="8">
        <f t="shared" si="0"/>
        <v>0.24637485185214647</v>
      </c>
    </row>
    <row r="9" spans="2:27" x14ac:dyDescent="0.2">
      <c r="B9" s="3" t="s">
        <v>24</v>
      </c>
      <c r="C9" s="5">
        <v>6.8239547569154929E-2</v>
      </c>
      <c r="D9" s="5">
        <v>7.2103499400766699E-2</v>
      </c>
      <c r="E9" s="5">
        <v>7.2273729804879325E-2</v>
      </c>
      <c r="F9" s="5">
        <v>8.2590566714795435E-2</v>
      </c>
      <c r="G9" s="5">
        <v>8.226626902307177E-2</v>
      </c>
      <c r="H9" s="6"/>
      <c r="I9" s="5" t="s">
        <v>23</v>
      </c>
      <c r="J9" s="3">
        <v>58.933</v>
      </c>
      <c r="L9" s="6"/>
      <c r="M9" s="3" t="s">
        <v>25</v>
      </c>
      <c r="N9" s="3">
        <v>2</v>
      </c>
      <c r="O9" s="3">
        <v>32</v>
      </c>
      <c r="P9" s="8">
        <f>O9/$O$10</f>
        <v>0.33318253353039695</v>
      </c>
      <c r="Q9" s="6"/>
      <c r="S9" s="3" t="s">
        <v>25</v>
      </c>
      <c r="T9" s="3">
        <v>2</v>
      </c>
      <c r="U9" s="3">
        <f>T9*J10</f>
        <v>31.998000000000001</v>
      </c>
      <c r="V9" s="8">
        <f>U9/$U$10</f>
        <v>0.32694724580817214</v>
      </c>
      <c r="X9" s="3" t="s">
        <v>25</v>
      </c>
      <c r="Y9" s="3">
        <v>4</v>
      </c>
      <c r="Z9" s="3">
        <v>32</v>
      </c>
      <c r="AA9" s="8">
        <f t="shared" si="0"/>
        <v>0.25453590944885024</v>
      </c>
    </row>
    <row r="10" spans="2:27" x14ac:dyDescent="0.2">
      <c r="B10" s="3" t="s">
        <v>26</v>
      </c>
      <c r="C10" s="5">
        <v>0.1800084821882818</v>
      </c>
      <c r="D10" s="5">
        <v>0.17255488299171634</v>
      </c>
      <c r="E10" s="5">
        <v>0.18412068926802197</v>
      </c>
      <c r="F10" s="5">
        <v>0.17516529522157706</v>
      </c>
      <c r="G10" s="5">
        <v>0.16829381452884734</v>
      </c>
      <c r="H10" s="6"/>
      <c r="I10" s="9" t="s">
        <v>25</v>
      </c>
      <c r="J10" s="10">
        <v>15.999000000000001</v>
      </c>
      <c r="L10" s="6"/>
      <c r="M10" s="3" t="s">
        <v>27</v>
      </c>
      <c r="N10" s="3"/>
      <c r="O10" s="3">
        <f>SUM(O5:O9)</f>
        <v>96.043449999999993</v>
      </c>
      <c r="P10" s="11">
        <f>SUM(P5:P9)</f>
        <v>1</v>
      </c>
      <c r="Q10" s="6"/>
      <c r="S10" s="3"/>
      <c r="T10" s="3"/>
      <c r="U10" s="3">
        <f>SUM(U5:U9)</f>
        <v>97.869</v>
      </c>
      <c r="V10" s="11">
        <f>SUM(V5:V9)</f>
        <v>0.99999999999999989</v>
      </c>
      <c r="X10" s="3" t="s">
        <v>27</v>
      </c>
      <c r="Y10" s="3"/>
      <c r="Z10" s="3">
        <f>SUM(Z5:Z9)</f>
        <v>125.71899999999999</v>
      </c>
      <c r="AA10" s="8">
        <f t="shared" si="0"/>
        <v>1</v>
      </c>
    </row>
    <row r="11" spans="2:27" x14ac:dyDescent="0.2">
      <c r="B11" s="3" t="s">
        <v>28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6"/>
      <c r="I11" s="5" t="s">
        <v>20</v>
      </c>
      <c r="J11" s="12">
        <v>26.981999999999999</v>
      </c>
      <c r="L11" s="6"/>
      <c r="Q11" s="6"/>
    </row>
    <row r="12" spans="2:27" x14ac:dyDescent="0.2">
      <c r="B12" s="3" t="s">
        <v>29</v>
      </c>
      <c r="C12" s="5">
        <v>1.3620293134094193E-2</v>
      </c>
      <c r="D12" s="5">
        <v>1.3847745042733589E-2</v>
      </c>
      <c r="E12" s="5">
        <v>1.3895599836990156E-2</v>
      </c>
      <c r="F12" s="5">
        <v>1.7839262977824281E-2</v>
      </c>
      <c r="G12" s="5">
        <v>1.3852249882046652E-2</v>
      </c>
      <c r="H12" s="6"/>
      <c r="I12" s="5" t="s">
        <v>17</v>
      </c>
      <c r="J12" s="12">
        <v>55.844999999999999</v>
      </c>
      <c r="L12" s="6"/>
      <c r="M12" s="3" t="s">
        <v>4</v>
      </c>
      <c r="N12" s="3" t="s">
        <v>30</v>
      </c>
      <c r="Q12" s="6"/>
      <c r="S12" s="3" t="s">
        <v>7</v>
      </c>
      <c r="T12" s="3" t="s">
        <v>30</v>
      </c>
      <c r="X12" s="3" t="s">
        <v>4</v>
      </c>
      <c r="Y12" s="3" t="s">
        <v>30</v>
      </c>
    </row>
    <row r="13" spans="2:27" x14ac:dyDescent="0.2">
      <c r="B13" s="3" t="s">
        <v>31</v>
      </c>
      <c r="C13" s="5">
        <v>3.8022944723585528E-2</v>
      </c>
      <c r="D13" s="5">
        <v>3.8657908396123625E-2</v>
      </c>
      <c r="E13" s="5">
        <v>3.8791501717417215E-2</v>
      </c>
      <c r="F13" s="5">
        <v>4.9800786476276407E-2</v>
      </c>
      <c r="G13" s="5">
        <v>3.867048428230338E-2</v>
      </c>
      <c r="H13" s="6"/>
      <c r="I13" s="5" t="s">
        <v>21</v>
      </c>
      <c r="J13" s="12">
        <v>30.974</v>
      </c>
      <c r="L13" s="6"/>
      <c r="M13" s="3" t="s">
        <v>14</v>
      </c>
      <c r="N13" s="12">
        <f>P5*C5</f>
        <v>2.4842759048315771E-2</v>
      </c>
      <c r="O13" s="75"/>
      <c r="Q13" s="6"/>
      <c r="S13" s="3" t="s">
        <v>14</v>
      </c>
      <c r="T13" s="12">
        <f>V5*K5</f>
        <v>0</v>
      </c>
      <c r="U13" s="75"/>
      <c r="X13" s="3" t="s">
        <v>14</v>
      </c>
      <c r="Y13" s="12">
        <f>AA5*N5</f>
        <v>5.4884305474908336E-2</v>
      </c>
      <c r="Z13" s="75"/>
    </row>
    <row r="14" spans="2:27" x14ac:dyDescent="0.2">
      <c r="B14" s="3" t="s">
        <v>32</v>
      </c>
      <c r="C14" s="5">
        <v>3.8022944723585528E-2</v>
      </c>
      <c r="D14" s="5">
        <v>3.8657908396123625E-2</v>
      </c>
      <c r="E14" s="5">
        <v>3.8791501717417215E-2</v>
      </c>
      <c r="F14" s="5">
        <v>4.9800786476276407E-2</v>
      </c>
      <c r="G14" s="5">
        <v>3.867048428230338E-2</v>
      </c>
      <c r="H14" s="6"/>
      <c r="I14" s="5" t="s">
        <v>38</v>
      </c>
      <c r="J14" s="12">
        <v>63.545999999999999</v>
      </c>
      <c r="L14" s="6"/>
      <c r="M14" s="3" t="s">
        <v>16</v>
      </c>
      <c r="N14" s="12">
        <f>P6*C5</f>
        <v>0.16905461528380258</v>
      </c>
      <c r="O14" s="75"/>
      <c r="Q14" s="6"/>
      <c r="S14" s="3"/>
      <c r="T14" s="12"/>
      <c r="U14" s="75"/>
      <c r="X14" s="3" t="s">
        <v>16</v>
      </c>
      <c r="Y14" s="12">
        <f>AA6*N5</f>
        <v>0.44420493322409504</v>
      </c>
      <c r="Z14" s="75"/>
    </row>
    <row r="15" spans="2:27" x14ac:dyDescent="0.2">
      <c r="B15" s="3" t="s">
        <v>33</v>
      </c>
      <c r="C15" s="5">
        <v>5.9609681627276296E-3</v>
      </c>
      <c r="D15" s="5">
        <v>6.5969595074415388E-3</v>
      </c>
      <c r="E15" s="5">
        <v>7.6484732792485143E-3</v>
      </c>
      <c r="F15" s="5">
        <v>7.9694732588119922E-3</v>
      </c>
      <c r="G15" s="5">
        <v>7.9304765306548574E-3</v>
      </c>
      <c r="H15" s="6"/>
      <c r="I15" s="5" t="s">
        <v>40</v>
      </c>
      <c r="J15" s="12">
        <v>12.010999999999999</v>
      </c>
      <c r="L15" s="6"/>
      <c r="M15" s="3" t="s">
        <v>34</v>
      </c>
      <c r="N15" s="87">
        <f>P7*C5</f>
        <v>4.8572994539250441E-3</v>
      </c>
      <c r="O15" s="75"/>
      <c r="Q15" s="6"/>
      <c r="S15" s="3" t="s">
        <v>23</v>
      </c>
      <c r="T15" s="12">
        <f>V7*K5</f>
        <v>0</v>
      </c>
      <c r="U15" s="75"/>
      <c r="X15" s="3" t="s">
        <v>34</v>
      </c>
      <c r="Y15" s="87">
        <f>AA7*N5</f>
        <v>0</v>
      </c>
      <c r="Z15" s="75"/>
    </row>
    <row r="16" spans="2:27" x14ac:dyDescent="0.2">
      <c r="B16" s="3" t="s">
        <v>35</v>
      </c>
      <c r="C16" s="5">
        <v>1.7563096328220931E-3</v>
      </c>
      <c r="D16" s="5">
        <v>1.8425849968472382E-3</v>
      </c>
      <c r="E16" s="5">
        <v>2.1605509276218294E-3</v>
      </c>
      <c r="F16" s="5">
        <v>2.0940767941867171E-3</v>
      </c>
      <c r="G16" s="5">
        <v>2.130987727760417E-3</v>
      </c>
      <c r="H16" s="6"/>
      <c r="I16" s="6"/>
      <c r="J16" s="6"/>
      <c r="L16" s="6"/>
      <c r="M16" s="3" t="s">
        <v>23</v>
      </c>
      <c r="N16" s="12">
        <f>P8*C5</f>
        <v>3.1827354760747675E-2</v>
      </c>
      <c r="O16" s="75"/>
      <c r="Q16" s="6"/>
      <c r="S16" s="3"/>
      <c r="T16" s="12"/>
      <c r="U16" s="75"/>
      <c r="X16" s="3" t="s">
        <v>23</v>
      </c>
      <c r="Y16" s="12">
        <f>AA8*N5</f>
        <v>0.24637485185214647</v>
      </c>
      <c r="Z16" s="75"/>
    </row>
    <row r="17" spans="2:27" x14ac:dyDescent="0.2">
      <c r="B17" s="3" t="s">
        <v>36</v>
      </c>
      <c r="C17" s="5">
        <v>1.8960231521061241E-3</v>
      </c>
      <c r="D17" s="5">
        <v>1.8810116310044498E-3</v>
      </c>
      <c r="E17" s="5">
        <v>1.9662562251833789E-3</v>
      </c>
      <c r="F17" s="5">
        <v>2.0173574074183686E-3</v>
      </c>
      <c r="G17" s="5">
        <v>1.8159295946473457E-3</v>
      </c>
      <c r="H17" s="6"/>
      <c r="I17" s="6"/>
      <c r="J17" s="6"/>
      <c r="L17" s="6"/>
      <c r="M17" s="3" t="s">
        <v>20</v>
      </c>
      <c r="N17" s="12">
        <f>C10</f>
        <v>0.1800084821882818</v>
      </c>
      <c r="O17" s="75"/>
      <c r="Q17" s="6"/>
      <c r="S17" s="3" t="s">
        <v>20</v>
      </c>
      <c r="T17" s="12">
        <f>K10</f>
        <v>0</v>
      </c>
      <c r="U17" s="75"/>
      <c r="X17" s="3" t="s">
        <v>20</v>
      </c>
      <c r="Y17" s="12">
        <f>N10</f>
        <v>0</v>
      </c>
      <c r="Z17" s="75"/>
    </row>
    <row r="18" spans="2:27" x14ac:dyDescent="0.2">
      <c r="B18" s="3" t="s">
        <v>37</v>
      </c>
      <c r="C18" s="5">
        <v>6.0039165421247051E-3</v>
      </c>
      <c r="D18" s="5">
        <v>6.0312326551140221E-3</v>
      </c>
      <c r="E18" s="5">
        <v>6.2427730719381101E-3</v>
      </c>
      <c r="F18" s="5">
        <v>6.6835575633989886E-3</v>
      </c>
      <c r="G18" s="5">
        <v>5.8231771230749406E-3</v>
      </c>
      <c r="H18" s="6"/>
      <c r="I18" s="6"/>
      <c r="J18" s="6"/>
      <c r="L18" s="6"/>
      <c r="M18" s="3" t="s">
        <v>38</v>
      </c>
      <c r="N18" s="12">
        <f>C9</f>
        <v>6.8239547569154929E-2</v>
      </c>
      <c r="O18" s="75"/>
      <c r="Q18" s="6"/>
      <c r="S18" s="3" t="s">
        <v>38</v>
      </c>
      <c r="T18" s="12">
        <f>K9</f>
        <v>0</v>
      </c>
      <c r="U18" s="75"/>
      <c r="X18" s="3" t="s">
        <v>38</v>
      </c>
      <c r="Y18" s="12">
        <f>N9</f>
        <v>2</v>
      </c>
      <c r="Z18" s="75"/>
    </row>
    <row r="19" spans="2:27" x14ac:dyDescent="0.2">
      <c r="B19" s="3" t="s">
        <v>39</v>
      </c>
      <c r="C19" s="5">
        <v>3.6804233527362351E-3</v>
      </c>
      <c r="D19" s="5">
        <v>3.3462431265472588E-3</v>
      </c>
      <c r="E19" s="5">
        <v>3.6908647171567627E-3</v>
      </c>
      <c r="F19" s="5">
        <v>3.1551864129688565E-3</v>
      </c>
      <c r="G19" s="5">
        <v>3.0298786415424357E-3</v>
      </c>
      <c r="H19" s="6"/>
      <c r="I19" s="130"/>
      <c r="J19" s="6"/>
      <c r="L19" s="6"/>
      <c r="M19" s="3" t="s">
        <v>40</v>
      </c>
      <c r="N19" s="12">
        <f>C6</f>
        <v>0.23425365316020708</v>
      </c>
      <c r="O19" s="75"/>
      <c r="Q19" s="6"/>
      <c r="S19" s="3" t="s">
        <v>40</v>
      </c>
      <c r="T19" s="12">
        <f>K6</f>
        <v>0</v>
      </c>
      <c r="U19" s="75"/>
      <c r="X19" s="3" t="s">
        <v>40</v>
      </c>
      <c r="Y19" s="12">
        <f>N6</f>
        <v>0.8</v>
      </c>
      <c r="Z19" s="75"/>
    </row>
    <row r="20" spans="2:27" x14ac:dyDescent="0.2">
      <c r="B20" s="3" t="s">
        <v>41</v>
      </c>
      <c r="C20" s="5">
        <v>3.1884860383727634E-2</v>
      </c>
      <c r="D20" s="5">
        <v>2.6098559501723042E-2</v>
      </c>
      <c r="E20" s="5">
        <v>2.9740316942285523E-2</v>
      </c>
      <c r="F20" s="5">
        <v>2.7000991777860816E-2</v>
      </c>
      <c r="G20" s="5">
        <v>2.0695033516595625E-2</v>
      </c>
      <c r="H20" s="6"/>
      <c r="I20" s="6"/>
      <c r="J20" s="6"/>
      <c r="L20" s="6"/>
      <c r="M20" s="4" t="s">
        <v>42</v>
      </c>
      <c r="N20" s="13">
        <f>SUM(N13:N19)</f>
        <v>0.71308371146443483</v>
      </c>
      <c r="P20" s="6"/>
      <c r="Q20" s="6"/>
      <c r="S20" s="4" t="s">
        <v>42</v>
      </c>
      <c r="T20" s="13">
        <f>SUM(T13:T19)</f>
        <v>0</v>
      </c>
      <c r="X20" s="4" t="s">
        <v>42</v>
      </c>
      <c r="Y20" s="13">
        <f>SUM(Y13:Y19)</f>
        <v>3.5454640905511496</v>
      </c>
      <c r="AA20" s="6"/>
    </row>
    <row r="21" spans="2:27" x14ac:dyDescent="0.2">
      <c r="B21" s="3" t="s">
        <v>43</v>
      </c>
      <c r="C21" s="5">
        <f>1-SUM(C5:C20)</f>
        <v>1.9017085115267673E-2</v>
      </c>
      <c r="D21" s="5">
        <f t="shared" ref="D21:G21" si="1">1-SUM(D5:D20)</f>
        <v>1.6880476526058064E-2</v>
      </c>
      <c r="E21" s="5">
        <f t="shared" si="1"/>
        <v>1.8757892120165764E-2</v>
      </c>
      <c r="F21" s="5">
        <f t="shared" si="1"/>
        <v>1.3870065828199163E-2</v>
      </c>
      <c r="G21" s="5">
        <f t="shared" si="1"/>
        <v>1.4325665518971409E-2</v>
      </c>
      <c r="H21" s="6"/>
      <c r="I21" s="6"/>
      <c r="J21" s="6"/>
      <c r="L21" s="6"/>
      <c r="M21" s="6"/>
      <c r="N21" s="6"/>
      <c r="O21" s="6"/>
      <c r="P21" s="6"/>
      <c r="Q21" s="6"/>
    </row>
    <row r="24" spans="2:27" x14ac:dyDescent="0.2">
      <c r="C24" s="1" t="s">
        <v>45</v>
      </c>
    </row>
    <row r="25" spans="2:27" x14ac:dyDescent="0.2">
      <c r="C25" s="1" t="s">
        <v>46</v>
      </c>
      <c r="N25" s="129"/>
    </row>
    <row r="26" spans="2:27" x14ac:dyDescent="0.2">
      <c r="C26" s="14" t="s">
        <v>8</v>
      </c>
      <c r="D26" s="15" t="s">
        <v>5</v>
      </c>
      <c r="E26" s="16" t="s">
        <v>7</v>
      </c>
      <c r="H26" s="17"/>
      <c r="I26" s="17"/>
      <c r="J26" s="17"/>
    </row>
    <row r="27" spans="2:27" x14ac:dyDescent="0.2">
      <c r="C27" s="18">
        <v>2275.5112106161296</v>
      </c>
      <c r="D27" s="19">
        <v>2336.6816135022586</v>
      </c>
      <c r="E27" s="20">
        <v>1583.5479357366601</v>
      </c>
    </row>
    <row r="30" spans="2:27" x14ac:dyDescent="0.2">
      <c r="C30" s="1" t="s">
        <v>47</v>
      </c>
    </row>
    <row r="31" spans="2:27" x14ac:dyDescent="0.2">
      <c r="C31" s="21" t="s">
        <v>48</v>
      </c>
      <c r="D31" s="22"/>
      <c r="E31" s="22"/>
      <c r="F31" s="22"/>
      <c r="G31" s="22"/>
      <c r="H31" s="22"/>
      <c r="I31" s="22"/>
      <c r="J31" s="22"/>
      <c r="K31" s="23"/>
    </row>
    <row r="32" spans="2:27" x14ac:dyDescent="0.2">
      <c r="C32" s="24" t="s">
        <v>8</v>
      </c>
      <c r="D32" s="24" t="s">
        <v>5</v>
      </c>
      <c r="E32" s="24" t="s">
        <v>7</v>
      </c>
      <c r="F32" s="24" t="s">
        <v>49</v>
      </c>
      <c r="G32" s="24" t="s">
        <v>6</v>
      </c>
      <c r="H32" s="24" t="s">
        <v>50</v>
      </c>
      <c r="I32" s="24" t="s">
        <v>51</v>
      </c>
      <c r="J32" s="24" t="s">
        <v>4</v>
      </c>
      <c r="K32" s="16" t="s">
        <v>52</v>
      </c>
    </row>
    <row r="33" spans="1:11" x14ac:dyDescent="0.2">
      <c r="A33" s="1" t="s">
        <v>53</v>
      </c>
      <c r="C33" s="25">
        <v>184.41410270248596</v>
      </c>
      <c r="D33" s="25">
        <v>214.78750010342952</v>
      </c>
      <c r="E33" s="25">
        <v>174.14246461584352</v>
      </c>
      <c r="F33" s="25">
        <v>240.66590054602386</v>
      </c>
      <c r="G33" s="25">
        <v>247.89184172595316</v>
      </c>
      <c r="H33" s="25">
        <f>28000/160</f>
        <v>175</v>
      </c>
      <c r="I33" s="25">
        <f>28000/140</f>
        <v>200</v>
      </c>
      <c r="J33" s="25">
        <v>250.91917856309701</v>
      </c>
      <c r="K33" s="26">
        <v>224.74087374227938</v>
      </c>
    </row>
    <row r="34" spans="1:11" x14ac:dyDescent="0.2">
      <c r="A34" s="1">
        <v>27</v>
      </c>
      <c r="B34" s="1" t="s">
        <v>54</v>
      </c>
      <c r="C34" s="1">
        <f t="shared" ref="C34:K34" si="2">$A$34/(C33/1000)</f>
        <v>146.40962705308345</v>
      </c>
      <c r="D34" s="1">
        <f t="shared" si="2"/>
        <v>125.70563923411895</v>
      </c>
      <c r="E34" s="1">
        <f t="shared" si="2"/>
        <v>155.04546843046998</v>
      </c>
      <c r="F34" s="1">
        <f t="shared" si="2"/>
        <v>112.18872278433413</v>
      </c>
      <c r="G34" s="1">
        <f t="shared" si="2"/>
        <v>108.91846949061261</v>
      </c>
      <c r="H34" s="1">
        <f t="shared" si="2"/>
        <v>154.28571428571431</v>
      </c>
      <c r="I34" s="1">
        <f t="shared" si="2"/>
        <v>135</v>
      </c>
      <c r="J34" s="1">
        <f t="shared" si="2"/>
        <v>107.60436948110959</v>
      </c>
      <c r="K34" s="1">
        <f t="shared" si="2"/>
        <v>120.13836001617638</v>
      </c>
    </row>
    <row r="39" spans="1:11" x14ac:dyDescent="0.2">
      <c r="A39" s="90"/>
      <c r="B39" s="90"/>
      <c r="C39" s="90"/>
      <c r="D39" s="90"/>
      <c r="E39" s="90"/>
      <c r="F39" s="90"/>
      <c r="G39" s="90"/>
      <c r="H39" s="90"/>
      <c r="I39" s="90"/>
      <c r="J39" s="90"/>
      <c r="K39" s="90"/>
    </row>
    <row r="40" spans="1:11" x14ac:dyDescent="0.2">
      <c r="A40" s="90"/>
      <c r="B40" s="90"/>
      <c r="C40" s="90"/>
      <c r="D40" s="90"/>
      <c r="E40" s="90"/>
      <c r="F40" s="90"/>
      <c r="G40" s="90"/>
      <c r="H40" s="90"/>
      <c r="I40" s="90"/>
      <c r="J40" s="90"/>
      <c r="K40" s="90"/>
    </row>
    <row r="41" spans="1:11" x14ac:dyDescent="0.2">
      <c r="G41" s="89"/>
    </row>
    <row r="42" spans="1:11" x14ac:dyDescent="0.2">
      <c r="G42" s="89"/>
    </row>
    <row r="43" spans="1:11" x14ac:dyDescent="0.2">
      <c r="G43" s="89"/>
    </row>
    <row r="44" spans="1:11" x14ac:dyDescent="0.2">
      <c r="G44" s="89"/>
    </row>
    <row r="45" spans="1:11" x14ac:dyDescent="0.2">
      <c r="G45" s="89"/>
    </row>
    <row r="46" spans="1:11" x14ac:dyDescent="0.2">
      <c r="G46" s="89"/>
    </row>
    <row r="47" spans="1:11" x14ac:dyDescent="0.2">
      <c r="G47" s="89"/>
    </row>
    <row r="48" spans="1:11" x14ac:dyDescent="0.2">
      <c r="G48" s="89"/>
    </row>
    <row r="49" spans="7:7" x14ac:dyDescent="0.2">
      <c r="G49" s="89"/>
    </row>
    <row r="50" spans="7:7" x14ac:dyDescent="0.2">
      <c r="G50" s="89"/>
    </row>
    <row r="51" spans="7:7" x14ac:dyDescent="0.2">
      <c r="G51" s="89"/>
    </row>
    <row r="52" spans="7:7" x14ac:dyDescent="0.2">
      <c r="G52" s="89"/>
    </row>
    <row r="53" spans="7:7" x14ac:dyDescent="0.2">
      <c r="G53" s="89"/>
    </row>
    <row r="54" spans="7:7" x14ac:dyDescent="0.2">
      <c r="G54" s="89"/>
    </row>
    <row r="55" spans="7:7" x14ac:dyDescent="0.2">
      <c r="G55" s="89"/>
    </row>
    <row r="56" spans="7:7" x14ac:dyDescent="0.2">
      <c r="G56" s="89"/>
    </row>
    <row r="57" spans="7:7" x14ac:dyDescent="0.2">
      <c r="G57" s="89"/>
    </row>
    <row r="58" spans="7:7" x14ac:dyDescent="0.2">
      <c r="G58" s="89"/>
    </row>
    <row r="59" spans="7:7" x14ac:dyDescent="0.2">
      <c r="G59" s="89"/>
    </row>
    <row r="60" spans="7:7" x14ac:dyDescent="0.2">
      <c r="G60" s="89"/>
    </row>
    <row r="61" spans="7:7" x14ac:dyDescent="0.2">
      <c r="G61" s="89"/>
    </row>
    <row r="62" spans="7:7" x14ac:dyDescent="0.2">
      <c r="G62" s="89"/>
    </row>
    <row r="63" spans="7:7" x14ac:dyDescent="0.2">
      <c r="G63" s="89"/>
    </row>
    <row r="64" spans="7:7" x14ac:dyDescent="0.2">
      <c r="G64" s="89"/>
    </row>
    <row r="65" spans="7:7" x14ac:dyDescent="0.2">
      <c r="G65" s="89"/>
    </row>
  </sheetData>
  <mergeCells count="4">
    <mergeCell ref="S2:V2"/>
    <mergeCell ref="B3:G3"/>
    <mergeCell ref="M2:P2"/>
    <mergeCell ref="X2:AA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FC999-2ADC-4344-9A2B-30B575F4DD0B}">
  <sheetPr>
    <tabColor theme="5" tint="0.39997558519241921"/>
  </sheetPr>
  <dimension ref="B1:H35"/>
  <sheetViews>
    <sheetView workbookViewId="0">
      <selection activeCell="H4" sqref="H4"/>
    </sheetView>
  </sheetViews>
  <sheetFormatPr baseColWidth="10" defaultColWidth="8.83203125" defaultRowHeight="15" x14ac:dyDescent="0.2"/>
  <cols>
    <col min="1" max="1" width="10.1640625" customWidth="1"/>
    <col min="2" max="2" width="20.1640625" bestFit="1" customWidth="1"/>
    <col min="3" max="3" width="12.83203125" customWidth="1"/>
    <col min="4" max="4" width="22.6640625" bestFit="1" customWidth="1"/>
    <col min="5" max="5" width="10.5" customWidth="1"/>
    <col min="7" max="7" width="11.83203125" customWidth="1"/>
    <col min="8" max="8" width="25.1640625" bestFit="1" customWidth="1"/>
  </cols>
  <sheetData>
    <row r="1" spans="2:8" ht="16" thickBot="1" x14ac:dyDescent="0.25"/>
    <row r="2" spans="2:8" x14ac:dyDescent="0.2">
      <c r="B2" s="212" t="s">
        <v>143</v>
      </c>
      <c r="C2" s="213"/>
      <c r="D2" s="214"/>
      <c r="G2" s="212" t="s">
        <v>270</v>
      </c>
      <c r="H2" s="214"/>
    </row>
    <row r="3" spans="2:8" x14ac:dyDescent="0.2">
      <c r="B3" s="76" t="s">
        <v>108</v>
      </c>
      <c r="C3" s="30" t="s">
        <v>109</v>
      </c>
      <c r="D3" s="77" t="s">
        <v>110</v>
      </c>
      <c r="G3" s="76" t="s">
        <v>271</v>
      </c>
      <c r="H3" s="175" t="s">
        <v>272</v>
      </c>
    </row>
    <row r="4" spans="2:8" x14ac:dyDescent="0.2">
      <c r="B4" s="76" t="s">
        <v>105</v>
      </c>
      <c r="C4" s="56"/>
      <c r="D4" s="55"/>
      <c r="G4" s="48" t="s">
        <v>77</v>
      </c>
      <c r="H4" s="49">
        <v>25</v>
      </c>
    </row>
    <row r="5" spans="2:8" ht="16" thickBot="1" x14ac:dyDescent="0.25">
      <c r="B5" s="48" t="s">
        <v>56</v>
      </c>
      <c r="C5" s="41" t="s">
        <v>56</v>
      </c>
      <c r="D5" s="42">
        <v>1</v>
      </c>
      <c r="G5" s="33" t="s">
        <v>78</v>
      </c>
      <c r="H5" s="50">
        <v>298</v>
      </c>
    </row>
    <row r="6" spans="2:8" x14ac:dyDescent="0.2">
      <c r="B6" s="48" t="s">
        <v>69</v>
      </c>
      <c r="C6" s="41" t="s">
        <v>56</v>
      </c>
      <c r="D6" s="42">
        <f>1/1000</f>
        <v>1E-3</v>
      </c>
    </row>
    <row r="7" spans="2:8" x14ac:dyDescent="0.2">
      <c r="B7" s="48" t="s">
        <v>71</v>
      </c>
      <c r="C7" s="41" t="s">
        <v>56</v>
      </c>
      <c r="D7" s="42">
        <f>1/1000000</f>
        <v>9.9999999999999995E-7</v>
      </c>
    </row>
    <row r="8" spans="2:8" x14ac:dyDescent="0.2">
      <c r="B8" s="48" t="s">
        <v>79</v>
      </c>
      <c r="C8" s="41" t="s">
        <v>56</v>
      </c>
      <c r="D8" s="42">
        <f>1/1000000000</f>
        <v>1.0000000000000001E-9</v>
      </c>
    </row>
    <row r="9" spans="2:8" x14ac:dyDescent="0.2">
      <c r="B9" s="48" t="s">
        <v>161</v>
      </c>
      <c r="C9" s="41" t="s">
        <v>56</v>
      </c>
      <c r="D9" s="42">
        <v>907.18499999999995</v>
      </c>
    </row>
    <row r="10" spans="2:8" x14ac:dyDescent="0.2">
      <c r="B10" s="57" t="s">
        <v>104</v>
      </c>
      <c r="C10" s="38" t="s">
        <v>56</v>
      </c>
      <c r="D10" s="82">
        <v>1000</v>
      </c>
    </row>
    <row r="11" spans="2:8" x14ac:dyDescent="0.2">
      <c r="B11" s="76" t="s">
        <v>106</v>
      </c>
      <c r="C11" s="56"/>
      <c r="D11" s="55"/>
    </row>
    <row r="12" spans="2:8" x14ac:dyDescent="0.2">
      <c r="B12" s="48" t="s">
        <v>83</v>
      </c>
      <c r="C12" s="41" t="s">
        <v>83</v>
      </c>
      <c r="D12" s="42">
        <v>1</v>
      </c>
    </row>
    <row r="13" spans="2:8" x14ac:dyDescent="0.2">
      <c r="B13" s="48" t="s">
        <v>82</v>
      </c>
      <c r="C13" s="41" t="s">
        <v>83</v>
      </c>
      <c r="D13" s="42">
        <f>1/1000</f>
        <v>1E-3</v>
      </c>
    </row>
    <row r="14" spans="2:8" x14ac:dyDescent="0.2">
      <c r="B14" s="57" t="s">
        <v>87</v>
      </c>
      <c r="C14" s="51" t="s">
        <v>83</v>
      </c>
      <c r="D14" s="58">
        <f>1/1000000</f>
        <v>9.9999999999999995E-7</v>
      </c>
    </row>
    <row r="15" spans="2:8" x14ac:dyDescent="0.2">
      <c r="B15" s="57" t="s">
        <v>116</v>
      </c>
      <c r="C15" s="51" t="s">
        <v>83</v>
      </c>
      <c r="D15" s="58">
        <v>1055.0558530000001</v>
      </c>
    </row>
    <row r="16" spans="2:8" x14ac:dyDescent="0.2">
      <c r="B16" s="76" t="s">
        <v>107</v>
      </c>
      <c r="C16" s="56"/>
      <c r="D16" s="55"/>
    </row>
    <row r="17" spans="2:4" x14ac:dyDescent="0.2">
      <c r="B17" s="48" t="s">
        <v>85</v>
      </c>
      <c r="C17" s="41" t="s">
        <v>85</v>
      </c>
      <c r="D17" s="42">
        <v>1</v>
      </c>
    </row>
    <row r="18" spans="2:4" x14ac:dyDescent="0.2">
      <c r="B18" s="48" t="s">
        <v>88</v>
      </c>
      <c r="C18" s="41" t="s">
        <v>85</v>
      </c>
      <c r="D18" s="42">
        <v>1000000</v>
      </c>
    </row>
    <row r="19" spans="2:4" x14ac:dyDescent="0.2">
      <c r="B19" s="48" t="s">
        <v>145</v>
      </c>
      <c r="C19" s="41" t="s">
        <v>85</v>
      </c>
      <c r="D19" s="42">
        <v>1E-3</v>
      </c>
    </row>
    <row r="20" spans="2:4" x14ac:dyDescent="0.2">
      <c r="B20" s="48" t="s">
        <v>146</v>
      </c>
      <c r="C20" s="41" t="s">
        <v>85</v>
      </c>
      <c r="D20" s="42">
        <v>1000</v>
      </c>
    </row>
    <row r="21" spans="2:4" x14ac:dyDescent="0.2">
      <c r="B21" s="48" t="s">
        <v>137</v>
      </c>
      <c r="C21" s="41" t="s">
        <v>85</v>
      </c>
      <c r="D21" s="42">
        <v>3785.4117799999999</v>
      </c>
    </row>
    <row r="22" spans="2:4" x14ac:dyDescent="0.2">
      <c r="B22" s="46" t="s">
        <v>111</v>
      </c>
      <c r="C22" s="54"/>
      <c r="D22" s="59"/>
    </row>
    <row r="23" spans="2:4" x14ac:dyDescent="0.2">
      <c r="B23" s="48" t="s">
        <v>55</v>
      </c>
      <c r="C23" s="41" t="s">
        <v>55</v>
      </c>
      <c r="D23" s="42">
        <v>1</v>
      </c>
    </row>
    <row r="24" spans="2:4" ht="16" thickBot="1" x14ac:dyDescent="0.25">
      <c r="B24" s="33" t="str">
        <f>""</f>
        <v/>
      </c>
      <c r="C24" s="52" t="str">
        <f>""</f>
        <v/>
      </c>
      <c r="D24" s="34">
        <v>0</v>
      </c>
    </row>
    <row r="35" ht="15" customHeight="1" x14ac:dyDescent="0.2"/>
  </sheetData>
  <mergeCells count="2">
    <mergeCell ref="B2:D2"/>
    <mergeCell ref="G2:H2"/>
  </mergeCells>
  <phoneticPr fontId="13" type="noConversion"/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55DA0-3B47-4EA5-98B0-934FFFCF35E4}">
  <sheetPr>
    <tabColor theme="9" tint="0.59999389629810485"/>
  </sheetPr>
  <dimension ref="A1:AA84"/>
  <sheetViews>
    <sheetView zoomScale="80" zoomScaleNormal="80" workbookViewId="0">
      <selection activeCell="G16" sqref="G16:G26"/>
    </sheetView>
  </sheetViews>
  <sheetFormatPr baseColWidth="10" defaultColWidth="8.83203125" defaultRowHeight="15" x14ac:dyDescent="0.2"/>
  <cols>
    <col min="1" max="1" width="29.83203125" customWidth="1"/>
    <col min="2" max="2" width="28" bestFit="1" customWidth="1"/>
    <col min="3" max="4" width="27.5" customWidth="1"/>
    <col min="5" max="5" width="12.83203125" customWidth="1"/>
    <col min="6" max="6" width="24.5" bestFit="1" customWidth="1"/>
    <col min="7" max="7" width="18.5" customWidth="1"/>
    <col min="8" max="8" width="23.6640625" customWidth="1"/>
    <col min="9" max="9" width="34" bestFit="1" customWidth="1"/>
    <col min="10" max="10" width="21.33203125" customWidth="1"/>
    <col min="11" max="11" width="11" customWidth="1"/>
    <col min="12" max="12" width="15.1640625" customWidth="1"/>
    <col min="13" max="13" width="14.5" customWidth="1"/>
    <col min="14" max="15" width="10" customWidth="1"/>
    <col min="16" max="16" width="18.83203125" customWidth="1"/>
    <col min="17" max="17" width="22.83203125" customWidth="1"/>
    <col min="18" max="18" width="16.6640625" customWidth="1"/>
    <col min="19" max="19" width="12.83203125" customWidth="1"/>
    <col min="22" max="22" width="28.83203125" bestFit="1" customWidth="1"/>
    <col min="23" max="23" width="14.1640625" customWidth="1"/>
    <col min="24" max="24" width="42.83203125" customWidth="1"/>
    <col min="25" max="25" width="41.6640625" bestFit="1" customWidth="1"/>
    <col min="26" max="26" width="25.33203125" customWidth="1"/>
  </cols>
  <sheetData>
    <row r="1" spans="1:10" ht="16" thickBot="1" x14ac:dyDescent="0.25"/>
    <row r="2" spans="1:10" ht="19" x14ac:dyDescent="0.25">
      <c r="A2" s="212" t="s">
        <v>243</v>
      </c>
      <c r="B2" s="214"/>
      <c r="F2" s="215" t="s">
        <v>233</v>
      </c>
      <c r="G2" s="216"/>
      <c r="H2" s="216"/>
      <c r="I2" s="216"/>
      <c r="J2" s="217"/>
    </row>
    <row r="3" spans="1:10" ht="31.25" customHeight="1" x14ac:dyDescent="0.2">
      <c r="A3" s="29" t="s">
        <v>57</v>
      </c>
      <c r="B3" s="94" t="s">
        <v>151</v>
      </c>
      <c r="F3" s="46"/>
      <c r="G3" s="110" t="s">
        <v>149</v>
      </c>
      <c r="H3" s="110" t="s">
        <v>112</v>
      </c>
      <c r="I3" s="110" t="s">
        <v>113</v>
      </c>
      <c r="J3" s="109" t="s">
        <v>114</v>
      </c>
    </row>
    <row r="4" spans="1:10" ht="33" thickBot="1" x14ac:dyDescent="0.25">
      <c r="A4" s="33" t="s">
        <v>16</v>
      </c>
      <c r="B4" s="34">
        <f>VLOOKUP(A4,NCA_Composition,4,FALSE)</f>
        <v>0.48888706101248969</v>
      </c>
      <c r="F4" s="62"/>
      <c r="G4" s="120" t="s">
        <v>148</v>
      </c>
      <c r="H4" s="121" t="s">
        <v>115</v>
      </c>
      <c r="I4" s="121" t="s">
        <v>115</v>
      </c>
      <c r="J4" s="111" t="s">
        <v>115</v>
      </c>
    </row>
    <row r="5" spans="1:10" ht="33" thickBot="1" x14ac:dyDescent="0.25">
      <c r="F5" s="62"/>
      <c r="G5" s="118" t="s">
        <v>169</v>
      </c>
      <c r="H5" s="119"/>
      <c r="I5" s="85"/>
      <c r="J5" s="71"/>
    </row>
    <row r="6" spans="1:10" x14ac:dyDescent="0.2">
      <c r="A6" s="218" t="s">
        <v>147</v>
      </c>
      <c r="B6" s="219"/>
      <c r="C6" s="219"/>
      <c r="D6" s="220"/>
      <c r="F6" s="67" t="s">
        <v>142</v>
      </c>
      <c r="G6" s="37" t="s">
        <v>83</v>
      </c>
      <c r="H6" s="95">
        <v>23.833066022917048</v>
      </c>
      <c r="I6" s="95">
        <v>116.93976421567818</v>
      </c>
      <c r="J6" s="68">
        <v>132.81634947667786</v>
      </c>
    </row>
    <row r="7" spans="1:10" x14ac:dyDescent="0.2">
      <c r="A7" s="46"/>
      <c r="B7" s="80" t="s">
        <v>164</v>
      </c>
      <c r="C7" s="80" t="s">
        <v>154</v>
      </c>
      <c r="D7" s="80" t="s">
        <v>166</v>
      </c>
      <c r="F7" s="47" t="s">
        <v>89</v>
      </c>
      <c r="G7" s="36" t="s">
        <v>83</v>
      </c>
      <c r="H7" s="41">
        <v>23.728346478391948</v>
      </c>
      <c r="I7" s="41">
        <v>113.9458875532554</v>
      </c>
      <c r="J7" s="42">
        <v>128.24065653642862</v>
      </c>
    </row>
    <row r="8" spans="1:10" x14ac:dyDescent="0.2">
      <c r="A8" s="44" t="s">
        <v>121</v>
      </c>
      <c r="B8" s="59"/>
      <c r="C8" s="59"/>
      <c r="D8" s="59"/>
      <c r="F8" s="47" t="s">
        <v>91</v>
      </c>
      <c r="G8" s="36" t="s">
        <v>83</v>
      </c>
      <c r="H8" s="41">
        <v>0.14109580736013053</v>
      </c>
      <c r="I8" s="41">
        <v>10.718872115389916</v>
      </c>
      <c r="J8" s="42">
        <v>16.932599194210663</v>
      </c>
    </row>
    <row r="9" spans="1:10" x14ac:dyDescent="0.2">
      <c r="A9" s="43" t="s">
        <v>126</v>
      </c>
      <c r="B9" s="49">
        <f t="shared" ref="B9:B19" si="0">($J16*$B$39)*$B$4</f>
        <v>2.9077990966517096E-3</v>
      </c>
      <c r="C9" s="49">
        <f t="shared" ref="C9:C19" si="1">($H16*$B$39)*$B$4</f>
        <v>3.7356351764549183E-4</v>
      </c>
      <c r="D9" s="42">
        <f>B9-C9</f>
        <v>2.5342355790062177E-3</v>
      </c>
      <c r="F9" s="47" t="s">
        <v>90</v>
      </c>
      <c r="G9" s="36" t="s">
        <v>83</v>
      </c>
      <c r="H9" s="41">
        <v>1.6479549375265246</v>
      </c>
      <c r="I9" s="41">
        <v>40.443790406587411</v>
      </c>
      <c r="J9" s="42">
        <v>47.727861461554149</v>
      </c>
    </row>
    <row r="10" spans="1:10" x14ac:dyDescent="0.2">
      <c r="A10" s="43" t="s">
        <v>127</v>
      </c>
      <c r="B10" s="49">
        <f t="shared" si="0"/>
        <v>1.5359726893650467E-2</v>
      </c>
      <c r="C10" s="49">
        <f t="shared" si="1"/>
        <v>1.4908438292645491E-3</v>
      </c>
      <c r="D10" s="42">
        <f t="shared" ref="D10:D19" si="2">B10-C10</f>
        <v>1.3868883064385917E-2</v>
      </c>
      <c r="F10" s="47" t="s">
        <v>92</v>
      </c>
      <c r="G10" s="36" t="s">
        <v>83</v>
      </c>
      <c r="H10" s="41">
        <v>21.939295733505297</v>
      </c>
      <c r="I10" s="41">
        <v>62.783225031278079</v>
      </c>
      <c r="J10" s="42">
        <v>63.580195880663815</v>
      </c>
    </row>
    <row r="11" spans="1:10" x14ac:dyDescent="0.2">
      <c r="A11" s="43" t="s">
        <v>128</v>
      </c>
      <c r="B11" s="49">
        <f t="shared" si="0"/>
        <v>3.2018897822625396E-2</v>
      </c>
      <c r="C11" s="49">
        <f t="shared" si="1"/>
        <v>9.3903836542867884E-3</v>
      </c>
      <c r="D11" s="42">
        <f t="shared" si="2"/>
        <v>2.2628514168338609E-2</v>
      </c>
      <c r="F11" s="47" t="s">
        <v>93</v>
      </c>
      <c r="G11" s="36" t="s">
        <v>83</v>
      </c>
      <c r="H11" s="41">
        <v>0.10471954452509687</v>
      </c>
      <c r="I11" s="41">
        <v>2.9927743514277685</v>
      </c>
      <c r="J11" s="42">
        <v>4.5756929402492332</v>
      </c>
    </row>
    <row r="12" spans="1:10" x14ac:dyDescent="0.2">
      <c r="A12" s="43" t="s">
        <v>129</v>
      </c>
      <c r="B12" s="49">
        <f t="shared" si="0"/>
        <v>2.8256691182572268E-3</v>
      </c>
      <c r="C12" s="49">
        <f t="shared" si="1"/>
        <v>6.2009554621716479E-4</v>
      </c>
      <c r="D12" s="42">
        <f t="shared" si="2"/>
        <v>2.2055735720400618E-3</v>
      </c>
      <c r="F12" s="47" t="s">
        <v>95</v>
      </c>
      <c r="G12" s="36" t="s">
        <v>83</v>
      </c>
      <c r="H12" s="41">
        <v>5.2910927760048944E-2</v>
      </c>
      <c r="I12" s="41">
        <v>1.5112683741463979</v>
      </c>
      <c r="J12" s="42">
        <v>2.5937377712373992</v>
      </c>
    </row>
    <row r="13" spans="1:10" x14ac:dyDescent="0.2">
      <c r="A13" s="43" t="s">
        <v>130</v>
      </c>
      <c r="B13" s="49">
        <f t="shared" si="0"/>
        <v>2.1684871977131416E-3</v>
      </c>
      <c r="C13" s="49">
        <f t="shared" si="1"/>
        <v>5.5245909342170867E-4</v>
      </c>
      <c r="D13" s="42">
        <f t="shared" si="2"/>
        <v>1.616028104291433E-3</v>
      </c>
      <c r="F13" s="47" t="s">
        <v>94</v>
      </c>
      <c r="G13" s="36" t="s">
        <v>83</v>
      </c>
      <c r="H13" s="41">
        <v>5.1808616765047923E-2</v>
      </c>
      <c r="I13" s="41">
        <v>1.4815059772813706</v>
      </c>
      <c r="J13" s="42">
        <v>1.9819551690118333</v>
      </c>
    </row>
    <row r="14" spans="1:10" x14ac:dyDescent="0.2">
      <c r="A14" s="43" t="s">
        <v>131</v>
      </c>
      <c r="B14" s="49">
        <f t="shared" si="0"/>
        <v>0.21419057875777509</v>
      </c>
      <c r="C14" s="49">
        <f t="shared" si="1"/>
        <v>5.6769150463950886E-3</v>
      </c>
      <c r="D14" s="42">
        <f t="shared" si="2"/>
        <v>0.20851366371138</v>
      </c>
      <c r="F14" s="47" t="s">
        <v>96</v>
      </c>
      <c r="G14" s="36" t="s">
        <v>83</v>
      </c>
      <c r="H14" s="41">
        <v>3.788642889818505E-3</v>
      </c>
      <c r="I14" s="41">
        <v>0.10692416651509891</v>
      </c>
      <c r="J14" s="42">
        <v>0.23479224193521719</v>
      </c>
    </row>
    <row r="15" spans="1:10" x14ac:dyDescent="0.2">
      <c r="A15" s="43" t="s">
        <v>132</v>
      </c>
      <c r="B15" s="49">
        <f t="shared" si="0"/>
        <v>1.9452584848104912E-4</v>
      </c>
      <c r="C15" s="49">
        <f t="shared" si="1"/>
        <v>5.4488409489539395E-5</v>
      </c>
      <c r="D15" s="42">
        <f>B15-C15</f>
        <v>1.4003743899150973E-4</v>
      </c>
      <c r="F15" s="67" t="s">
        <v>84</v>
      </c>
      <c r="G15" s="37" t="s">
        <v>85</v>
      </c>
      <c r="H15" s="95">
        <v>3770.6752205999883</v>
      </c>
      <c r="I15" s="95">
        <v>22621.736470510426</v>
      </c>
      <c r="J15" s="68">
        <v>30940.105932086622</v>
      </c>
    </row>
    <row r="16" spans="1:10" x14ac:dyDescent="0.2">
      <c r="A16" s="43" t="s">
        <v>133</v>
      </c>
      <c r="B16" s="49">
        <f t="shared" si="0"/>
        <v>3.8962007051500131E-4</v>
      </c>
      <c r="C16" s="49">
        <f t="shared" si="1"/>
        <v>1.0014614118101325E-4</v>
      </c>
      <c r="D16" s="42">
        <f t="shared" si="2"/>
        <v>2.8947392933398807E-4</v>
      </c>
      <c r="F16" s="67" t="s">
        <v>70</v>
      </c>
      <c r="G16" s="37" t="s">
        <v>56</v>
      </c>
      <c r="H16" s="95">
        <v>2.8979756058576813E-4</v>
      </c>
      <c r="I16" s="95">
        <v>2.112358559720454E-3</v>
      </c>
      <c r="J16" s="68">
        <v>2.2557692201700869E-3</v>
      </c>
    </row>
    <row r="17" spans="1:10" x14ac:dyDescent="0.2">
      <c r="A17" s="43" t="s">
        <v>134</v>
      </c>
      <c r="B17" s="49">
        <f t="shared" si="0"/>
        <v>2.1025984935928627E-2</v>
      </c>
      <c r="C17" s="49">
        <f t="shared" si="1"/>
        <v>2.6804496754905122E-3</v>
      </c>
      <c r="D17" s="42">
        <f t="shared" si="2"/>
        <v>1.8345535260438115E-2</v>
      </c>
      <c r="F17" s="47" t="s">
        <v>72</v>
      </c>
      <c r="G17" s="36" t="s">
        <v>56</v>
      </c>
      <c r="H17" s="41">
        <v>1.1565446959550699E-3</v>
      </c>
      <c r="I17" s="41">
        <v>1.1367912829246516E-2</v>
      </c>
      <c r="J17" s="42">
        <v>1.1915540931563022E-2</v>
      </c>
    </row>
    <row r="18" spans="1:10" x14ac:dyDescent="0.2">
      <c r="A18" s="43" t="s">
        <v>135</v>
      </c>
      <c r="B18" s="49">
        <f>($J25*$B$39)*$B$4</f>
        <v>2.2308661951442454E-4</v>
      </c>
      <c r="C18" s="49">
        <f>($H25*$B$39)*$B$4</f>
        <v>3.4773520246769757E-5</v>
      </c>
      <c r="D18" s="42">
        <f t="shared" si="2"/>
        <v>1.8831309926765479E-4</v>
      </c>
      <c r="F18" s="47" t="s">
        <v>73</v>
      </c>
      <c r="G18" s="36" t="s">
        <v>56</v>
      </c>
      <c r="H18" s="41">
        <v>7.2847324415637391E-3</v>
      </c>
      <c r="I18" s="41">
        <v>2.3687009816079411E-2</v>
      </c>
      <c r="J18" s="42">
        <v>2.4839145268054478E-2</v>
      </c>
    </row>
    <row r="19" spans="1:10" x14ac:dyDescent="0.2">
      <c r="A19" s="43" t="s">
        <v>136</v>
      </c>
      <c r="B19" s="49">
        <f t="shared" si="0"/>
        <v>12.469365355508435</v>
      </c>
      <c r="C19" s="49">
        <f t="shared" si="1"/>
        <v>2.4407291776702169</v>
      </c>
      <c r="D19" s="42">
        <f t="shared" si="2"/>
        <v>10.028636177838218</v>
      </c>
      <c r="F19" s="47" t="s">
        <v>74</v>
      </c>
      <c r="G19" s="36" t="s">
        <v>56</v>
      </c>
      <c r="H19" s="41">
        <v>4.8104851821844502E-4</v>
      </c>
      <c r="I19" s="41">
        <v>2.0490859086073955E-3</v>
      </c>
      <c r="J19" s="42">
        <v>2.1920556446590276E-3</v>
      </c>
    </row>
    <row r="20" spans="1:10" x14ac:dyDescent="0.2">
      <c r="A20" s="44" t="s">
        <v>122</v>
      </c>
      <c r="B20" s="59"/>
      <c r="C20" s="59"/>
      <c r="D20" s="59"/>
      <c r="F20" s="47" t="s">
        <v>75</v>
      </c>
      <c r="G20" s="36" t="s">
        <v>56</v>
      </c>
      <c r="H20" s="41">
        <v>4.2857851485639644E-4</v>
      </c>
      <c r="I20" s="41">
        <v>1.5963667829604767E-3</v>
      </c>
      <c r="J20" s="42">
        <v>1.6822368094710561E-3</v>
      </c>
    </row>
    <row r="21" spans="1:10" x14ac:dyDescent="0.2">
      <c r="A21" s="72" t="s">
        <v>142</v>
      </c>
      <c r="B21" s="49">
        <f t="shared" ref="B21:B29" si="3">($J6*$B$39)*$B$4</f>
        <v>171.20690253932165</v>
      </c>
      <c r="C21" s="49">
        <f t="shared" ref="C21:C29" si="4">($H6*$B$39)*$B$4</f>
        <v>30.722011468289001</v>
      </c>
      <c r="D21" s="42">
        <f>B21-C21</f>
        <v>140.48489107103265</v>
      </c>
      <c r="F21" s="47" t="s">
        <v>76</v>
      </c>
      <c r="G21" s="36" t="s">
        <v>56</v>
      </c>
      <c r="H21" s="41">
        <v>4.403952887228074E-3</v>
      </c>
      <c r="I21" s="41">
        <v>0.16379404421369401</v>
      </c>
      <c r="J21" s="42">
        <v>0.1661615877687572</v>
      </c>
    </row>
    <row r="22" spans="1:10" x14ac:dyDescent="0.2">
      <c r="A22" s="72" t="s">
        <v>89</v>
      </c>
      <c r="B22" s="49">
        <f t="shared" si="3"/>
        <v>165.3086059940708</v>
      </c>
      <c r="C22" s="49">
        <f t="shared" si="4"/>
        <v>30.587022749474535</v>
      </c>
      <c r="D22" s="42">
        <f t="shared" ref="D22:D29" si="5">B22-C22</f>
        <v>134.72158324459627</v>
      </c>
      <c r="F22" s="47" t="s">
        <v>80</v>
      </c>
      <c r="G22" s="36" t="s">
        <v>56</v>
      </c>
      <c r="H22" s="41">
        <v>4.2270209494204597E-5</v>
      </c>
      <c r="I22" s="41">
        <v>1.4307996715113235E-4</v>
      </c>
      <c r="J22" s="42">
        <v>1.5090637521563959E-4</v>
      </c>
    </row>
    <row r="23" spans="1:10" x14ac:dyDescent="0.2">
      <c r="A23" s="72" t="s">
        <v>91</v>
      </c>
      <c r="B23" s="49">
        <f t="shared" si="3"/>
        <v>21.826965365357164</v>
      </c>
      <c r="C23" s="49">
        <f t="shared" si="4"/>
        <v>0.18187953692895759</v>
      </c>
      <c r="D23" s="42">
        <f t="shared" si="5"/>
        <v>21.645085828428208</v>
      </c>
      <c r="F23" s="47" t="s">
        <v>81</v>
      </c>
      <c r="G23" s="36" t="s">
        <v>56</v>
      </c>
      <c r="H23" s="41">
        <v>7.7689886847776376E-5</v>
      </c>
      <c r="I23" s="41">
        <v>2.8108930372526005E-4</v>
      </c>
      <c r="J23" s="42">
        <v>3.0225367482927958E-4</v>
      </c>
    </row>
    <row r="24" spans="1:10" x14ac:dyDescent="0.2">
      <c r="A24" s="72" t="s">
        <v>90</v>
      </c>
      <c r="B24" s="49">
        <f t="shared" si="3"/>
        <v>61.523595233984409</v>
      </c>
      <c r="C24" s="49">
        <f t="shared" si="4"/>
        <v>2.1242961539749343</v>
      </c>
      <c r="D24" s="42">
        <f t="shared" si="5"/>
        <v>59.399299080009477</v>
      </c>
      <c r="F24" s="47" t="s">
        <v>77</v>
      </c>
      <c r="G24" s="36" t="s">
        <v>56</v>
      </c>
      <c r="H24" s="41">
        <v>2.0793994609699237E-3</v>
      </c>
      <c r="I24" s="41">
        <v>1.398799583326444E-2</v>
      </c>
      <c r="J24" s="42">
        <v>1.631122648632859E-2</v>
      </c>
    </row>
    <row r="25" spans="1:10" x14ac:dyDescent="0.2">
      <c r="A25" s="72" t="s">
        <v>92</v>
      </c>
      <c r="B25" s="49">
        <f t="shared" si="3"/>
        <v>81.95804539472924</v>
      </c>
      <c r="C25" s="49">
        <f t="shared" si="4"/>
        <v>28.28084705857065</v>
      </c>
      <c r="D25" s="42">
        <f t="shared" si="5"/>
        <v>53.67719833615859</v>
      </c>
      <c r="F25" s="47" t="s">
        <v>78</v>
      </c>
      <c r="G25" s="36" t="s">
        <v>56</v>
      </c>
      <c r="H25" s="41">
        <v>2.6976085362963457E-5</v>
      </c>
      <c r="I25" s="41">
        <v>1.4737898003163634E-4</v>
      </c>
      <c r="J25" s="42">
        <v>1.7306282621516009E-4</v>
      </c>
    </row>
    <row r="26" spans="1:10" ht="16" thickBot="1" x14ac:dyDescent="0.25">
      <c r="A26" s="72" t="s">
        <v>93</v>
      </c>
      <c r="B26" s="49">
        <f t="shared" si="3"/>
        <v>5.8982965452508047</v>
      </c>
      <c r="C26" s="49">
        <f t="shared" si="4"/>
        <v>0.13498871881446067</v>
      </c>
      <c r="D26" s="42">
        <f t="shared" si="5"/>
        <v>5.7633078264363444</v>
      </c>
      <c r="F26" s="69" t="s">
        <v>68</v>
      </c>
      <c r="G26" s="74" t="s">
        <v>56</v>
      </c>
      <c r="H26" s="52">
        <v>1.893432651553983</v>
      </c>
      <c r="I26" s="52">
        <v>8.5999671511323488</v>
      </c>
      <c r="J26" s="34">
        <v>9.6732991616924888</v>
      </c>
    </row>
    <row r="27" spans="1:10" x14ac:dyDescent="0.2">
      <c r="A27" s="72" t="s">
        <v>95</v>
      </c>
      <c r="B27" s="49">
        <f t="shared" si="3"/>
        <v>3.3434574249518527</v>
      </c>
      <c r="C27" s="49">
        <f t="shared" si="4"/>
        <v>6.8204826348359088E-2</v>
      </c>
      <c r="D27" s="42">
        <f t="shared" si="5"/>
        <v>3.2752525986034935</v>
      </c>
    </row>
    <row r="28" spans="1:10" x14ac:dyDescent="0.2">
      <c r="A28" s="72" t="s">
        <v>94</v>
      </c>
      <c r="B28" s="49">
        <f t="shared" si="3"/>
        <v>2.5548391202989507</v>
      </c>
      <c r="C28" s="49">
        <f t="shared" si="4"/>
        <v>6.6783892466101599E-2</v>
      </c>
      <c r="D28" s="42">
        <f t="shared" si="5"/>
        <v>2.4880552278328492</v>
      </c>
    </row>
    <row r="29" spans="1:10" x14ac:dyDescent="0.2">
      <c r="A29" s="43" t="s">
        <v>96</v>
      </c>
      <c r="B29" s="49">
        <f t="shared" si="3"/>
        <v>0.30265891692084346</v>
      </c>
      <c r="C29" s="49">
        <f t="shared" si="4"/>
        <v>4.8837497533189625E-3</v>
      </c>
      <c r="D29" s="42">
        <f t="shared" si="5"/>
        <v>0.2977751671675245</v>
      </c>
    </row>
    <row r="30" spans="1:10" x14ac:dyDescent="0.2">
      <c r="A30" s="44" t="s">
        <v>123</v>
      </c>
      <c r="B30" s="79"/>
      <c r="C30" s="79"/>
      <c r="D30" s="79"/>
    </row>
    <row r="31" spans="1:10" ht="15" customHeight="1" thickBot="1" x14ac:dyDescent="0.25">
      <c r="A31" s="61" t="s">
        <v>86</v>
      </c>
      <c r="B31" s="50">
        <f>($J15*$B$39)*$B$4</f>
        <v>39883.340580755881</v>
      </c>
      <c r="C31" s="50">
        <f>($H15*$B$39)*$B$4</f>
        <v>4860.5885310381655</v>
      </c>
      <c r="D31" s="34">
        <f>B31-C31</f>
        <v>35022.752049717717</v>
      </c>
    </row>
    <row r="32" spans="1:10" ht="14.5" customHeight="1" x14ac:dyDescent="0.2"/>
    <row r="33" spans="1:3" ht="16" thickBot="1" x14ac:dyDescent="0.25"/>
    <row r="34" spans="1:3" x14ac:dyDescent="0.2">
      <c r="A34" s="212" t="s">
        <v>150</v>
      </c>
      <c r="B34" s="213"/>
      <c r="C34" s="214"/>
    </row>
    <row r="35" spans="1:3" x14ac:dyDescent="0.2">
      <c r="A35" s="46"/>
      <c r="B35" s="28" t="s">
        <v>117</v>
      </c>
      <c r="C35" s="60" t="s">
        <v>57</v>
      </c>
    </row>
    <row r="36" spans="1:3" ht="14.5" customHeight="1" x14ac:dyDescent="0.2">
      <c r="A36" s="64" t="s">
        <v>58</v>
      </c>
      <c r="B36" s="37" t="s">
        <v>115</v>
      </c>
      <c r="C36" s="42" t="str">
        <f>$A$4</f>
        <v>Ni</v>
      </c>
    </row>
    <row r="37" spans="1:3" x14ac:dyDescent="0.2">
      <c r="A37" s="65" t="s">
        <v>119</v>
      </c>
      <c r="B37" s="39">
        <f>154.756/1000</f>
        <v>0.154756</v>
      </c>
      <c r="C37" s="58">
        <f>VLOOKUP(C36,Atomic_Mass,2,FALSE)/1000</f>
        <v>5.8692999999999995E-2</v>
      </c>
    </row>
    <row r="38" spans="1:3" x14ac:dyDescent="0.2">
      <c r="A38" s="66" t="s">
        <v>120</v>
      </c>
      <c r="B38" s="221">
        <v>1</v>
      </c>
      <c r="C38" s="222"/>
    </row>
    <row r="39" spans="1:3" x14ac:dyDescent="0.2">
      <c r="A39" s="223" t="s">
        <v>124</v>
      </c>
      <c r="B39" s="225">
        <f>B37/(B38*C37)</f>
        <v>2.6367028436099709</v>
      </c>
      <c r="C39" s="226"/>
    </row>
    <row r="40" spans="1:3" ht="16" thickBot="1" x14ac:dyDescent="0.25">
      <c r="A40" s="224"/>
      <c r="B40" s="227"/>
      <c r="C40" s="228"/>
    </row>
    <row r="52" spans="17:17" x14ac:dyDescent="0.2">
      <c r="Q52" s="40"/>
    </row>
    <row r="71" spans="13:17" x14ac:dyDescent="0.2">
      <c r="M71" s="40"/>
    </row>
    <row r="77" spans="13:17" x14ac:dyDescent="0.2">
      <c r="Q77" s="40"/>
    </row>
    <row r="84" spans="27:27" x14ac:dyDescent="0.2">
      <c r="AA84" s="40"/>
    </row>
  </sheetData>
  <mergeCells count="7">
    <mergeCell ref="F2:J2"/>
    <mergeCell ref="A6:D6"/>
    <mergeCell ref="A34:C34"/>
    <mergeCell ref="B38:C38"/>
    <mergeCell ref="A39:A40"/>
    <mergeCell ref="B39:C40"/>
    <mergeCell ref="A2:B2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BDBEF-1EDF-43D3-B5B0-9B3B2FCEA593}">
  <sheetPr>
    <tabColor theme="9" tint="0.59999389629810485"/>
  </sheetPr>
  <dimension ref="A1:AA88"/>
  <sheetViews>
    <sheetView zoomScale="80" zoomScaleNormal="80" workbookViewId="0">
      <selection activeCell="G16" sqref="G16:G26"/>
    </sheetView>
  </sheetViews>
  <sheetFormatPr baseColWidth="10" defaultColWidth="8.83203125" defaultRowHeight="15" x14ac:dyDescent="0.2"/>
  <cols>
    <col min="1" max="1" width="29.83203125" customWidth="1"/>
    <col min="2" max="2" width="28" bestFit="1" customWidth="1"/>
    <col min="3" max="4" width="27.5" customWidth="1"/>
    <col min="5" max="5" width="12.83203125" customWidth="1"/>
    <col min="6" max="6" width="24.5" bestFit="1" customWidth="1"/>
    <col min="7" max="7" width="18.5" customWidth="1"/>
    <col min="8" max="8" width="23.6640625" customWidth="1"/>
    <col min="9" max="9" width="34" bestFit="1" customWidth="1"/>
    <col min="10" max="10" width="41.6640625" bestFit="1" customWidth="1"/>
    <col min="11" max="11" width="11" customWidth="1"/>
    <col min="12" max="12" width="15.1640625" customWidth="1"/>
    <col min="13" max="13" width="14.5" customWidth="1"/>
    <col min="14" max="15" width="10" customWidth="1"/>
    <col min="16" max="16" width="18.83203125" customWidth="1"/>
    <col min="17" max="17" width="22.83203125" customWidth="1"/>
    <col min="18" max="18" width="16.6640625" customWidth="1"/>
    <col min="19" max="19" width="12.83203125" customWidth="1"/>
    <col min="22" max="22" width="28.83203125" bestFit="1" customWidth="1"/>
    <col min="23" max="23" width="14.1640625" customWidth="1"/>
    <col min="24" max="24" width="42.83203125" customWidth="1"/>
    <col min="25" max="25" width="41.6640625" bestFit="1" customWidth="1"/>
    <col min="26" max="26" width="25.33203125" customWidth="1"/>
  </cols>
  <sheetData>
    <row r="1" spans="1:10" ht="16" thickBot="1" x14ac:dyDescent="0.25"/>
    <row r="2" spans="1:10" ht="19" x14ac:dyDescent="0.25">
      <c r="A2" s="212" t="s">
        <v>243</v>
      </c>
      <c r="B2" s="214"/>
      <c r="F2" s="215" t="s">
        <v>233</v>
      </c>
      <c r="G2" s="216"/>
      <c r="H2" s="216"/>
      <c r="I2" s="216"/>
      <c r="J2" s="217"/>
    </row>
    <row r="3" spans="1:10" ht="31.25" customHeight="1" x14ac:dyDescent="0.2">
      <c r="A3" s="29" t="s">
        <v>57</v>
      </c>
      <c r="B3" s="94" t="s">
        <v>151</v>
      </c>
      <c r="F3" s="46"/>
      <c r="G3" s="110" t="s">
        <v>149</v>
      </c>
      <c r="H3" s="110" t="s">
        <v>168</v>
      </c>
      <c r="I3" s="110" t="s">
        <v>167</v>
      </c>
      <c r="J3" s="109" t="s">
        <v>170</v>
      </c>
    </row>
    <row r="4" spans="1:10" ht="33" thickBot="1" x14ac:dyDescent="0.25">
      <c r="A4" s="33" t="s">
        <v>16</v>
      </c>
      <c r="B4" s="34">
        <f>VLOOKUP(A4,NCA_Composition,4,FALSE)</f>
        <v>0.48888706101248969</v>
      </c>
      <c r="F4" s="62"/>
      <c r="G4" s="120" t="s">
        <v>148</v>
      </c>
      <c r="H4" s="121" t="s">
        <v>171</v>
      </c>
      <c r="I4" s="121" t="s">
        <v>171</v>
      </c>
      <c r="J4" s="111" t="s">
        <v>115</v>
      </c>
    </row>
    <row r="5" spans="1:10" ht="33" thickBot="1" x14ac:dyDescent="0.25">
      <c r="F5" s="62"/>
      <c r="G5" s="118" t="s">
        <v>169</v>
      </c>
      <c r="H5" s="119"/>
      <c r="I5" s="85"/>
      <c r="J5" s="71"/>
    </row>
    <row r="6" spans="1:10" x14ac:dyDescent="0.2">
      <c r="A6" s="218" t="s">
        <v>147</v>
      </c>
      <c r="B6" s="219"/>
      <c r="C6" s="219"/>
      <c r="D6" s="220"/>
      <c r="F6" s="67" t="s">
        <v>142</v>
      </c>
      <c r="G6" s="37" t="s">
        <v>83</v>
      </c>
      <c r="H6" s="95">
        <v>38.976614472241053</v>
      </c>
      <c r="I6" s="95">
        <v>256.86381498812261</v>
      </c>
      <c r="J6" s="68">
        <v>98.64911787562626</v>
      </c>
    </row>
    <row r="7" spans="1:10" x14ac:dyDescent="0.2">
      <c r="A7" s="46"/>
      <c r="B7" s="80" t="s">
        <v>164</v>
      </c>
      <c r="C7" s="80" t="s">
        <v>154</v>
      </c>
      <c r="D7" s="80" t="s">
        <v>166</v>
      </c>
      <c r="F7" s="47" t="s">
        <v>89</v>
      </c>
      <c r="G7" s="36" t="s">
        <v>83</v>
      </c>
      <c r="H7" s="41">
        <v>32.303223708504881</v>
      </c>
      <c r="I7" s="41">
        <v>216.06067119716488</v>
      </c>
      <c r="J7" s="42">
        <v>83.150625285911914</v>
      </c>
    </row>
    <row r="8" spans="1:10" x14ac:dyDescent="0.2">
      <c r="A8" s="44" t="s">
        <v>121</v>
      </c>
      <c r="B8" s="59"/>
      <c r="C8" s="59"/>
      <c r="D8" s="59"/>
      <c r="F8" s="47" t="s">
        <v>91</v>
      </c>
      <c r="G8" s="36" t="s">
        <v>83</v>
      </c>
      <c r="H8" s="41">
        <v>10.28015233937951</v>
      </c>
      <c r="I8" s="41">
        <v>72.074604408141667</v>
      </c>
      <c r="J8" s="42">
        <v>27.368177383885318</v>
      </c>
    </row>
    <row r="9" spans="1:10" x14ac:dyDescent="0.2">
      <c r="A9" s="43" t="s">
        <v>126</v>
      </c>
      <c r="B9" s="49">
        <f t="shared" ref="B9:B19" si="0">($J16)*$B$4*$B$39</f>
        <v>1.6731496463581843E-3</v>
      </c>
      <c r="C9" s="49">
        <f t="shared" ref="C9:C19" si="1">($H16*$B$43)*$B$4</f>
        <v>2.4784267746892202E-4</v>
      </c>
      <c r="D9" s="42">
        <f>B9-C9</f>
        <v>1.4253069688892623E-3</v>
      </c>
      <c r="F9" s="47" t="s">
        <v>90</v>
      </c>
      <c r="G9" s="36" t="s">
        <v>83</v>
      </c>
      <c r="H9" s="41">
        <v>10.441089744649659</v>
      </c>
      <c r="I9" s="41">
        <v>112.04440108687865</v>
      </c>
      <c r="J9" s="42">
        <v>43.43215551403518</v>
      </c>
    </row>
    <row r="10" spans="1:10" x14ac:dyDescent="0.2">
      <c r="A10" s="43" t="s">
        <v>127</v>
      </c>
      <c r="B10" s="49">
        <f t="shared" si="0"/>
        <v>8.710893071791263E-3</v>
      </c>
      <c r="C10" s="49">
        <f t="shared" si="1"/>
        <v>1.0360459826788489E-3</v>
      </c>
      <c r="D10" s="42">
        <f t="shared" ref="D10:D19" si="2">B10-C10</f>
        <v>7.6748470891124139E-3</v>
      </c>
      <c r="F10" s="47" t="s">
        <v>92</v>
      </c>
      <c r="G10" s="36" t="s">
        <v>83</v>
      </c>
      <c r="H10" s="41">
        <v>11.581981624475715</v>
      </c>
      <c r="I10" s="41">
        <v>31.940563391149546</v>
      </c>
      <c r="J10" s="42">
        <v>12.350292387991425</v>
      </c>
    </row>
    <row r="11" spans="1:10" x14ac:dyDescent="0.2">
      <c r="A11" s="43" t="s">
        <v>128</v>
      </c>
      <c r="B11" s="49">
        <f t="shared" si="0"/>
        <v>1.060613468394629E-2</v>
      </c>
      <c r="C11" s="49">
        <f t="shared" si="1"/>
        <v>2.2408771938492531E-3</v>
      </c>
      <c r="D11" s="42">
        <f>B11-C11</f>
        <v>8.3652574900970368E-3</v>
      </c>
      <c r="F11" s="47" t="s">
        <v>93</v>
      </c>
      <c r="G11" s="36" t="s">
        <v>83</v>
      </c>
      <c r="H11" s="41">
        <v>6.6733907637361733</v>
      </c>
      <c r="I11" s="41">
        <v>40.803143790957748</v>
      </c>
      <c r="J11" s="42">
        <v>15.498492589714337</v>
      </c>
    </row>
    <row r="12" spans="1:10" x14ac:dyDescent="0.2">
      <c r="A12" s="43" t="s">
        <v>129</v>
      </c>
      <c r="B12" s="49">
        <f t="shared" si="0"/>
        <v>1.2645458991762226E-2</v>
      </c>
      <c r="C12" s="49">
        <f t="shared" si="1"/>
        <v>3.6985090138491231E-4</v>
      </c>
      <c r="D12" s="42">
        <f t="shared" si="2"/>
        <v>1.2275608090377314E-2</v>
      </c>
      <c r="F12" s="47" t="s">
        <v>95</v>
      </c>
      <c r="G12" s="36" t="s">
        <v>83</v>
      </c>
      <c r="H12" s="41">
        <v>5.5457266158501302</v>
      </c>
      <c r="I12" s="41">
        <v>32.09488693044969</v>
      </c>
      <c r="J12" s="42">
        <v>12.18384342774627</v>
      </c>
    </row>
    <row r="13" spans="1:10" x14ac:dyDescent="0.2">
      <c r="A13" s="43" t="s">
        <v>130</v>
      </c>
      <c r="B13" s="49">
        <f t="shared" si="0"/>
        <v>6.444077249425903E-3</v>
      </c>
      <c r="C13" s="49">
        <f t="shared" si="1"/>
        <v>1.6280337652394288E-4</v>
      </c>
      <c r="D13" s="42">
        <f t="shared" si="2"/>
        <v>6.2812738729019603E-3</v>
      </c>
      <c r="F13" s="47" t="s">
        <v>94</v>
      </c>
      <c r="G13" s="36" t="s">
        <v>83</v>
      </c>
      <c r="H13" s="41">
        <v>1.1265618368910422</v>
      </c>
      <c r="I13" s="41">
        <v>8.7093591715030563</v>
      </c>
      <c r="J13" s="42">
        <v>3.3146491619680662</v>
      </c>
    </row>
    <row r="14" spans="1:10" x14ac:dyDescent="0.2">
      <c r="A14" s="43" t="s">
        <v>131</v>
      </c>
      <c r="B14" s="49">
        <f t="shared" si="0"/>
        <v>1.419573480158608</v>
      </c>
      <c r="C14" s="49">
        <f t="shared" si="1"/>
        <v>1.3219892848423845E-3</v>
      </c>
      <c r="D14" s="42">
        <f t="shared" si="2"/>
        <v>1.4182514908737656</v>
      </c>
      <c r="F14" s="47" t="s">
        <v>96</v>
      </c>
      <c r="G14" s="36" t="s">
        <v>83</v>
      </c>
      <c r="H14" s="41">
        <v>0.97554523057590248</v>
      </c>
      <c r="I14" s="41">
        <v>5.59973985460518</v>
      </c>
      <c r="J14" s="42">
        <v>2.1252555983619659</v>
      </c>
    </row>
    <row r="15" spans="1:10" x14ac:dyDescent="0.2">
      <c r="A15" s="43" t="s">
        <v>132</v>
      </c>
      <c r="B15" s="49">
        <f t="shared" si="0"/>
        <v>5.9457557369182035E-5</v>
      </c>
      <c r="C15" s="49">
        <f t="shared" si="1"/>
        <v>1.04300325375109E-5</v>
      </c>
      <c r="D15" s="42">
        <f t="shared" si="2"/>
        <v>4.9027524831671134E-5</v>
      </c>
      <c r="F15" s="67" t="s">
        <v>84</v>
      </c>
      <c r="G15" s="37" t="s">
        <v>85</v>
      </c>
      <c r="H15" s="95">
        <v>24813.461421870954</v>
      </c>
      <c r="I15" s="95">
        <v>141492.63931833091</v>
      </c>
      <c r="J15" s="68">
        <v>53876.662422769339</v>
      </c>
    </row>
    <row r="16" spans="1:10" x14ac:dyDescent="0.2">
      <c r="A16" s="43" t="s">
        <v>133</v>
      </c>
      <c r="B16" s="49">
        <f t="shared" si="0"/>
        <v>1.5360295267203371E-4</v>
      </c>
      <c r="C16" s="49">
        <f t="shared" si="1"/>
        <v>2.5442433135004389E-5</v>
      </c>
      <c r="D16" s="42">
        <f t="shared" si="2"/>
        <v>1.2816051953702933E-4</v>
      </c>
      <c r="F16" s="67" t="s">
        <v>70</v>
      </c>
      <c r="G16" s="37" t="s">
        <v>56</v>
      </c>
      <c r="H16" s="95">
        <v>5.0695282660096895E-4</v>
      </c>
      <c r="I16" s="95">
        <v>3.3673396275291151E-3</v>
      </c>
      <c r="J16" s="68">
        <v>1.2979711966137008E-3</v>
      </c>
    </row>
    <row r="17" spans="1:10" x14ac:dyDescent="0.2">
      <c r="A17" s="43" t="s">
        <v>134</v>
      </c>
      <c r="B17" s="49">
        <f>($J24)*$B$4*$B$39</f>
        <v>1.6814479002305677E-2</v>
      </c>
      <c r="C17" s="49">
        <f t="shared" si="1"/>
        <v>2.4650619162390587E-3</v>
      </c>
      <c r="D17" s="42">
        <f t="shared" si="2"/>
        <v>1.4349417086066619E-2</v>
      </c>
      <c r="F17" s="47" t="s">
        <v>72</v>
      </c>
      <c r="G17" s="36" t="s">
        <v>56</v>
      </c>
      <c r="H17" s="41">
        <v>2.1191928878894605E-3</v>
      </c>
      <c r="I17" s="41">
        <v>1.764612510127482E-2</v>
      </c>
      <c r="J17" s="42">
        <v>6.7576073237542514E-3</v>
      </c>
    </row>
    <row r="18" spans="1:10" x14ac:dyDescent="0.2">
      <c r="A18" s="43" t="s">
        <v>135</v>
      </c>
      <c r="B18" s="49">
        <f t="shared" si="0"/>
        <v>3.3832435736550631E-4</v>
      </c>
      <c r="C18" s="49">
        <f t="shared" si="1"/>
        <v>1.9228151189587168E-4</v>
      </c>
      <c r="D18" s="42">
        <f t="shared" si="2"/>
        <v>1.4604284546963463E-4</v>
      </c>
      <c r="F18" s="47" t="s">
        <v>73</v>
      </c>
      <c r="G18" s="36" t="s">
        <v>56</v>
      </c>
      <c r="H18" s="41">
        <v>4.5836295794132401E-3</v>
      </c>
      <c r="I18" s="41">
        <v>2.1020299056972943E-2</v>
      </c>
      <c r="J18" s="42">
        <v>8.2278697288866113E-3</v>
      </c>
    </row>
    <row r="19" spans="1:10" x14ac:dyDescent="0.2">
      <c r="A19" s="43" t="s">
        <v>136</v>
      </c>
      <c r="B19" s="49">
        <f t="shared" si="0"/>
        <v>7.2289592084354091</v>
      </c>
      <c r="C19" s="49">
        <f t="shared" si="1"/>
        <v>1.2051772424450353</v>
      </c>
      <c r="D19" s="42">
        <f t="shared" si="2"/>
        <v>6.0237819659903735</v>
      </c>
      <c r="F19" s="47" t="s">
        <v>74</v>
      </c>
      <c r="G19" s="36" t="s">
        <v>56</v>
      </c>
      <c r="H19" s="41">
        <v>7.565160358691998E-4</v>
      </c>
      <c r="I19" s="41">
        <v>2.5821414595699886E-2</v>
      </c>
      <c r="J19" s="42">
        <v>9.8099064689120743E-3</v>
      </c>
    </row>
    <row r="20" spans="1:10" x14ac:dyDescent="0.2">
      <c r="A20" s="44" t="s">
        <v>122</v>
      </c>
      <c r="B20" s="59"/>
      <c r="C20" s="59"/>
      <c r="D20" s="59"/>
      <c r="F20" s="47" t="s">
        <v>75</v>
      </c>
      <c r="G20" s="36" t="s">
        <v>56</v>
      </c>
      <c r="H20" s="41">
        <v>3.3300815158980801E-4</v>
      </c>
      <c r="I20" s="41">
        <v>1.3140539140307656E-2</v>
      </c>
      <c r="J20" s="42">
        <v>4.9990905934291247E-3</v>
      </c>
    </row>
    <row r="21" spans="1:10" x14ac:dyDescent="0.2">
      <c r="A21" s="72" t="s">
        <v>142</v>
      </c>
      <c r="B21" s="49">
        <f t="shared" ref="B21:B29" si="3">($J6)*$B$4*$B$39</f>
        <v>127.16363592486876</v>
      </c>
      <c r="C21" s="49">
        <f t="shared" ref="C21:C29" si="4">($H6*$B$43)*$B$4</f>
        <v>19.0551624975508</v>
      </c>
      <c r="D21" s="42">
        <f>B21-C21</f>
        <v>108.10847342731796</v>
      </c>
      <c r="F21" s="47" t="s">
        <v>76</v>
      </c>
      <c r="G21" s="36" t="s">
        <v>56</v>
      </c>
      <c r="H21" s="41">
        <v>2.7040791018370014E-3</v>
      </c>
      <c r="I21" s="41">
        <v>2.899936506886688</v>
      </c>
      <c r="J21" s="42">
        <v>1.1012556424544058</v>
      </c>
    </row>
    <row r="22" spans="1:10" x14ac:dyDescent="0.2">
      <c r="A22" s="72" t="s">
        <v>89</v>
      </c>
      <c r="B22" s="49">
        <f t="shared" si="3"/>
        <v>107.18530554032857</v>
      </c>
      <c r="C22" s="49">
        <f t="shared" si="4"/>
        <v>15.792628100079929</v>
      </c>
      <c r="D22" s="42">
        <f t="shared" ref="D22:D29" si="5">B22-C22</f>
        <v>91.392677440248647</v>
      </c>
      <c r="F22" s="47" t="s">
        <v>80</v>
      </c>
      <c r="G22" s="36" t="s">
        <v>56</v>
      </c>
      <c r="H22" s="41">
        <v>2.1334237228349235E-5</v>
      </c>
      <c r="I22" s="41">
        <v>1.1574265447510706E-4</v>
      </c>
      <c r="J22" s="42">
        <v>4.6125101274822665E-5</v>
      </c>
    </row>
    <row r="23" spans="1:10" x14ac:dyDescent="0.2">
      <c r="A23" s="72" t="s">
        <v>91</v>
      </c>
      <c r="B23" s="49">
        <f t="shared" si="3"/>
        <v>35.278946428688741</v>
      </c>
      <c r="C23" s="49">
        <f t="shared" si="4"/>
        <v>5.0258334639599189</v>
      </c>
      <c r="D23" s="42">
        <f t="shared" si="5"/>
        <v>30.253112964728821</v>
      </c>
      <c r="F23" s="47" t="s">
        <v>81</v>
      </c>
      <c r="G23" s="36" t="s">
        <v>56</v>
      </c>
      <c r="H23" s="41">
        <v>5.2041535078291644E-5</v>
      </c>
      <c r="I23" s="41">
        <v>2.9740350645127508E-4</v>
      </c>
      <c r="J23" s="42">
        <v>1.1915981855961023E-4</v>
      </c>
    </row>
    <row r="24" spans="1:10" x14ac:dyDescent="0.2">
      <c r="A24" s="72" t="s">
        <v>90</v>
      </c>
      <c r="B24" s="49">
        <f t="shared" si="3"/>
        <v>55.986215894827019</v>
      </c>
      <c r="C24" s="49">
        <f t="shared" si="4"/>
        <v>5.1045136790294183</v>
      </c>
      <c r="D24" s="42">
        <f t="shared" si="5"/>
        <v>50.881702215797603</v>
      </c>
      <c r="F24" s="47" t="s">
        <v>77</v>
      </c>
      <c r="G24" s="36" t="s">
        <v>56</v>
      </c>
      <c r="H24" s="41">
        <v>5.0421909533336648E-3</v>
      </c>
      <c r="I24" s="41">
        <v>3.3869387170202332E-2</v>
      </c>
      <c r="J24" s="42">
        <v>1.3044086928245066E-2</v>
      </c>
    </row>
    <row r="25" spans="1:10" x14ac:dyDescent="0.2">
      <c r="A25" s="72" t="s">
        <v>92</v>
      </c>
      <c r="B25" s="49">
        <f>($J10)*$B$4*$B$39</f>
        <v>15.920143216812818</v>
      </c>
      <c r="C25" s="49">
        <f t="shared" si="4"/>
        <v>5.6622809570905934</v>
      </c>
      <c r="D25" s="42">
        <f t="shared" si="5"/>
        <v>10.257862259722224</v>
      </c>
      <c r="F25" s="47" t="s">
        <v>78</v>
      </c>
      <c r="G25" s="36" t="s">
        <v>56</v>
      </c>
      <c r="H25" s="41">
        <v>3.9330456301636386E-4</v>
      </c>
      <c r="I25" s="41">
        <v>6.8607836328863465E-4</v>
      </c>
      <c r="J25" s="42">
        <v>2.6246024790974281E-4</v>
      </c>
    </row>
    <row r="26" spans="1:10" ht="16" thickBot="1" x14ac:dyDescent="0.25">
      <c r="A26" s="72" t="s">
        <v>93</v>
      </c>
      <c r="B26" s="49">
        <f t="shared" si="3"/>
        <v>19.978330384540183</v>
      </c>
      <c r="C26" s="49">
        <f t="shared" si="4"/>
        <v>3.2625343974708718</v>
      </c>
      <c r="D26" s="42">
        <f t="shared" si="5"/>
        <v>16.71579598706931</v>
      </c>
      <c r="F26" s="69" t="s">
        <v>68</v>
      </c>
      <c r="G26" s="74" t="s">
        <v>56</v>
      </c>
      <c r="H26" s="52">
        <v>2.4651444854136697</v>
      </c>
      <c r="I26" s="52">
        <v>14.591511103027496</v>
      </c>
      <c r="J26" s="34">
        <v>5.6079746688933358</v>
      </c>
    </row>
    <row r="27" spans="1:10" x14ac:dyDescent="0.2">
      <c r="A27" s="72" t="s">
        <v>95</v>
      </c>
      <c r="B27" s="49">
        <f t="shared" si="3"/>
        <v>15.705582200591937</v>
      </c>
      <c r="C27" s="49">
        <f t="shared" si="4"/>
        <v>2.7112339864017105</v>
      </c>
      <c r="D27" s="42">
        <f t="shared" si="5"/>
        <v>12.994348214190227</v>
      </c>
    </row>
    <row r="28" spans="1:10" x14ac:dyDescent="0.2">
      <c r="A28" s="72" t="s">
        <v>94</v>
      </c>
      <c r="B28" s="49">
        <f t="shared" si="3"/>
        <v>4.272748183948246</v>
      </c>
      <c r="C28" s="49">
        <f t="shared" si="4"/>
        <v>0.55076150548649339</v>
      </c>
      <c r="D28" s="42">
        <f t="shared" si="5"/>
        <v>3.7219866784617528</v>
      </c>
    </row>
    <row r="29" spans="1:10" x14ac:dyDescent="0.2">
      <c r="A29" s="43" t="s">
        <v>96</v>
      </c>
      <c r="B29" s="49">
        <f t="shared" si="3"/>
        <v>2.7395605249924233</v>
      </c>
      <c r="C29" s="49">
        <f t="shared" si="4"/>
        <v>0.47693144066100457</v>
      </c>
      <c r="D29" s="42">
        <f t="shared" si="5"/>
        <v>2.2626290843314187</v>
      </c>
    </row>
    <row r="30" spans="1:10" x14ac:dyDescent="0.2">
      <c r="A30" s="44" t="s">
        <v>123</v>
      </c>
      <c r="B30" s="79"/>
      <c r="C30" s="79"/>
      <c r="D30" s="79"/>
    </row>
    <row r="31" spans="1:10" ht="16" thickBot="1" x14ac:dyDescent="0.25">
      <c r="A31" s="61" t="s">
        <v>86</v>
      </c>
      <c r="B31" s="50">
        <f>($J15)*$B$4*$B$39</f>
        <v>69449.706522604873</v>
      </c>
      <c r="C31" s="50">
        <f>($H15*$B$43)*$B$4</f>
        <v>12130.980228085284</v>
      </c>
      <c r="D31" s="34">
        <f>B31-C31</f>
        <v>57318.726294519591</v>
      </c>
    </row>
    <row r="32" spans="1:10" ht="14.5" customHeight="1" x14ac:dyDescent="0.2"/>
    <row r="33" spans="1:3" ht="16" thickBot="1" x14ac:dyDescent="0.25"/>
    <row r="34" spans="1:3" x14ac:dyDescent="0.2">
      <c r="A34" s="212" t="s">
        <v>150</v>
      </c>
      <c r="B34" s="213"/>
      <c r="C34" s="214"/>
    </row>
    <row r="35" spans="1:3" x14ac:dyDescent="0.2">
      <c r="A35" s="46"/>
      <c r="B35" s="28" t="s">
        <v>117</v>
      </c>
      <c r="C35" s="60" t="s">
        <v>57</v>
      </c>
    </row>
    <row r="36" spans="1:3" ht="14.5" customHeight="1" x14ac:dyDescent="0.2">
      <c r="A36" s="64" t="s">
        <v>58</v>
      </c>
      <c r="B36" s="37" t="s">
        <v>115</v>
      </c>
      <c r="C36" s="42" t="str">
        <f>$A$4</f>
        <v>Ni</v>
      </c>
    </row>
    <row r="37" spans="1:3" x14ac:dyDescent="0.2">
      <c r="A37" s="65" t="s">
        <v>119</v>
      </c>
      <c r="B37" s="39">
        <f>154.756/1000</f>
        <v>0.154756</v>
      </c>
      <c r="C37" s="58">
        <f>VLOOKUP(C36,Atomic_Mass,2,FALSE)/1000</f>
        <v>5.8692999999999995E-2</v>
      </c>
    </row>
    <row r="38" spans="1:3" x14ac:dyDescent="0.2">
      <c r="A38" s="66" t="s">
        <v>120</v>
      </c>
      <c r="B38" s="221">
        <v>1</v>
      </c>
      <c r="C38" s="222"/>
    </row>
    <row r="39" spans="1:3" x14ac:dyDescent="0.2">
      <c r="A39" s="223" t="s">
        <v>124</v>
      </c>
      <c r="B39" s="225">
        <f>B37/(B38*C37)</f>
        <v>2.6367028436099709</v>
      </c>
      <c r="C39" s="226"/>
    </row>
    <row r="40" spans="1:3" ht="16" thickBot="1" x14ac:dyDescent="0.25">
      <c r="A40" s="224"/>
      <c r="B40" s="227"/>
      <c r="C40" s="228"/>
    </row>
    <row r="41" spans="1:3" x14ac:dyDescent="0.2">
      <c r="A41" s="64" t="s">
        <v>58</v>
      </c>
      <c r="B41" s="37" t="s">
        <v>16</v>
      </c>
      <c r="C41" s="42" t="str">
        <f>$A$4</f>
        <v>Ni</v>
      </c>
    </row>
    <row r="42" spans="1:3" x14ac:dyDescent="0.2">
      <c r="A42" s="66" t="s">
        <v>153</v>
      </c>
      <c r="B42" s="229">
        <v>1</v>
      </c>
      <c r="C42" s="230"/>
    </row>
    <row r="43" spans="1:3" x14ac:dyDescent="0.2">
      <c r="A43" s="223" t="s">
        <v>124</v>
      </c>
      <c r="B43" s="225">
        <f>1/(B42)</f>
        <v>1</v>
      </c>
      <c r="C43" s="226"/>
    </row>
    <row r="44" spans="1:3" ht="16" thickBot="1" x14ac:dyDescent="0.25">
      <c r="A44" s="224"/>
      <c r="B44" s="227"/>
      <c r="C44" s="228"/>
    </row>
    <row r="56" spans="17:17" x14ac:dyDescent="0.2">
      <c r="Q56" s="40"/>
    </row>
    <row r="75" spans="13:13" x14ac:dyDescent="0.2">
      <c r="M75" s="40"/>
    </row>
    <row r="81" spans="17:27" x14ac:dyDescent="0.2">
      <c r="Q81" s="40"/>
    </row>
    <row r="88" spans="17:27" x14ac:dyDescent="0.2">
      <c r="AA88" s="40"/>
    </row>
  </sheetData>
  <mergeCells count="10">
    <mergeCell ref="B42:C42"/>
    <mergeCell ref="A43:A44"/>
    <mergeCell ref="B43:C44"/>
    <mergeCell ref="F2:J2"/>
    <mergeCell ref="A6:D6"/>
    <mergeCell ref="A34:C34"/>
    <mergeCell ref="B38:C38"/>
    <mergeCell ref="A39:A40"/>
    <mergeCell ref="B39:C40"/>
    <mergeCell ref="A2:B2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5B6BD-45F7-4B19-9E39-0776435DA74D}">
  <sheetPr>
    <tabColor theme="9" tint="0.59999389629810485"/>
  </sheetPr>
  <dimension ref="A1:AE89"/>
  <sheetViews>
    <sheetView zoomScale="70" zoomScaleNormal="70" workbookViewId="0">
      <selection activeCell="J16" sqref="J16:J26"/>
    </sheetView>
  </sheetViews>
  <sheetFormatPr baseColWidth="10" defaultColWidth="8.83203125" defaultRowHeight="15" x14ac:dyDescent="0.2"/>
  <cols>
    <col min="1" max="1" width="29.83203125" customWidth="1"/>
    <col min="2" max="2" width="28" bestFit="1" customWidth="1"/>
    <col min="3" max="7" width="27.5" customWidth="1"/>
    <col min="8" max="8" width="12.83203125" customWidth="1"/>
    <col min="9" max="9" width="24.5" bestFit="1" customWidth="1"/>
    <col min="10" max="10" width="18.5" customWidth="1"/>
    <col min="11" max="11" width="31.1640625" bestFit="1" customWidth="1"/>
    <col min="12" max="12" width="37.1640625" bestFit="1" customWidth="1"/>
    <col min="13" max="13" width="37.1640625" customWidth="1"/>
    <col min="14" max="14" width="37.1640625" bestFit="1" customWidth="1"/>
    <col min="15" max="15" width="11" customWidth="1"/>
    <col min="16" max="16" width="15.1640625" customWidth="1"/>
    <col min="17" max="17" width="14.5" customWidth="1"/>
    <col min="18" max="19" width="10" customWidth="1"/>
    <col min="20" max="20" width="18.83203125" customWidth="1"/>
    <col min="21" max="21" width="22.83203125" customWidth="1"/>
    <col min="22" max="22" width="16.6640625" customWidth="1"/>
    <col min="23" max="23" width="12.83203125" customWidth="1"/>
    <col min="26" max="26" width="28.83203125" bestFit="1" customWidth="1"/>
    <col min="27" max="27" width="14.1640625" customWidth="1"/>
    <col min="28" max="28" width="42.83203125" customWidth="1"/>
    <col min="29" max="29" width="41.6640625" bestFit="1" customWidth="1"/>
    <col min="30" max="30" width="25.33203125" customWidth="1"/>
  </cols>
  <sheetData>
    <row r="1" spans="1:14" ht="16" thickBot="1" x14ac:dyDescent="0.25"/>
    <row r="2" spans="1:14" ht="19" x14ac:dyDescent="0.25">
      <c r="A2" s="218" t="s">
        <v>243</v>
      </c>
      <c r="B2" s="219"/>
      <c r="C2" s="220"/>
      <c r="I2" s="215" t="s">
        <v>233</v>
      </c>
      <c r="J2" s="216"/>
      <c r="K2" s="216"/>
      <c r="L2" s="216"/>
      <c r="M2" s="216"/>
      <c r="N2" s="217"/>
    </row>
    <row r="3" spans="1:14" ht="31.25" customHeight="1" x14ac:dyDescent="0.2">
      <c r="A3" s="29" t="s">
        <v>57</v>
      </c>
      <c r="B3" s="94" t="s">
        <v>151</v>
      </c>
      <c r="C3" s="94" t="s">
        <v>212</v>
      </c>
      <c r="I3" s="46"/>
      <c r="J3" s="110" t="s">
        <v>149</v>
      </c>
      <c r="K3" s="110" t="s">
        <v>163</v>
      </c>
      <c r="L3" s="110" t="s">
        <v>205</v>
      </c>
      <c r="M3" s="110" t="s">
        <v>202</v>
      </c>
      <c r="N3" s="109" t="s">
        <v>204</v>
      </c>
    </row>
    <row r="4" spans="1:14" ht="33" thickBot="1" x14ac:dyDescent="0.25">
      <c r="A4" s="33" t="s">
        <v>23</v>
      </c>
      <c r="B4" s="34">
        <f>VLOOKUP(A4,NCA_Composition,4,FALSE)</f>
        <v>9.2041154290063515E-2</v>
      </c>
      <c r="C4" s="34">
        <f>VLOOKUP(A4,LCO_Composition,4,FALSE)</f>
        <v>0.60216207379251852</v>
      </c>
      <c r="I4" s="62"/>
      <c r="J4" s="120" t="s">
        <v>148</v>
      </c>
      <c r="K4" s="121" t="s">
        <v>162</v>
      </c>
      <c r="L4" s="121" t="s">
        <v>162</v>
      </c>
      <c r="M4" s="110" t="s">
        <v>162</v>
      </c>
      <c r="N4" s="111" t="s">
        <v>162</v>
      </c>
    </row>
    <row r="5" spans="1:14" ht="33" thickBot="1" x14ac:dyDescent="0.25">
      <c r="I5" s="62"/>
      <c r="J5" s="118" t="s">
        <v>169</v>
      </c>
      <c r="K5" s="119"/>
      <c r="L5" s="85"/>
      <c r="M5" s="85"/>
      <c r="N5" s="71"/>
    </row>
    <row r="6" spans="1:14" x14ac:dyDescent="0.2">
      <c r="A6" s="218" t="s">
        <v>147</v>
      </c>
      <c r="B6" s="219"/>
      <c r="C6" s="219"/>
      <c r="D6" s="219"/>
      <c r="E6" s="219"/>
      <c r="F6" s="219"/>
      <c r="G6" s="220"/>
      <c r="I6" s="67" t="s">
        <v>142</v>
      </c>
      <c r="J6" s="37" t="s">
        <v>83</v>
      </c>
      <c r="K6" s="95">
        <v>29.966324399102721</v>
      </c>
      <c r="L6" s="95">
        <v>58.270363817743906</v>
      </c>
      <c r="M6" s="95">
        <v>64.624084392929788</v>
      </c>
      <c r="N6" s="68">
        <v>273.14053914030768</v>
      </c>
    </row>
    <row r="7" spans="1:14" x14ac:dyDescent="0.2">
      <c r="A7" s="46"/>
      <c r="B7" s="80" t="s">
        <v>164</v>
      </c>
      <c r="C7" s="80" t="s">
        <v>154</v>
      </c>
      <c r="D7" s="80" t="s">
        <v>166</v>
      </c>
      <c r="E7" s="80" t="s">
        <v>209</v>
      </c>
      <c r="F7" s="80" t="s">
        <v>210</v>
      </c>
      <c r="G7" s="80" t="s">
        <v>211</v>
      </c>
      <c r="I7" s="47" t="s">
        <v>89</v>
      </c>
      <c r="J7" s="36" t="s">
        <v>83</v>
      </c>
      <c r="K7" s="41">
        <v>29.817512414777582</v>
      </c>
      <c r="L7" s="41">
        <v>47.969267569459376</v>
      </c>
      <c r="M7" s="41">
        <v>54.292123436785225</v>
      </c>
      <c r="N7" s="42">
        <v>244.44407700744611</v>
      </c>
    </row>
    <row r="8" spans="1:14" x14ac:dyDescent="0.2">
      <c r="A8" s="44" t="s">
        <v>121</v>
      </c>
      <c r="B8" s="59"/>
      <c r="C8" s="59"/>
      <c r="D8" s="59"/>
      <c r="E8" s="59"/>
      <c r="F8" s="59"/>
      <c r="G8" s="55"/>
      <c r="I8" s="47" t="s">
        <v>91</v>
      </c>
      <c r="J8" s="36" t="s">
        <v>83</v>
      </c>
      <c r="K8" s="41">
        <v>0.20172291208518661</v>
      </c>
      <c r="L8" s="41">
        <v>1.9687274370718213</v>
      </c>
      <c r="M8" s="41">
        <v>2.0106152548818601</v>
      </c>
      <c r="N8" s="42">
        <v>51.299349085357456</v>
      </c>
    </row>
    <row r="9" spans="1:14" x14ac:dyDescent="0.2">
      <c r="A9" s="43" t="s">
        <v>126</v>
      </c>
      <c r="B9" s="49">
        <f>($N16*$B$43-((M16-L16-K16)*$B$43))*$B$4</f>
        <v>3.8313575615289811E-4</v>
      </c>
      <c r="C9" s="49">
        <f t="shared" ref="C9:C19" si="0">($K16*$B$43)*$B$4</f>
        <v>6.9529151203977715E-5</v>
      </c>
      <c r="D9" s="42">
        <f>B9-C9</f>
        <v>3.136066049489204E-4</v>
      </c>
      <c r="E9" s="42">
        <f>($N16*$B$43-((M16-L16-K16)*$B$43))*$C$4</f>
        <v>2.5065941778828881E-3</v>
      </c>
      <c r="F9" s="42">
        <f>($K16*$B$43)*$C$4</f>
        <v>4.5488149514157859E-4</v>
      </c>
      <c r="G9" s="42">
        <f>E9-F9</f>
        <v>2.0517126827413095E-3</v>
      </c>
      <c r="I9" s="47" t="s">
        <v>90</v>
      </c>
      <c r="J9" s="36" t="s">
        <v>83</v>
      </c>
      <c r="K9" s="41">
        <v>3.0985962069478665</v>
      </c>
      <c r="L9" s="41">
        <v>16.36821596477014</v>
      </c>
      <c r="M9" s="41">
        <v>16.968975457045698</v>
      </c>
      <c r="N9" s="42">
        <v>149.48329172109328</v>
      </c>
    </row>
    <row r="10" spans="1:14" x14ac:dyDescent="0.2">
      <c r="A10" s="43" t="s">
        <v>127</v>
      </c>
      <c r="B10" s="49">
        <f t="shared" ref="B10:B19" si="1">($N17*$B$43-((M17-L17-K17)*$B$43))*$B$4</f>
        <v>1.2448690784219551E-3</v>
      </c>
      <c r="C10" s="49">
        <f t="shared" si="0"/>
        <v>2.1233125293985784E-4</v>
      </c>
      <c r="D10" s="42">
        <f t="shared" ref="D10:D19" si="2">B10-C10</f>
        <v>1.0325378254820972E-3</v>
      </c>
      <c r="E10" s="42">
        <f t="shared" ref="E10:E19" si="3">($N17*$B$43-((M17-L17-K17)*$B$43))*$C$4</f>
        <v>8.1443236087671688E-3</v>
      </c>
      <c r="F10" s="42">
        <f t="shared" ref="F10:F19" si="4">($K17*$B$43)*$C$4</f>
        <v>1.3891375938016863E-3</v>
      </c>
      <c r="G10" s="42">
        <f t="shared" ref="G10:G19" si="5">E10-F10</f>
        <v>6.7551860149654827E-3</v>
      </c>
      <c r="I10" s="47" t="s">
        <v>92</v>
      </c>
      <c r="J10" s="36" t="s">
        <v>83</v>
      </c>
      <c r="K10" s="41">
        <v>26.51719329574453</v>
      </c>
      <c r="L10" s="41">
        <v>29.632324167617412</v>
      </c>
      <c r="M10" s="41">
        <v>35.312532724857668</v>
      </c>
      <c r="N10" s="42">
        <v>43.660333890000388</v>
      </c>
    </row>
    <row r="11" spans="1:14" x14ac:dyDescent="0.2">
      <c r="A11" s="43" t="s">
        <v>128</v>
      </c>
      <c r="B11" s="49">
        <f t="shared" si="1"/>
        <v>2.238091938062025E-3</v>
      </c>
      <c r="C11" s="49">
        <f t="shared" si="0"/>
        <v>4.8602428998618838E-4</v>
      </c>
      <c r="D11" s="42">
        <f t="shared" si="2"/>
        <v>1.7520676480758366E-3</v>
      </c>
      <c r="E11" s="42">
        <f t="shared" si="3"/>
        <v>1.4642298797280934E-2</v>
      </c>
      <c r="F11" s="42">
        <f t="shared" si="4"/>
        <v>3.1797232078304657E-3</v>
      </c>
      <c r="G11" s="42">
        <f t="shared" si="5"/>
        <v>1.1462575589450468E-2</v>
      </c>
      <c r="I11" s="47" t="s">
        <v>93</v>
      </c>
      <c r="J11" s="36" t="s">
        <v>83</v>
      </c>
      <c r="K11" s="41">
        <v>0.14881198432513765</v>
      </c>
      <c r="L11" s="41">
        <v>10.301096248284528</v>
      </c>
      <c r="M11" s="41">
        <v>10.331960956144558</v>
      </c>
      <c r="N11" s="42">
        <v>28.697564443856546</v>
      </c>
    </row>
    <row r="12" spans="1:14" x14ac:dyDescent="0.2">
      <c r="A12" s="43" t="s">
        <v>129</v>
      </c>
      <c r="B12" s="49">
        <f t="shared" si="1"/>
        <v>1.1524692701854361E-2</v>
      </c>
      <c r="C12" s="49">
        <f t="shared" si="0"/>
        <v>5.6961247297527507E-3</v>
      </c>
      <c r="D12" s="42">
        <f t="shared" si="2"/>
        <v>5.8285679721016099E-3</v>
      </c>
      <c r="E12" s="42">
        <f t="shared" si="3"/>
        <v>7.5398151084675361E-2</v>
      </c>
      <c r="F12" s="42">
        <f t="shared" si="4"/>
        <v>3.7265832945111779E-2</v>
      </c>
      <c r="G12" s="42">
        <f t="shared" si="5"/>
        <v>3.8132318139563581E-2</v>
      </c>
      <c r="I12" s="47" t="s">
        <v>95</v>
      </c>
      <c r="J12" s="36" t="s">
        <v>83</v>
      </c>
      <c r="K12" s="41">
        <v>7.4957147660069334E-2</v>
      </c>
      <c r="L12" s="41">
        <v>10.088350226249332</v>
      </c>
      <c r="M12" s="41">
        <v>10.103782580179347</v>
      </c>
      <c r="N12" s="42">
        <v>20.922964996114356</v>
      </c>
    </row>
    <row r="13" spans="1:14" x14ac:dyDescent="0.2">
      <c r="A13" s="43" t="s">
        <v>130</v>
      </c>
      <c r="B13" s="49">
        <f t="shared" si="1"/>
        <v>1.3130285469449849E-3</v>
      </c>
      <c r="C13" s="49">
        <f t="shared" si="0"/>
        <v>6.1330332133799055E-4</v>
      </c>
      <c r="D13" s="42">
        <f t="shared" si="2"/>
        <v>6.9972522560699435E-4</v>
      </c>
      <c r="E13" s="42">
        <f t="shared" si="3"/>
        <v>8.5902442106001071E-3</v>
      </c>
      <c r="F13" s="42">
        <f t="shared" si="4"/>
        <v>4.0124225156593146E-3</v>
      </c>
      <c r="G13" s="42">
        <f t="shared" si="5"/>
        <v>4.5778216949407926E-3</v>
      </c>
      <c r="I13" s="47" t="s">
        <v>94</v>
      </c>
      <c r="J13" s="36" t="s">
        <v>83</v>
      </c>
      <c r="K13" s="41">
        <v>7.3854836665068327E-2</v>
      </c>
      <c r="L13" s="41">
        <v>0.2127460220351968</v>
      </c>
      <c r="M13" s="41">
        <v>0.22817837596521107</v>
      </c>
      <c r="N13" s="42">
        <v>7.774599447742192</v>
      </c>
    </row>
    <row r="14" spans="1:14" x14ac:dyDescent="0.2">
      <c r="A14" s="43" t="s">
        <v>131</v>
      </c>
      <c r="B14" s="49">
        <f t="shared" si="1"/>
        <v>5.9167856825523002E-3</v>
      </c>
      <c r="C14" s="49">
        <f t="shared" si="0"/>
        <v>1.1444459734143713E-5</v>
      </c>
      <c r="D14" s="42">
        <f t="shared" si="2"/>
        <v>5.9053412228181569E-3</v>
      </c>
      <c r="E14" s="42">
        <f t="shared" si="3"/>
        <v>3.8709466045627493E-2</v>
      </c>
      <c r="F14" s="42">
        <f t="shared" si="4"/>
        <v>7.487324186775144E-5</v>
      </c>
      <c r="G14" s="42">
        <f t="shared" si="5"/>
        <v>3.8634592803759742E-2</v>
      </c>
      <c r="I14" s="47" t="s">
        <v>96</v>
      </c>
      <c r="J14" s="36" t="s">
        <v>83</v>
      </c>
      <c r="K14" s="41">
        <v>5.3671522346599651E-3</v>
      </c>
      <c r="L14" s="41">
        <v>1.5432353930014275E-2</v>
      </c>
      <c r="M14" s="41">
        <v>1.6534664925015295E-2</v>
      </c>
      <c r="N14" s="42">
        <v>1.0626277991809829</v>
      </c>
    </row>
    <row r="15" spans="1:14" x14ac:dyDescent="0.2">
      <c r="A15" s="43" t="s">
        <v>132</v>
      </c>
      <c r="B15" s="49">
        <f t="shared" si="1"/>
        <v>4.9957907562875576E-5</v>
      </c>
      <c r="C15" s="49">
        <f t="shared" si="0"/>
        <v>2.0433636440217587E-5</v>
      </c>
      <c r="D15" s="42">
        <f t="shared" si="2"/>
        <v>2.9524271122657989E-5</v>
      </c>
      <c r="E15" s="42">
        <f t="shared" si="3"/>
        <v>3.2684028630922704E-4</v>
      </c>
      <c r="F15" s="42">
        <f t="shared" si="4"/>
        <v>1.3368325276742144E-4</v>
      </c>
      <c r="G15" s="42">
        <f t="shared" si="5"/>
        <v>1.931570335418056E-4</v>
      </c>
      <c r="I15" s="67" t="s">
        <v>84</v>
      </c>
      <c r="J15" s="37" t="s">
        <v>85</v>
      </c>
      <c r="K15" s="95">
        <v>9414.2870528062085</v>
      </c>
      <c r="L15" s="95">
        <v>95979.761570131785</v>
      </c>
      <c r="M15" s="95">
        <v>96414.843719858691</v>
      </c>
      <c r="N15" s="68">
        <v>214370.71821072881</v>
      </c>
    </row>
    <row r="16" spans="1:14" x14ac:dyDescent="0.2">
      <c r="A16" s="43" t="s">
        <v>133</v>
      </c>
      <c r="B16" s="49">
        <f t="shared" si="1"/>
        <v>3.6981290344430468E-5</v>
      </c>
      <c r="C16" s="49">
        <f>($K23*$B$43)*$B$4</f>
        <v>6.1431790110165587E-6</v>
      </c>
      <c r="D16" s="42">
        <f t="shared" si="2"/>
        <v>3.0838111333413908E-5</v>
      </c>
      <c r="E16" s="42">
        <f t="shared" si="3"/>
        <v>2.41943190055468E-4</v>
      </c>
      <c r="F16" s="42">
        <f t="shared" si="4"/>
        <v>4.0190602144064563E-5</v>
      </c>
      <c r="G16" s="42">
        <f t="shared" si="5"/>
        <v>2.0175258791140343E-4</v>
      </c>
      <c r="I16" s="67" t="s">
        <v>70</v>
      </c>
      <c r="J16" s="37" t="s">
        <v>56</v>
      </c>
      <c r="K16" s="95">
        <v>7.5541372487419878E-4</v>
      </c>
      <c r="L16" s="95">
        <v>9.7543499947640232E-4</v>
      </c>
      <c r="M16" s="95">
        <v>1.1434271951145578E-3</v>
      </c>
      <c r="N16" s="68">
        <v>3.5752354811863073E-3</v>
      </c>
    </row>
    <row r="17" spans="1:14" x14ac:dyDescent="0.2">
      <c r="A17" s="43" t="s">
        <v>134</v>
      </c>
      <c r="B17" s="49">
        <f t="shared" si="1"/>
        <v>3.6918731356202859E-3</v>
      </c>
      <c r="C17" s="49">
        <f t="shared" si="0"/>
        <v>2.4626894603445949E-4</v>
      </c>
      <c r="D17" s="42">
        <f t="shared" si="2"/>
        <v>3.4456041895858263E-3</v>
      </c>
      <c r="E17" s="42">
        <f t="shared" si="3"/>
        <v>2.4153390955071921E-2</v>
      </c>
      <c r="F17" s="42">
        <f t="shared" si="4"/>
        <v>1.6111686168935554E-3</v>
      </c>
      <c r="G17" s="42">
        <f t="shared" si="5"/>
        <v>2.2542222338178364E-2</v>
      </c>
      <c r="I17" s="47" t="s">
        <v>72</v>
      </c>
      <c r="J17" s="36" t="s">
        <v>56</v>
      </c>
      <c r="K17" s="41">
        <v>2.306916450338134E-3</v>
      </c>
      <c r="L17" s="41">
        <v>3.5059001196007431E-3</v>
      </c>
      <c r="M17" s="41">
        <v>4.4251172583320937E-3</v>
      </c>
      <c r="N17" s="42">
        <v>1.2137436134856728E-2</v>
      </c>
    </row>
    <row r="18" spans="1:14" x14ac:dyDescent="0.2">
      <c r="A18" s="43" t="s">
        <v>135</v>
      </c>
      <c r="B18" s="49">
        <f t="shared" si="1"/>
        <v>4.051268739883182E-5</v>
      </c>
      <c r="C18" s="49">
        <f t="shared" si="0"/>
        <v>4.9142997096699669E-6</v>
      </c>
      <c r="D18" s="42">
        <f t="shared" si="2"/>
        <v>3.5598387689161855E-5</v>
      </c>
      <c r="E18" s="42">
        <f t="shared" si="3"/>
        <v>2.6504669619970461E-4</v>
      </c>
      <c r="F18" s="42">
        <f t="shared" si="4"/>
        <v>3.2150888667552335E-5</v>
      </c>
      <c r="G18" s="42">
        <f t="shared" si="5"/>
        <v>2.3289580753215228E-4</v>
      </c>
      <c r="I18" s="47" t="s">
        <v>73</v>
      </c>
      <c r="J18" s="36" t="s">
        <v>56</v>
      </c>
      <c r="K18" s="41">
        <v>5.2805105904528849E-3</v>
      </c>
      <c r="L18" s="41">
        <v>6.6226844579661262E-3</v>
      </c>
      <c r="M18" s="41">
        <v>9.9316016027601872E-3</v>
      </c>
      <c r="N18" s="42">
        <v>2.234461548636717E-2</v>
      </c>
    </row>
    <row r="19" spans="1:14" x14ac:dyDescent="0.2">
      <c r="A19" s="43" t="s">
        <v>136</v>
      </c>
      <c r="B19" s="49">
        <f t="shared" si="1"/>
        <v>1.6974901559330406</v>
      </c>
      <c r="C19" s="49">
        <f t="shared" si="0"/>
        <v>0.20097952579611311</v>
      </c>
      <c r="D19" s="42">
        <f t="shared" si="2"/>
        <v>1.4965106301369275</v>
      </c>
      <c r="E19" s="42">
        <f t="shared" si="3"/>
        <v>11.10551253320576</v>
      </c>
      <c r="F19" s="42">
        <f t="shared" si="4"/>
        <v>1.3148710375994235</v>
      </c>
      <c r="G19" s="42">
        <f t="shared" si="5"/>
        <v>9.7906414956063355</v>
      </c>
      <c r="I19" s="47" t="s">
        <v>74</v>
      </c>
      <c r="J19" s="36" t="s">
        <v>56</v>
      </c>
      <c r="K19" s="41">
        <v>6.1886715499043746E-2</v>
      </c>
      <c r="L19" s="41">
        <v>6.2003891157812359E-2</v>
      </c>
      <c r="M19" s="41">
        <v>6.2281012141955611E-2</v>
      </c>
      <c r="N19" s="42">
        <v>6.3602793256061343E-2</v>
      </c>
    </row>
    <row r="20" spans="1:14" x14ac:dyDescent="0.2">
      <c r="A20" s="44" t="s">
        <v>122</v>
      </c>
      <c r="B20" s="59"/>
      <c r="C20" s="59"/>
      <c r="D20" s="59"/>
      <c r="E20" s="59"/>
      <c r="F20" s="59"/>
      <c r="G20" s="59"/>
      <c r="I20" s="47" t="s">
        <v>75</v>
      </c>
      <c r="J20" s="36" t="s">
        <v>56</v>
      </c>
      <c r="K20" s="41">
        <v>6.6633597336816638E-3</v>
      </c>
      <c r="L20" s="41">
        <v>6.7518753065802465E-3</v>
      </c>
      <c r="M20" s="41">
        <v>6.9909665613959674E-3</v>
      </c>
      <c r="N20" s="42">
        <v>7.8413994940392528E-3</v>
      </c>
    </row>
    <row r="21" spans="1:14" x14ac:dyDescent="0.2">
      <c r="A21" s="72" t="s">
        <v>142</v>
      </c>
      <c r="B21" s="49">
        <f>($N6*$B$43-((M6-L6-K6)*$B$43))*$B$4</f>
        <v>27.313501817631465</v>
      </c>
      <c r="C21" s="49">
        <f t="shared" ref="C21:C29" si="6">($K6*$B$43)*$B$4</f>
        <v>2.7581350875239083</v>
      </c>
      <c r="D21" s="42">
        <f>B21-C21</f>
        <v>24.555366730107558</v>
      </c>
      <c r="E21" s="42">
        <f t="shared" ref="E21:E29" si="7">($N6*$B$43-((M6-L6-K6)*$B$43))*$C$4</f>
        <v>178.69348797178517</v>
      </c>
      <c r="F21" s="42">
        <f>($K6*$B$43)*$C$4</f>
        <v>18.04458404410304</v>
      </c>
      <c r="G21" s="42">
        <f>E21-F21</f>
        <v>160.64890392768214</v>
      </c>
      <c r="I21" s="47" t="s">
        <v>76</v>
      </c>
      <c r="J21" s="36" t="s">
        <v>56</v>
      </c>
      <c r="K21" s="41">
        <v>1.2434068023611501E-4</v>
      </c>
      <c r="L21" s="41">
        <v>5.1790759326928913E-2</v>
      </c>
      <c r="M21" s="41">
        <v>5.380920098987528E-2</v>
      </c>
      <c r="N21" s="42">
        <v>6.6178232664781719E-2</v>
      </c>
    </row>
    <row r="22" spans="1:14" x14ac:dyDescent="0.2">
      <c r="A22" s="72" t="s">
        <v>89</v>
      </c>
      <c r="B22" s="49">
        <f t="shared" ref="B22:B29" si="8">($N7*$B$43-((M7-L7-K7)*$B$43))*$B$4</f>
        <v>24.661390315410571</v>
      </c>
      <c r="C22" s="49">
        <f t="shared" si="6"/>
        <v>2.7444382607144275</v>
      </c>
      <c r="D22" s="42">
        <f t="shared" ref="D22:D29" si="9">B22-C22</f>
        <v>21.916952054696143</v>
      </c>
      <c r="E22" s="42">
        <f t="shared" si="7"/>
        <v>161.34254344675836</v>
      </c>
      <c r="F22" s="42">
        <f t="shared" ref="F22:F29" si="10">($K7*$B$43)*$C$4</f>
        <v>17.954975111016637</v>
      </c>
      <c r="G22" s="42">
        <f t="shared" ref="G22:G29" si="11">E22-F22</f>
        <v>143.38756833574172</v>
      </c>
      <c r="I22" s="47" t="s">
        <v>80</v>
      </c>
      <c r="J22" s="36" t="s">
        <v>56</v>
      </c>
      <c r="K22" s="41">
        <v>2.2200543439320535E-4</v>
      </c>
      <c r="L22" s="41">
        <v>2.3313877544271566E-4</v>
      </c>
      <c r="M22" s="41">
        <v>2.6852295838224839E-4</v>
      </c>
      <c r="N22" s="42">
        <v>3.5615668248482944E-4</v>
      </c>
    </row>
    <row r="23" spans="1:14" x14ac:dyDescent="0.2">
      <c r="A23" s="72" t="s">
        <v>91</v>
      </c>
      <c r="B23" s="49">
        <f t="shared" si="8"/>
        <v>4.7363627107183595</v>
      </c>
      <c r="C23" s="49">
        <f t="shared" si="6"/>
        <v>1.856680967507358E-2</v>
      </c>
      <c r="D23" s="42">
        <f t="shared" si="9"/>
        <v>4.7177959010432859</v>
      </c>
      <c r="E23" s="42">
        <f t="shared" si="7"/>
        <v>30.986769061278729</v>
      </c>
      <c r="F23" s="42">
        <f t="shared" si="10"/>
        <v>0.12146988707268186</v>
      </c>
      <c r="G23" s="42">
        <f t="shared" si="11"/>
        <v>30.865299174206047</v>
      </c>
      <c r="I23" s="47" t="s">
        <v>81</v>
      </c>
      <c r="J23" s="36" t="s">
        <v>56</v>
      </c>
      <c r="K23" s="41">
        <v>6.6743828436316747E-5</v>
      </c>
      <c r="L23" s="41">
        <v>9.3420415901938428E-5</v>
      </c>
      <c r="M23" s="41">
        <v>1.8485755386167099E-4</v>
      </c>
      <c r="N23" s="42">
        <v>4.2648412396589455E-4</v>
      </c>
    </row>
    <row r="24" spans="1:14" x14ac:dyDescent="0.2">
      <c r="A24" s="72" t="s">
        <v>90</v>
      </c>
      <c r="B24" s="49">
        <f t="shared" si="8"/>
        <v>13.98851849153426</v>
      </c>
      <c r="C24" s="49">
        <f t="shared" si="6"/>
        <v>0.28519837156629418</v>
      </c>
      <c r="D24" s="42">
        <f>B24-C24</f>
        <v>13.703320119967966</v>
      </c>
      <c r="E24" s="42">
        <f>($N9*$B$43-((M9-L9-K9)*$B$43))*$C$4</f>
        <v>91.517271476207711</v>
      </c>
      <c r="F24" s="42">
        <f t="shared" si="10"/>
        <v>1.8658571178213592</v>
      </c>
      <c r="G24" s="42">
        <f t="shared" si="11"/>
        <v>89.651414358386347</v>
      </c>
      <c r="I24" s="47" t="s">
        <v>77</v>
      </c>
      <c r="J24" s="36" t="s">
        <v>56</v>
      </c>
      <c r="K24" s="41">
        <v>2.6756394781659748E-3</v>
      </c>
      <c r="L24" s="41">
        <v>5.6366672729377147E-3</v>
      </c>
      <c r="M24" s="41">
        <v>6.1978538004927334E-3</v>
      </c>
      <c r="N24" s="42">
        <v>3.7996659997685145E-2</v>
      </c>
    </row>
    <row r="25" spans="1:14" x14ac:dyDescent="0.2">
      <c r="A25" s="72" t="s">
        <v>92</v>
      </c>
      <c r="B25" s="49">
        <f t="shared" si="8"/>
        <v>5.9364076551815845</v>
      </c>
      <c r="C25" s="49">
        <f t="shared" si="6"/>
        <v>2.44067307947306</v>
      </c>
      <c r="D25" s="42">
        <f t="shared" si="9"/>
        <v>3.4957345757085245</v>
      </c>
      <c r="E25" s="42">
        <f t="shared" si="7"/>
        <v>38.837839139397204</v>
      </c>
      <c r="F25" s="42">
        <f t="shared" si="10"/>
        <v>15.967648106122596</v>
      </c>
      <c r="G25" s="42">
        <f t="shared" si="11"/>
        <v>22.870191033274608</v>
      </c>
      <c r="I25" s="47" t="s">
        <v>78</v>
      </c>
      <c r="J25" s="36" t="s">
        <v>56</v>
      </c>
      <c r="K25" s="41">
        <v>5.3392417202665393E-5</v>
      </c>
      <c r="L25" s="41">
        <v>7.732061266445103E-5</v>
      </c>
      <c r="M25" s="41">
        <v>8.1544337703996444E-5</v>
      </c>
      <c r="N25" s="42">
        <v>3.9098970992686172E-4</v>
      </c>
    </row>
    <row r="26" spans="1:14" ht="16" thickBot="1" x14ac:dyDescent="0.25">
      <c r="A26" s="72" t="s">
        <v>93</v>
      </c>
      <c r="B26" s="49">
        <f t="shared" si="8"/>
        <v>2.6522129601972591</v>
      </c>
      <c r="C26" s="49">
        <f>($K11*$B$43)*$B$4</f>
        <v>1.3696826809480507E-2</v>
      </c>
      <c r="D26" s="42">
        <f t="shared" si="9"/>
        <v>2.6385161333877787</v>
      </c>
      <c r="E26" s="42">
        <f t="shared" si="7"/>
        <v>17.35160829490151</v>
      </c>
      <c r="F26" s="42">
        <f t="shared" si="10"/>
        <v>8.9608933086404649E-2</v>
      </c>
      <c r="G26" s="42">
        <f t="shared" si="11"/>
        <v>17.261999361815107</v>
      </c>
      <c r="I26" s="69" t="s">
        <v>68</v>
      </c>
      <c r="J26" s="74" t="s">
        <v>56</v>
      </c>
      <c r="K26" s="52">
        <v>2.1835832823514498</v>
      </c>
      <c r="L26" s="52">
        <v>3.6119306425921947</v>
      </c>
      <c r="M26" s="52">
        <v>4.0848727657534019</v>
      </c>
      <c r="N26" s="34">
        <v>16.732088824219979</v>
      </c>
    </row>
    <row r="27" spans="1:14" x14ac:dyDescent="0.2">
      <c r="A27" s="72" t="s">
        <v>95</v>
      </c>
      <c r="B27" s="49">
        <f t="shared" si="8"/>
        <v>1.9312525801367519</v>
      </c>
      <c r="C27" s="49">
        <f t="shared" si="6"/>
        <v>6.8991423929235154E-3</v>
      </c>
      <c r="D27" s="42">
        <f t="shared" si="9"/>
        <v>1.9243534377438285</v>
      </c>
      <c r="E27" s="42">
        <f t="shared" si="7"/>
        <v>12.634859565183056</v>
      </c>
      <c r="F27" s="42">
        <f t="shared" si="10"/>
        <v>4.5136351480559375E-2</v>
      </c>
      <c r="G27" s="42">
        <f t="shared" si="11"/>
        <v>12.589723213702497</v>
      </c>
    </row>
    <row r="28" spans="1:14" x14ac:dyDescent="0.2">
      <c r="A28" s="72" t="s">
        <v>94</v>
      </c>
      <c r="B28" s="49">
        <f t="shared" si="8"/>
        <v>0.72096038006050733</v>
      </c>
      <c r="C28" s="49">
        <f t="shared" si="6"/>
        <v>6.7976844165569938E-3</v>
      </c>
      <c r="D28" s="42">
        <f t="shared" si="9"/>
        <v>0.7141626956439503</v>
      </c>
      <c r="E28" s="42">
        <f t="shared" si="7"/>
        <v>4.7167487297184554</v>
      </c>
      <c r="F28" s="42">
        <f t="shared" si="10"/>
        <v>4.4472581605845274E-2</v>
      </c>
      <c r="G28" s="42">
        <f t="shared" si="11"/>
        <v>4.6722761481126103</v>
      </c>
    </row>
    <row r="29" spans="1:14" x14ac:dyDescent="0.2">
      <c r="A29" s="43" t="s">
        <v>96</v>
      </c>
      <c r="B29" s="49">
        <f t="shared" si="8"/>
        <v>9.8198030127889552E-2</v>
      </c>
      <c r="C29" s="49">
        <f t="shared" si="6"/>
        <v>4.9399888692859702E-4</v>
      </c>
      <c r="D29" s="42">
        <f t="shared" si="9"/>
        <v>9.7704031240960956E-2</v>
      </c>
      <c r="E29" s="42">
        <f t="shared" si="7"/>
        <v>0.64244228486966948</v>
      </c>
      <c r="F29" s="42">
        <f t="shared" si="10"/>
        <v>3.2318955199829944E-3</v>
      </c>
      <c r="G29" s="42">
        <f t="shared" si="11"/>
        <v>0.63921038934968644</v>
      </c>
    </row>
    <row r="30" spans="1:14" x14ac:dyDescent="0.2">
      <c r="A30" s="44" t="s">
        <v>123</v>
      </c>
      <c r="B30" s="79"/>
      <c r="C30" s="79"/>
      <c r="D30" s="79"/>
      <c r="E30" s="79"/>
      <c r="F30" s="79"/>
      <c r="G30" s="79"/>
    </row>
    <row r="31" spans="1:14" ht="16" thickBot="1" x14ac:dyDescent="0.25">
      <c r="A31" s="61" t="s">
        <v>86</v>
      </c>
      <c r="B31" s="50">
        <f>($N15*$B$43-((M15-L15-K15)*$B$43))*$B$4</f>
        <v>20557.384733991836</v>
      </c>
      <c r="C31" s="50">
        <f>($K15*$B$43)*$B$4</f>
        <v>866.50184715828357</v>
      </c>
      <c r="D31" s="34">
        <f>B31-C31</f>
        <v>19690.882886833551</v>
      </c>
      <c r="E31" s="34">
        <f>($N15*$B$43-((M15-L15-K15)*$B$43))*$C$4</f>
        <v>134492.85288361026</v>
      </c>
      <c r="F31" s="34">
        <f>($K15*$B$43)*$C$4</f>
        <v>5668.9266149958439</v>
      </c>
      <c r="G31" s="34">
        <f>E31-F31</f>
        <v>128823.92626861442</v>
      </c>
    </row>
    <row r="32" spans="1:14" ht="14.5" customHeight="1" x14ac:dyDescent="0.2"/>
    <row r="33" spans="1:13" ht="16" thickBot="1" x14ac:dyDescent="0.25"/>
    <row r="34" spans="1:13" x14ac:dyDescent="0.2">
      <c r="A34" s="212" t="s">
        <v>150</v>
      </c>
      <c r="B34" s="213"/>
      <c r="C34" s="214"/>
    </row>
    <row r="35" spans="1:13" x14ac:dyDescent="0.2">
      <c r="A35" s="46"/>
      <c r="B35" s="28" t="s">
        <v>117</v>
      </c>
      <c r="C35" s="60" t="s">
        <v>57</v>
      </c>
    </row>
    <row r="36" spans="1:13" ht="14.5" customHeight="1" x14ac:dyDescent="0.2">
      <c r="A36" s="64" t="s">
        <v>58</v>
      </c>
      <c r="B36" s="37" t="str">
        <f>N4</f>
        <v>Co in Cobalt Salts</v>
      </c>
      <c r="C36" s="42" t="str">
        <f>$A$4</f>
        <v>Co</v>
      </c>
    </row>
    <row r="37" spans="1:13" x14ac:dyDescent="0.2">
      <c r="A37" s="65" t="s">
        <v>119</v>
      </c>
      <c r="B37" s="39">
        <f>154.9958/1000</f>
        <v>0.15499579999999999</v>
      </c>
      <c r="C37" s="58">
        <f>VLOOKUP(C36,Atomic_Mass,2,FALSE)/1000</f>
        <v>5.8932999999999999E-2</v>
      </c>
    </row>
    <row r="38" spans="1:13" x14ac:dyDescent="0.2">
      <c r="A38" s="66" t="s">
        <v>120</v>
      </c>
      <c r="B38" s="221">
        <v>1</v>
      </c>
      <c r="C38" s="222"/>
    </row>
    <row r="39" spans="1:13" x14ac:dyDescent="0.2">
      <c r="A39" s="223" t="s">
        <v>124</v>
      </c>
      <c r="B39" s="225">
        <f>B37/(B38*C37)</f>
        <v>2.6300341065277517</v>
      </c>
      <c r="C39" s="226"/>
    </row>
    <row r="40" spans="1:13" ht="16" thickBot="1" x14ac:dyDescent="0.25">
      <c r="A40" s="224"/>
      <c r="B40" s="227"/>
      <c r="C40" s="228"/>
    </row>
    <row r="41" spans="1:13" x14ac:dyDescent="0.2">
      <c r="A41" s="64" t="s">
        <v>58</v>
      </c>
      <c r="B41" s="37" t="str">
        <f>K4</f>
        <v>Co in Cobalt Salts</v>
      </c>
      <c r="C41" s="42" t="str">
        <f>$A$4</f>
        <v>Co</v>
      </c>
    </row>
    <row r="42" spans="1:13" x14ac:dyDescent="0.2">
      <c r="A42" s="66" t="s">
        <v>153</v>
      </c>
      <c r="B42" s="229">
        <v>1</v>
      </c>
      <c r="C42" s="230"/>
    </row>
    <row r="43" spans="1:13" x14ac:dyDescent="0.2">
      <c r="A43" s="223" t="s">
        <v>124</v>
      </c>
      <c r="B43" s="225">
        <f>1/(B42)</f>
        <v>1</v>
      </c>
      <c r="C43" s="226"/>
    </row>
    <row r="44" spans="1:13" ht="16" thickBot="1" x14ac:dyDescent="0.25">
      <c r="A44" s="224"/>
      <c r="B44" s="227"/>
      <c r="C44" s="228"/>
      <c r="L44" s="40"/>
      <c r="M44" s="40"/>
    </row>
    <row r="47" spans="1:13" ht="14.5" customHeight="1" x14ac:dyDescent="0.2"/>
    <row r="57" spans="21:21" x14ac:dyDescent="0.2">
      <c r="U57" s="40"/>
    </row>
    <row r="76" spans="17:17" x14ac:dyDescent="0.2">
      <c r="Q76" s="40"/>
    </row>
    <row r="82" spans="21:31" x14ac:dyDescent="0.2">
      <c r="U82" s="40"/>
    </row>
    <row r="89" spans="21:31" x14ac:dyDescent="0.2">
      <c r="AE89" s="40"/>
    </row>
  </sheetData>
  <mergeCells count="10">
    <mergeCell ref="B42:C42"/>
    <mergeCell ref="A43:A44"/>
    <mergeCell ref="B43:C44"/>
    <mergeCell ref="I2:N2"/>
    <mergeCell ref="A34:C34"/>
    <mergeCell ref="B38:C38"/>
    <mergeCell ref="A39:A40"/>
    <mergeCell ref="B39:C40"/>
    <mergeCell ref="A6:G6"/>
    <mergeCell ref="A2:C2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3B6C5-60A2-48E3-BC6A-3A16136DF0DB}">
  <sheetPr>
    <tabColor theme="9" tint="0.59999389629810485"/>
  </sheetPr>
  <dimension ref="A1:AD84"/>
  <sheetViews>
    <sheetView zoomScaleNormal="100" workbookViewId="0">
      <selection activeCell="J16" sqref="J16:J26"/>
    </sheetView>
  </sheetViews>
  <sheetFormatPr baseColWidth="10" defaultColWidth="8.83203125" defaultRowHeight="15" x14ac:dyDescent="0.2"/>
  <cols>
    <col min="1" max="1" width="29.83203125" customWidth="1"/>
    <col min="2" max="2" width="28" bestFit="1" customWidth="1"/>
    <col min="3" max="7" width="27.5" customWidth="1"/>
    <col min="8" max="8" width="12.83203125" customWidth="1"/>
    <col min="9" max="9" width="24.5" bestFit="1" customWidth="1"/>
    <col min="10" max="10" width="18.5" customWidth="1"/>
    <col min="11" max="11" width="35.6640625" bestFit="1" customWidth="1"/>
    <col min="12" max="12" width="34" bestFit="1" customWidth="1"/>
    <col min="13" max="13" width="40" bestFit="1" customWidth="1"/>
    <col min="14" max="14" width="11" customWidth="1"/>
    <col min="15" max="15" width="15.1640625" customWidth="1"/>
    <col min="16" max="16" width="14.5" customWidth="1"/>
    <col min="17" max="18" width="10" customWidth="1"/>
    <col min="19" max="19" width="18.83203125" customWidth="1"/>
    <col min="20" max="20" width="22.83203125" customWidth="1"/>
    <col min="21" max="21" width="16.6640625" customWidth="1"/>
    <col min="22" max="22" width="12.83203125" customWidth="1"/>
    <col min="25" max="25" width="28.83203125" bestFit="1" customWidth="1"/>
    <col min="26" max="26" width="14.1640625" customWidth="1"/>
    <col min="27" max="27" width="42.83203125" customWidth="1"/>
    <col min="28" max="28" width="41.6640625" bestFit="1" customWidth="1"/>
    <col min="29" max="29" width="25.33203125" customWidth="1"/>
  </cols>
  <sheetData>
    <row r="1" spans="1:13" ht="16" thickBot="1" x14ac:dyDescent="0.25"/>
    <row r="2" spans="1:13" ht="19" x14ac:dyDescent="0.25">
      <c r="A2" s="218" t="s">
        <v>243</v>
      </c>
      <c r="B2" s="219"/>
      <c r="C2" s="220"/>
      <c r="I2" s="215" t="s">
        <v>233</v>
      </c>
      <c r="J2" s="216"/>
      <c r="K2" s="216"/>
      <c r="L2" s="216"/>
      <c r="M2" s="217"/>
    </row>
    <row r="3" spans="1:13" ht="31.25" customHeight="1" x14ac:dyDescent="0.2">
      <c r="A3" s="29" t="s">
        <v>57</v>
      </c>
      <c r="B3" s="94" t="s">
        <v>151</v>
      </c>
      <c r="C3" s="94" t="s">
        <v>212</v>
      </c>
      <c r="I3" s="46"/>
      <c r="J3" s="110" t="s">
        <v>149</v>
      </c>
      <c r="K3" s="110" t="s">
        <v>102</v>
      </c>
      <c r="L3" s="110" t="s">
        <v>138</v>
      </c>
      <c r="M3" s="109" t="s">
        <v>178</v>
      </c>
    </row>
    <row r="4" spans="1:13" ht="33" thickBot="1" x14ac:dyDescent="0.25">
      <c r="A4" s="33" t="s">
        <v>14</v>
      </c>
      <c r="B4" s="34">
        <f>VLOOKUP(A4,NCA_Composition,4,FALSE)</f>
        <v>7.1842483792491849E-2</v>
      </c>
      <c r="C4" s="34">
        <f>VLOOKUP(A4,LCO_Composition,4,FALSE)</f>
        <v>7.0890680399309278E-2</v>
      </c>
      <c r="I4" s="62"/>
      <c r="J4" s="120" t="s">
        <v>148</v>
      </c>
      <c r="K4" s="121" t="s">
        <v>103</v>
      </c>
      <c r="L4" s="121" t="s">
        <v>103</v>
      </c>
      <c r="M4" s="111" t="s">
        <v>103</v>
      </c>
    </row>
    <row r="5" spans="1:13" ht="33" thickBot="1" x14ac:dyDescent="0.25">
      <c r="I5" s="62"/>
      <c r="J5" s="118" t="s">
        <v>169</v>
      </c>
      <c r="K5" s="119"/>
      <c r="L5" s="85"/>
      <c r="M5" s="71"/>
    </row>
    <row r="6" spans="1:13" x14ac:dyDescent="0.2">
      <c r="A6" s="212" t="s">
        <v>147</v>
      </c>
      <c r="B6" s="213"/>
      <c r="C6" s="213"/>
      <c r="D6" s="213"/>
      <c r="E6" s="213"/>
      <c r="F6" s="213"/>
      <c r="G6" s="214"/>
      <c r="I6" s="67" t="s">
        <v>142</v>
      </c>
      <c r="J6" s="37" t="s">
        <v>83</v>
      </c>
      <c r="K6" s="95">
        <v>1.5024498861863897</v>
      </c>
      <c r="L6" s="95">
        <v>30.477796700783195</v>
      </c>
      <c r="M6" s="68">
        <v>1.7383444391166081</v>
      </c>
    </row>
    <row r="7" spans="1:13" x14ac:dyDescent="0.2">
      <c r="A7" s="46"/>
      <c r="B7" s="80" t="s">
        <v>164</v>
      </c>
      <c r="C7" s="80" t="s">
        <v>172</v>
      </c>
      <c r="D7" s="80" t="s">
        <v>166</v>
      </c>
      <c r="E7" s="80" t="s">
        <v>209</v>
      </c>
      <c r="F7" s="80" t="s">
        <v>232</v>
      </c>
      <c r="G7" s="80" t="s">
        <v>211</v>
      </c>
      <c r="I7" s="47" t="s">
        <v>89</v>
      </c>
      <c r="J7" s="36" t="s">
        <v>83</v>
      </c>
      <c r="K7" s="41">
        <v>1.1287664588810442</v>
      </c>
      <c r="L7" s="41">
        <v>27.571002606965504</v>
      </c>
      <c r="M7" s="42">
        <v>1.3635587008162613</v>
      </c>
    </row>
    <row r="8" spans="1:13" x14ac:dyDescent="0.2">
      <c r="A8" s="44" t="s">
        <v>121</v>
      </c>
      <c r="B8" s="59"/>
      <c r="C8" s="59"/>
      <c r="D8" s="59"/>
      <c r="E8" s="59"/>
      <c r="F8" s="59"/>
      <c r="G8" s="55"/>
      <c r="I8" s="47" t="s">
        <v>91</v>
      </c>
      <c r="J8" s="36" t="s">
        <v>83</v>
      </c>
      <c r="K8" s="41">
        <v>0.52690465561048738</v>
      </c>
      <c r="L8" s="41">
        <v>14.003758880492954</v>
      </c>
      <c r="M8" s="42">
        <v>0.5280069666054884</v>
      </c>
    </row>
    <row r="9" spans="1:13" x14ac:dyDescent="0.2">
      <c r="A9" s="43" t="s">
        <v>126</v>
      </c>
      <c r="B9" s="49">
        <f>($L16*$B$39-((M16-K16)*$B$39))*$B$4</f>
        <v>2.7045283104886093E-4</v>
      </c>
      <c r="C9" s="49">
        <f>($K16*$B$39)*$B$4</f>
        <v>4.7802322015410209E-6</v>
      </c>
      <c r="D9" s="42">
        <f>B9-C9</f>
        <v>2.6567259884731993E-4</v>
      </c>
      <c r="E9" s="42">
        <f>($L16*$B$39-((M16-K16)*$B$39))*$C$4</f>
        <v>2.6686974331721093E-4</v>
      </c>
      <c r="F9" s="42">
        <f>($K16*$B$39)*$C$4</f>
        <v>4.7169014118822312E-6</v>
      </c>
      <c r="G9" s="42">
        <f>E9-F9</f>
        <v>2.6215284190532869E-4</v>
      </c>
      <c r="I9" s="47" t="s">
        <v>90</v>
      </c>
      <c r="J9" s="36" t="s">
        <v>83</v>
      </c>
      <c r="K9" s="41">
        <v>0.21935988800520292</v>
      </c>
      <c r="L9" s="41">
        <v>5.5710797687351539</v>
      </c>
      <c r="M9" s="42">
        <v>0.24361072989522536</v>
      </c>
    </row>
    <row r="10" spans="1:13" x14ac:dyDescent="0.2">
      <c r="A10" s="43" t="s">
        <v>127</v>
      </c>
      <c r="B10" s="49">
        <f t="shared" ref="B10:B19" si="0">($L17*$B$39-((M17-K17)*$B$39))*$B$4</f>
        <v>1.1330036748487269E-3</v>
      </c>
      <c r="C10" s="49">
        <f t="shared" ref="C10:C19" si="1">($K17*$B$39)*$B$4</f>
        <v>6.8358914539389827E-5</v>
      </c>
      <c r="D10" s="42">
        <f t="shared" ref="D10:D19" si="2">B10-C10</f>
        <v>1.064644760309337E-3</v>
      </c>
      <c r="E10" s="42">
        <f t="shared" ref="E10:E19" si="3">($L17*$B$39-((M17-K17)*$B$39))*$C$4</f>
        <v>1.1179931033138651E-3</v>
      </c>
      <c r="F10" s="42">
        <f t="shared" ref="F10:F19" si="4">($K17*$B$39)*$C$4</f>
        <v>6.7453263128439183E-5</v>
      </c>
      <c r="G10" s="42">
        <f t="shared" ref="G10:G19" si="5">E10-F10</f>
        <v>1.0505398401854259E-3</v>
      </c>
      <c r="I10" s="47" t="s">
        <v>92</v>
      </c>
      <c r="J10" s="36" t="s">
        <v>83</v>
      </c>
      <c r="K10" s="41">
        <v>0.38250191526535382</v>
      </c>
      <c r="L10" s="41">
        <v>7.9950616467423963</v>
      </c>
      <c r="M10" s="42">
        <v>0.59194100431554764</v>
      </c>
    </row>
    <row r="11" spans="1:13" x14ac:dyDescent="0.2">
      <c r="A11" s="43" t="s">
        <v>128</v>
      </c>
      <c r="B11" s="49">
        <f t="shared" si="0"/>
        <v>1.8478414048655051E-3</v>
      </c>
      <c r="C11" s="49">
        <f t="shared" si="1"/>
        <v>6.3171902516968504E-5</v>
      </c>
      <c r="D11" s="42">
        <f t="shared" si="2"/>
        <v>1.7846695023485365E-3</v>
      </c>
      <c r="E11" s="42">
        <f t="shared" si="3"/>
        <v>1.8233603231103939E-3</v>
      </c>
      <c r="F11" s="42">
        <f t="shared" si="4"/>
        <v>6.2334971108205978E-5</v>
      </c>
      <c r="G11" s="42">
        <f t="shared" si="5"/>
        <v>1.7610253520021879E-3</v>
      </c>
      <c r="I11" s="47" t="s">
        <v>93</v>
      </c>
      <c r="J11" s="36" t="s">
        <v>83</v>
      </c>
      <c r="K11" s="41">
        <v>0.37368342730534571</v>
      </c>
      <c r="L11" s="41">
        <v>2.9078964048126901</v>
      </c>
      <c r="M11" s="42">
        <v>0.37478573830034673</v>
      </c>
    </row>
    <row r="12" spans="1:13" x14ac:dyDescent="0.2">
      <c r="A12" s="43" t="s">
        <v>129</v>
      </c>
      <c r="B12" s="49">
        <f t="shared" si="0"/>
        <v>6.5328366920085136E-4</v>
      </c>
      <c r="C12" s="49">
        <f>($K19*$B$39)*$B$4</f>
        <v>6.9546445096718147E-6</v>
      </c>
      <c r="D12" s="42">
        <f t="shared" si="2"/>
        <v>6.4632902469117951E-4</v>
      </c>
      <c r="E12" s="42">
        <f t="shared" si="3"/>
        <v>6.446286564530723E-4</v>
      </c>
      <c r="F12" s="42">
        <f t="shared" si="4"/>
        <v>6.8625060716160865E-6</v>
      </c>
      <c r="G12" s="42">
        <f t="shared" si="5"/>
        <v>6.3776615038145621E-4</v>
      </c>
      <c r="I12" s="47" t="s">
        <v>95</v>
      </c>
      <c r="J12" s="36" t="s">
        <v>83</v>
      </c>
      <c r="K12" s="41">
        <v>0.37258111631034468</v>
      </c>
      <c r="L12" s="41">
        <v>2.8748270749626594</v>
      </c>
      <c r="M12" s="42">
        <v>0.37368342730534571</v>
      </c>
    </row>
    <row r="13" spans="1:13" x14ac:dyDescent="0.2">
      <c r="A13" s="43" t="s">
        <v>130</v>
      </c>
      <c r="B13" s="49">
        <f t="shared" si="0"/>
        <v>4.5335037513828072E-4</v>
      </c>
      <c r="C13" s="49">
        <f>($K20*$B$39)*$B$4</f>
        <v>5.1068031048063104E-6</v>
      </c>
      <c r="D13" s="42">
        <f t="shared" si="2"/>
        <v>4.4824357203347443E-4</v>
      </c>
      <c r="E13" s="42">
        <f t="shared" si="3"/>
        <v>4.4734417375744394E-4</v>
      </c>
      <c r="F13" s="42">
        <f t="shared" si="4"/>
        <v>5.0391457485056932E-6</v>
      </c>
      <c r="G13" s="42">
        <f t="shared" si="5"/>
        <v>4.4230502800893826E-4</v>
      </c>
      <c r="I13" s="47" t="s">
        <v>94</v>
      </c>
      <c r="J13" s="36" t="s">
        <v>83</v>
      </c>
      <c r="K13" s="41">
        <v>1.2125420945011218E-3</v>
      </c>
      <c r="L13" s="41">
        <v>3.1967018855029575E-2</v>
      </c>
      <c r="M13" s="42">
        <v>1.7945622998616602E-3</v>
      </c>
    </row>
    <row r="14" spans="1:13" x14ac:dyDescent="0.2">
      <c r="A14" s="43" t="s">
        <v>131</v>
      </c>
      <c r="B14" s="49">
        <f t="shared" si="0"/>
        <v>1.0355012169801421E-3</v>
      </c>
      <c r="C14" s="49">
        <f t="shared" si="1"/>
        <v>2.6335809504375425E-5</v>
      </c>
      <c r="D14" s="42">
        <f>B14-C14</f>
        <v>1.0091654074757667E-3</v>
      </c>
      <c r="E14" s="42">
        <f t="shared" si="3"/>
        <v>1.0217824043787689E-3</v>
      </c>
      <c r="F14" s="42">
        <f>($K21*$B$39)*$C$4</f>
        <v>2.5986900174891833E-5</v>
      </c>
      <c r="G14" s="42">
        <f t="shared" si="5"/>
        <v>9.9579550420387706E-4</v>
      </c>
      <c r="I14" s="47" t="s">
        <v>96</v>
      </c>
      <c r="J14" s="36" t="s">
        <v>83</v>
      </c>
      <c r="K14" s="41">
        <v>0.17085820422515804</v>
      </c>
      <c r="L14" s="41">
        <v>1.3536379018612521</v>
      </c>
      <c r="M14" s="42">
        <v>0.17085820422515804</v>
      </c>
    </row>
    <row r="15" spans="1:13" x14ac:dyDescent="0.2">
      <c r="A15" s="43" t="s">
        <v>132</v>
      </c>
      <c r="B15" s="49">
        <f t="shared" si="0"/>
        <v>4.2408968124487198E-5</v>
      </c>
      <c r="C15" s="49">
        <f t="shared" si="1"/>
        <v>2.272628169921195E-6</v>
      </c>
      <c r="D15" s="42">
        <f t="shared" si="2"/>
        <v>4.0136339954566E-5</v>
      </c>
      <c r="E15" s="42">
        <f t="shared" si="3"/>
        <v>4.1847113945296403E-5</v>
      </c>
      <c r="F15" s="42">
        <f>($K22*$B$39)*$C$4</f>
        <v>2.242519311076321E-6</v>
      </c>
      <c r="G15" s="42">
        <f t="shared" si="5"/>
        <v>3.960459463422008E-5</v>
      </c>
      <c r="I15" s="67" t="s">
        <v>84</v>
      </c>
      <c r="J15" s="37" t="s">
        <v>85</v>
      </c>
      <c r="K15" s="95">
        <v>3177.0807497919391</v>
      </c>
      <c r="L15" s="95">
        <v>16304.722851458082</v>
      </c>
      <c r="M15" s="68">
        <v>3193.284721418454</v>
      </c>
    </row>
    <row r="16" spans="1:13" x14ac:dyDescent="0.2">
      <c r="A16" s="43" t="s">
        <v>133</v>
      </c>
      <c r="B16" s="49">
        <f t="shared" si="0"/>
        <v>8.2754939272252059E-5</v>
      </c>
      <c r="C16" s="49">
        <f t="shared" si="1"/>
        <v>1.070084797308462E-6</v>
      </c>
      <c r="D16" s="42">
        <f t="shared" si="2"/>
        <v>8.16848544749436E-5</v>
      </c>
      <c r="E16" s="42">
        <f t="shared" si="3"/>
        <v>8.1658562478968374E-5</v>
      </c>
      <c r="F16" s="42">
        <f t="shared" si="4"/>
        <v>1.0559078049871342E-6</v>
      </c>
      <c r="G16" s="42">
        <f t="shared" si="5"/>
        <v>8.0602654673981244E-5</v>
      </c>
      <c r="I16" s="67" t="s">
        <v>70</v>
      </c>
      <c r="J16" s="37" t="s">
        <v>56</v>
      </c>
      <c r="K16" s="95">
        <v>1.2495136052734559E-5</v>
      </c>
      <c r="L16" s="95">
        <v>7.0955758748215644E-4</v>
      </c>
      <c r="M16" s="68">
        <v>1.5111140506070981E-5</v>
      </c>
    </row>
    <row r="17" spans="1:13" x14ac:dyDescent="0.2">
      <c r="A17" s="43" t="s">
        <v>134</v>
      </c>
      <c r="B17" s="49">
        <f t="shared" si="0"/>
        <v>1.485931346520629E-3</v>
      </c>
      <c r="C17" s="49">
        <f t="shared" si="1"/>
        <v>5.6888448928832119E-5</v>
      </c>
      <c r="D17" s="42">
        <f t="shared" si="2"/>
        <v>1.4290428975917968E-3</v>
      </c>
      <c r="E17" s="42">
        <f t="shared" si="3"/>
        <v>1.4662450213409519E-3</v>
      </c>
      <c r="F17" s="42">
        <f t="shared" si="4"/>
        <v>5.6134763701582017E-5</v>
      </c>
      <c r="G17" s="42">
        <f t="shared" si="5"/>
        <v>1.4101102576393699E-3</v>
      </c>
      <c r="I17" s="47" t="s">
        <v>72</v>
      </c>
      <c r="J17" s="36" t="s">
        <v>56</v>
      </c>
      <c r="K17" s="41">
        <v>1.7868461228966528E-4</v>
      </c>
      <c r="L17" s="41">
        <v>2.997844982004773E-3</v>
      </c>
      <c r="M17" s="42">
        <v>2.1495064402519886E-4</v>
      </c>
    </row>
    <row r="18" spans="1:13" x14ac:dyDescent="0.2">
      <c r="A18" s="43" t="s">
        <v>135</v>
      </c>
      <c r="B18" s="49">
        <f t="shared" si="0"/>
        <v>1.0673563446430095E-5</v>
      </c>
      <c r="C18" s="49">
        <f t="shared" si="1"/>
        <v>8.6095965406303669E-7</v>
      </c>
      <c r="D18" s="42">
        <f t="shared" si="2"/>
        <v>9.8126037923670584E-6</v>
      </c>
      <c r="E18" s="42">
        <f t="shared" si="3"/>
        <v>1.0532155001602309E-5</v>
      </c>
      <c r="F18" s="42">
        <f t="shared" si="4"/>
        <v>8.4955325109821984E-7</v>
      </c>
      <c r="G18" s="42">
        <f t="shared" si="5"/>
        <v>9.6826017505040888E-6</v>
      </c>
      <c r="I18" s="47" t="s">
        <v>73</v>
      </c>
      <c r="J18" s="36" t="s">
        <v>56</v>
      </c>
      <c r="K18" s="41">
        <v>1.6512618705115273E-4</v>
      </c>
      <c r="L18" s="41">
        <v>4.8547980841834914E-3</v>
      </c>
      <c r="M18" s="42">
        <v>1.8981795333917559E-4</v>
      </c>
    </row>
    <row r="19" spans="1:13" x14ac:dyDescent="0.2">
      <c r="A19" s="43" t="s">
        <v>136</v>
      </c>
      <c r="B19" s="49">
        <f t="shared" si="0"/>
        <v>0.97618659589135925</v>
      </c>
      <c r="C19" s="49">
        <f t="shared" si="1"/>
        <v>3.4746401900828512E-2</v>
      </c>
      <c r="D19" s="42">
        <f t="shared" si="2"/>
        <v>0.94144019399053069</v>
      </c>
      <c r="E19" s="42">
        <f t="shared" si="3"/>
        <v>0.96325361159988565</v>
      </c>
      <c r="F19" s="42">
        <f t="shared" si="4"/>
        <v>3.4286065043244107E-2</v>
      </c>
      <c r="G19" s="42">
        <f t="shared" si="5"/>
        <v>0.9289675465566416</v>
      </c>
      <c r="I19" s="47" t="s">
        <v>74</v>
      </c>
      <c r="J19" s="36" t="s">
        <v>56</v>
      </c>
      <c r="K19" s="41">
        <v>1.8178872005158817E-5</v>
      </c>
      <c r="L19" s="41">
        <v>1.7090229666495811E-3</v>
      </c>
      <c r="M19" s="42">
        <v>1.9571752178442103E-5</v>
      </c>
    </row>
    <row r="20" spans="1:13" x14ac:dyDescent="0.2">
      <c r="A20" s="44" t="s">
        <v>122</v>
      </c>
      <c r="B20" s="59"/>
      <c r="C20" s="59"/>
      <c r="D20" s="59"/>
      <c r="E20" s="59"/>
      <c r="F20" s="59"/>
      <c r="G20" s="59"/>
      <c r="I20" s="47" t="s">
        <v>75</v>
      </c>
      <c r="J20" s="36" t="s">
        <v>56</v>
      </c>
      <c r="K20" s="41">
        <v>1.3348765687263349E-5</v>
      </c>
      <c r="L20" s="41">
        <v>1.1854252440240964E-3</v>
      </c>
      <c r="M20" s="42">
        <v>1.3753203591329222E-5</v>
      </c>
    </row>
    <row r="21" spans="1:13" x14ac:dyDescent="0.2">
      <c r="A21" s="72" t="s">
        <v>142</v>
      </c>
      <c r="B21" s="49">
        <f>($L6*$B$39-((M6-K6)*$B$39))*$B$4</f>
        <v>11.569567059766563</v>
      </c>
      <c r="C21" s="49">
        <f>($K6*$B$39)*$B$4</f>
        <v>0.57478840541140241</v>
      </c>
      <c r="D21" s="42">
        <f>B21-C21</f>
        <v>10.99477865435516</v>
      </c>
      <c r="E21" s="42">
        <f>($L6*$B$39-((M6-K6)*$B$39))*$C$4</f>
        <v>11.416287932934788</v>
      </c>
      <c r="F21" s="42">
        <f>($K6*$B$39)*$C$4</f>
        <v>0.56717333525023206</v>
      </c>
      <c r="G21" s="42">
        <f>E21-F21</f>
        <v>10.849114597684556</v>
      </c>
      <c r="I21" s="47" t="s">
        <v>76</v>
      </c>
      <c r="J21" s="36" t="s">
        <v>56</v>
      </c>
      <c r="K21" s="41">
        <v>6.8839652331112179E-5</v>
      </c>
      <c r="L21" s="41">
        <v>2.7077167281205046E-3</v>
      </c>
      <c r="M21" s="42">
        <v>6.9840881407871611E-5</v>
      </c>
    </row>
    <row r="22" spans="1:13" x14ac:dyDescent="0.2">
      <c r="A22" s="72" t="s">
        <v>89</v>
      </c>
      <c r="B22" s="49">
        <f t="shared" ref="B22:B29" si="6">($L7*$B$39-((M7-K7)*$B$39))*$B$4</f>
        <v>10.457943995449279</v>
      </c>
      <c r="C22" s="49">
        <f t="shared" ref="C22:C29" si="7">($K7*$B$39)*$B$4</f>
        <v>0.43182929357393696</v>
      </c>
      <c r="D22" s="42">
        <f t="shared" ref="D22:D29" si="8">B22-C22</f>
        <v>10.026114701875342</v>
      </c>
      <c r="E22" s="42">
        <f t="shared" ref="E22:E29" si="9">($L7*$B$39-((M7-K7)*$B$39))*$C$4</f>
        <v>10.319392179655541</v>
      </c>
      <c r="F22" s="42">
        <f t="shared" ref="F22:F29" si="10">($K7*$B$39)*$C$4</f>
        <v>0.42610821371697549</v>
      </c>
      <c r="G22" s="42">
        <f t="shared" ref="G22:G29" si="11">E22-F22</f>
        <v>9.893283965938565</v>
      </c>
      <c r="I22" s="47" t="s">
        <v>80</v>
      </c>
      <c r="J22" s="36" t="s">
        <v>56</v>
      </c>
      <c r="K22" s="41">
        <v>5.9404641831599955E-6</v>
      </c>
      <c r="L22" s="41">
        <v>1.1089248609710257E-4</v>
      </c>
      <c r="M22" s="42">
        <v>5.9793757612835319E-6</v>
      </c>
    </row>
    <row r="23" spans="1:13" x14ac:dyDescent="0.2">
      <c r="A23" s="72" t="s">
        <v>91</v>
      </c>
      <c r="B23" s="49">
        <f t="shared" si="6"/>
        <v>5.3569604651071492</v>
      </c>
      <c r="C23" s="49">
        <f>($K8*$B$39)*$B$4</f>
        <v>0.20157656477377134</v>
      </c>
      <c r="D23" s="42">
        <f t="shared" si="8"/>
        <v>5.1553839003333781</v>
      </c>
      <c r="E23" s="42">
        <f>($L8*$B$39-((M8-K8)*$B$39))*$C$4</f>
        <v>5.2859889051237685</v>
      </c>
      <c r="F23" s="42">
        <f t="shared" si="10"/>
        <v>0.19890598257491629</v>
      </c>
      <c r="G23" s="42">
        <f t="shared" si="11"/>
        <v>5.0870829225488521</v>
      </c>
      <c r="I23" s="47" t="s">
        <v>81</v>
      </c>
      <c r="J23" s="36" t="s">
        <v>56</v>
      </c>
      <c r="K23" s="41">
        <v>2.7971141498150878E-6</v>
      </c>
      <c r="L23" s="41">
        <v>2.1638364831870016E-4</v>
      </c>
      <c r="M23" s="42">
        <v>2.8661188181021512E-6</v>
      </c>
    </row>
    <row r="24" spans="1:13" x14ac:dyDescent="0.2">
      <c r="A24" s="72" t="s">
        <v>90</v>
      </c>
      <c r="B24" s="49">
        <f>($L9*$B$39-((M9-K9)*$B$39))*$B$4</f>
        <v>2.1220361379531747</v>
      </c>
      <c r="C24" s="49">
        <f>($K9*$B$39)*$B$4</f>
        <v>8.3919950606653762E-2</v>
      </c>
      <c r="D24" s="42">
        <f>B24-C24</f>
        <v>2.038116187346521</v>
      </c>
      <c r="E24" s="42">
        <f>($L9*$B$39-((M9-K9)*$B$39))*$C$4</f>
        <v>2.0939223939685752</v>
      </c>
      <c r="F24" s="42">
        <f t="shared" si="10"/>
        <v>8.2808139189138791E-2</v>
      </c>
      <c r="G24" s="42">
        <f t="shared" si="11"/>
        <v>2.0111142547794363</v>
      </c>
      <c r="I24" s="47" t="s">
        <v>77</v>
      </c>
      <c r="J24" s="36" t="s">
        <v>56</v>
      </c>
      <c r="K24" s="41">
        <v>1.4870175322563754E-4</v>
      </c>
      <c r="L24" s="41">
        <v>3.9049366997911121E-3</v>
      </c>
      <c r="M24" s="42">
        <v>1.6953543103115682E-4</v>
      </c>
    </row>
    <row r="25" spans="1:13" x14ac:dyDescent="0.2">
      <c r="A25" s="72" t="s">
        <v>92</v>
      </c>
      <c r="B25" s="49">
        <f t="shared" si="6"/>
        <v>2.9785256840944498</v>
      </c>
      <c r="C25" s="49">
        <f t="shared" si="7"/>
        <v>0.14633277819351184</v>
      </c>
      <c r="D25" s="42">
        <f t="shared" si="8"/>
        <v>2.8321929059009379</v>
      </c>
      <c r="E25" s="42">
        <f t="shared" si="9"/>
        <v>2.9390647592607402</v>
      </c>
      <c r="F25" s="42">
        <f t="shared" si="10"/>
        <v>0.14439409195292041</v>
      </c>
      <c r="G25" s="42">
        <f t="shared" si="11"/>
        <v>2.7946706673078197</v>
      </c>
      <c r="I25" s="47" t="s">
        <v>78</v>
      </c>
      <c r="J25" s="36" t="s">
        <v>56</v>
      </c>
      <c r="K25" s="41">
        <v>2.2504781273940815E-6</v>
      </c>
      <c r="L25" s="41">
        <v>2.7964307169981869E-5</v>
      </c>
      <c r="M25" s="42">
        <v>2.3149633206016414E-6</v>
      </c>
    </row>
    <row r="26" spans="1:13" ht="16" thickBot="1" x14ac:dyDescent="0.25">
      <c r="A26" s="72" t="s">
        <v>93</v>
      </c>
      <c r="B26" s="49">
        <f t="shared" si="6"/>
        <v>1.1120447726117888</v>
      </c>
      <c r="C26" s="49">
        <f t="shared" si="7"/>
        <v>0.14295911183746549</v>
      </c>
      <c r="D26" s="42">
        <f t="shared" si="8"/>
        <v>0.96908566077432334</v>
      </c>
      <c r="E26" s="42">
        <f t="shared" si="9"/>
        <v>1.0973118745817034</v>
      </c>
      <c r="F26" s="42">
        <f t="shared" si="10"/>
        <v>0.14106512153325654</v>
      </c>
      <c r="G26" s="42">
        <f t="shared" si="11"/>
        <v>0.95624675304844686</v>
      </c>
      <c r="I26" s="69" t="s">
        <v>68</v>
      </c>
      <c r="J26" s="74" t="s">
        <v>56</v>
      </c>
      <c r="K26" s="52">
        <v>9.0824253046512024E-2</v>
      </c>
      <c r="L26" s="52">
        <v>2.5688359044737292</v>
      </c>
      <c r="M26" s="34">
        <v>0.1079882273185734</v>
      </c>
    </row>
    <row r="27" spans="1:13" x14ac:dyDescent="0.2">
      <c r="A27" s="72" t="s">
        <v>95</v>
      </c>
      <c r="B27" s="49">
        <f t="shared" si="6"/>
        <v>1.0993935237766148</v>
      </c>
      <c r="C27" s="49">
        <f t="shared" si="7"/>
        <v>0.14253740354295966</v>
      </c>
      <c r="D27" s="42">
        <f t="shared" si="8"/>
        <v>0.95685612023365518</v>
      </c>
      <c r="E27" s="42">
        <f t="shared" si="9"/>
        <v>1.0848282355079639</v>
      </c>
      <c r="F27" s="42">
        <f t="shared" si="10"/>
        <v>0.14064900023079854</v>
      </c>
      <c r="G27" s="42">
        <f t="shared" si="11"/>
        <v>0.94417923527716541</v>
      </c>
    </row>
    <row r="28" spans="1:13" x14ac:dyDescent="0.2">
      <c r="A28" s="72" t="s">
        <v>94</v>
      </c>
      <c r="B28" s="49">
        <f t="shared" si="6"/>
        <v>1.2006878561169075E-2</v>
      </c>
      <c r="C28" s="49">
        <f t="shared" si="7"/>
        <v>4.6387912395637766E-4</v>
      </c>
      <c r="D28" s="42">
        <f t="shared" si="8"/>
        <v>1.1542999437212698E-2</v>
      </c>
      <c r="E28" s="42">
        <f t="shared" si="9"/>
        <v>1.1847805723583717E-2</v>
      </c>
      <c r="F28" s="42">
        <f t="shared" si="10"/>
        <v>4.5773343270378235E-4</v>
      </c>
      <c r="G28" s="42">
        <f t="shared" si="11"/>
        <v>1.1390072290879934E-2</v>
      </c>
    </row>
    <row r="29" spans="1:13" x14ac:dyDescent="0.2">
      <c r="A29" s="43" t="s">
        <v>96</v>
      </c>
      <c r="B29" s="49">
        <f t="shared" si="6"/>
        <v>0.51785778565311968</v>
      </c>
      <c r="C29" s="49">
        <f t="shared" si="7"/>
        <v>6.5364785648398663E-2</v>
      </c>
      <c r="D29" s="42">
        <f t="shared" si="8"/>
        <v>0.45249300000472104</v>
      </c>
      <c r="E29" s="42">
        <f t="shared" si="9"/>
        <v>0.51099695941840417</v>
      </c>
      <c r="F29" s="42">
        <f t="shared" si="10"/>
        <v>6.44988018809875E-2</v>
      </c>
      <c r="G29" s="42">
        <f t="shared" si="11"/>
        <v>0.44649815753741667</v>
      </c>
    </row>
    <row r="30" spans="1:13" x14ac:dyDescent="0.2">
      <c r="A30" s="44" t="s">
        <v>123</v>
      </c>
      <c r="B30" s="79"/>
      <c r="C30" s="79"/>
      <c r="D30" s="79"/>
      <c r="E30" s="79"/>
      <c r="F30" s="79"/>
      <c r="G30" s="79"/>
    </row>
    <row r="31" spans="1:13" ht="16" thickBot="1" x14ac:dyDescent="0.25">
      <c r="A31" s="61" t="s">
        <v>86</v>
      </c>
      <c r="B31" s="50">
        <f>($L15*$B$39-((M15-K15)*$B$39))*$B$4</f>
        <v>6231.4569554238224</v>
      </c>
      <c r="C31" s="50">
        <f>($K15*$B$39)*$B$4</f>
        <v>1215.4476464246104</v>
      </c>
      <c r="D31" s="34">
        <f>B31-C31</f>
        <v>5016.0093089992115</v>
      </c>
      <c r="E31" s="34">
        <f>($L15*$B$39-((M15-K15)*$B$39))*$C$4</f>
        <v>6148.8996500308895</v>
      </c>
      <c r="F31" s="34">
        <f>($K15*$B$39)*$C$4</f>
        <v>1199.3448179444013</v>
      </c>
      <c r="G31" s="34">
        <f>E31-F31</f>
        <v>4949.5548320864882</v>
      </c>
    </row>
    <row r="32" spans="1:13" ht="14.5" customHeight="1" x14ac:dyDescent="0.2"/>
    <row r="33" spans="1:3" ht="16" thickBot="1" x14ac:dyDescent="0.25"/>
    <row r="34" spans="1:3" x14ac:dyDescent="0.2">
      <c r="A34" s="212" t="s">
        <v>150</v>
      </c>
      <c r="B34" s="213"/>
      <c r="C34" s="214"/>
    </row>
    <row r="35" spans="1:3" x14ac:dyDescent="0.2">
      <c r="A35" s="46"/>
      <c r="B35" s="28" t="s">
        <v>117</v>
      </c>
      <c r="C35" s="60" t="s">
        <v>57</v>
      </c>
    </row>
    <row r="36" spans="1:3" ht="14.5" customHeight="1" x14ac:dyDescent="0.2">
      <c r="A36" s="64" t="s">
        <v>58</v>
      </c>
      <c r="B36" s="37" t="s">
        <v>103</v>
      </c>
      <c r="C36" s="42" t="str">
        <f>$A$4</f>
        <v>Li</v>
      </c>
    </row>
    <row r="37" spans="1:3" x14ac:dyDescent="0.2">
      <c r="A37" s="65" t="s">
        <v>119</v>
      </c>
      <c r="B37" s="39">
        <f>73.8909/1000</f>
        <v>7.3890899999999995E-2</v>
      </c>
      <c r="C37" s="58">
        <f>VLOOKUP(C36,Atomic_Mass,2,FALSE)/1000</f>
        <v>6.9379999999999997E-3</v>
      </c>
    </row>
    <row r="38" spans="1:3" x14ac:dyDescent="0.2">
      <c r="A38" s="66" t="s">
        <v>120</v>
      </c>
      <c r="B38" s="231">
        <v>2</v>
      </c>
      <c r="C38" s="226"/>
    </row>
    <row r="39" spans="1:3" x14ac:dyDescent="0.2">
      <c r="A39" s="223" t="s">
        <v>124</v>
      </c>
      <c r="B39" s="231">
        <f>B37/(B38*C37)</f>
        <v>5.3250864802536757</v>
      </c>
      <c r="C39" s="226"/>
    </row>
    <row r="40" spans="1:3" ht="16" thickBot="1" x14ac:dyDescent="0.25">
      <c r="A40" s="224"/>
      <c r="B40" s="232"/>
      <c r="C40" s="228"/>
    </row>
    <row r="52" spans="20:20" x14ac:dyDescent="0.2">
      <c r="T52" s="40"/>
    </row>
    <row r="71" spans="16:20" x14ac:dyDescent="0.2">
      <c r="P71" s="40"/>
    </row>
    <row r="77" spans="16:20" x14ac:dyDescent="0.2">
      <c r="T77" s="40"/>
    </row>
    <row r="84" spans="30:30" x14ac:dyDescent="0.2">
      <c r="AD84" s="40"/>
    </row>
  </sheetData>
  <mergeCells count="7">
    <mergeCell ref="I2:M2"/>
    <mergeCell ref="A34:C34"/>
    <mergeCell ref="B38:C38"/>
    <mergeCell ref="A39:A40"/>
    <mergeCell ref="B39:C40"/>
    <mergeCell ref="A6:G6"/>
    <mergeCell ref="A2:C2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24B18-4577-4685-B239-D4949E18C199}">
  <sheetPr>
    <tabColor theme="9" tint="0.59999389629810485"/>
  </sheetPr>
  <dimension ref="A1:AD88"/>
  <sheetViews>
    <sheetView topLeftCell="C3" zoomScale="96" zoomScaleNormal="96" workbookViewId="0">
      <selection activeCell="D4" sqref="D4"/>
    </sheetView>
  </sheetViews>
  <sheetFormatPr baseColWidth="10" defaultColWidth="8.83203125" defaultRowHeight="15" x14ac:dyDescent="0.2"/>
  <cols>
    <col min="1" max="1" width="29.83203125" customWidth="1"/>
    <col min="2" max="2" width="28" bestFit="1" customWidth="1"/>
    <col min="3" max="7" width="27.5" customWidth="1"/>
    <col min="8" max="8" width="12.83203125" customWidth="1"/>
    <col min="9" max="9" width="24.5" bestFit="1" customWidth="1"/>
    <col min="10" max="10" width="18.5" customWidth="1"/>
    <col min="11" max="11" width="35.6640625" bestFit="1" customWidth="1"/>
    <col min="12" max="12" width="34" bestFit="1" customWidth="1"/>
    <col min="13" max="13" width="25.5" bestFit="1" customWidth="1"/>
    <col min="14" max="14" width="11" customWidth="1"/>
    <col min="15" max="15" width="15.1640625" customWidth="1"/>
    <col min="16" max="16" width="14.5" customWidth="1"/>
    <col min="17" max="18" width="10" customWidth="1"/>
    <col min="19" max="19" width="18.83203125" customWidth="1"/>
    <col min="20" max="20" width="22.83203125" customWidth="1"/>
    <col min="21" max="21" width="16.6640625" customWidth="1"/>
    <col min="22" max="22" width="12.83203125" customWidth="1"/>
    <col min="25" max="25" width="28.83203125" bestFit="1" customWidth="1"/>
    <col min="26" max="26" width="14.1640625" customWidth="1"/>
    <col min="27" max="27" width="42.83203125" customWidth="1"/>
    <col min="28" max="28" width="41.6640625" bestFit="1" customWidth="1"/>
    <col min="29" max="29" width="25.33203125" customWidth="1"/>
  </cols>
  <sheetData>
    <row r="1" spans="1:13" ht="16" thickBot="1" x14ac:dyDescent="0.25"/>
    <row r="2" spans="1:13" ht="19" x14ac:dyDescent="0.25">
      <c r="A2" s="218" t="s">
        <v>243</v>
      </c>
      <c r="B2" s="219"/>
      <c r="C2" s="220"/>
      <c r="I2" s="215" t="s">
        <v>233</v>
      </c>
      <c r="J2" s="216"/>
      <c r="K2" s="216"/>
      <c r="L2" s="216"/>
      <c r="M2" s="217"/>
    </row>
    <row r="3" spans="1:13" ht="31.25" customHeight="1" x14ac:dyDescent="0.2">
      <c r="A3" s="29" t="s">
        <v>57</v>
      </c>
      <c r="B3" s="94" t="s">
        <v>151</v>
      </c>
      <c r="C3" s="94" t="s">
        <v>212</v>
      </c>
      <c r="I3" s="46"/>
      <c r="J3" s="110" t="s">
        <v>149</v>
      </c>
      <c r="K3" s="110" t="s">
        <v>175</v>
      </c>
      <c r="L3" s="110" t="s">
        <v>206</v>
      </c>
      <c r="M3" s="109" t="s">
        <v>173</v>
      </c>
    </row>
    <row r="4" spans="1:13" ht="33" thickBot="1" x14ac:dyDescent="0.25">
      <c r="A4" s="33" t="s">
        <v>14</v>
      </c>
      <c r="B4" s="34">
        <f>VLOOKUP(A4,NCA_Composition,4,FALSE)</f>
        <v>7.1842483792491849E-2</v>
      </c>
      <c r="C4" s="34">
        <f>VLOOKUP(A4,LCO_Composition,4,FALSE)</f>
        <v>7.0890680399309278E-2</v>
      </c>
      <c r="I4" s="62"/>
      <c r="J4" s="120" t="s">
        <v>148</v>
      </c>
      <c r="K4" s="121" t="s">
        <v>174</v>
      </c>
      <c r="L4" s="121" t="s">
        <v>174</v>
      </c>
      <c r="M4" s="111" t="s">
        <v>103</v>
      </c>
    </row>
    <row r="5" spans="1:13" ht="33" thickBot="1" x14ac:dyDescent="0.25">
      <c r="I5" s="62"/>
      <c r="J5" s="118" t="s">
        <v>169</v>
      </c>
      <c r="K5" s="119"/>
      <c r="L5" s="85"/>
      <c r="M5" s="71"/>
    </row>
    <row r="6" spans="1:13" x14ac:dyDescent="0.2">
      <c r="A6" s="212" t="s">
        <v>147</v>
      </c>
      <c r="B6" s="213"/>
      <c r="C6" s="213"/>
      <c r="D6" s="213"/>
      <c r="E6" s="213"/>
      <c r="F6" s="213"/>
      <c r="G6" s="214"/>
      <c r="I6" s="67" t="s">
        <v>142</v>
      </c>
      <c r="J6" s="37" t="s">
        <v>83</v>
      </c>
      <c r="K6" s="95">
        <v>5.6339114954502119</v>
      </c>
      <c r="L6" s="95">
        <v>6.6270937019461309</v>
      </c>
      <c r="M6" s="68">
        <v>218.9079404972525</v>
      </c>
    </row>
    <row r="7" spans="1:13" x14ac:dyDescent="0.2">
      <c r="A7" s="46"/>
      <c r="B7" s="80" t="s">
        <v>164</v>
      </c>
      <c r="C7" s="80" t="s">
        <v>154</v>
      </c>
      <c r="D7" s="80" t="s">
        <v>166</v>
      </c>
      <c r="E7" s="80" t="s">
        <v>209</v>
      </c>
      <c r="F7" s="80" t="s">
        <v>210</v>
      </c>
      <c r="G7" s="80" t="s">
        <v>211</v>
      </c>
      <c r="I7" s="47" t="s">
        <v>89</v>
      </c>
      <c r="J7" s="36" t="s">
        <v>83</v>
      </c>
      <c r="K7" s="41">
        <v>5.6063537205751865</v>
      </c>
      <c r="L7" s="41">
        <v>6.5951266830911006</v>
      </c>
      <c r="M7" s="42">
        <v>216.20286931551999</v>
      </c>
    </row>
    <row r="8" spans="1:13" x14ac:dyDescent="0.2">
      <c r="A8" s="44" t="s">
        <v>121</v>
      </c>
      <c r="B8" s="59"/>
      <c r="C8" s="59"/>
      <c r="D8" s="59"/>
      <c r="E8" s="59"/>
      <c r="F8" s="59"/>
      <c r="G8" s="55"/>
      <c r="I8" s="47" t="s">
        <v>91</v>
      </c>
      <c r="J8" s="36" t="s">
        <v>83</v>
      </c>
      <c r="K8" s="41">
        <v>8.7082568605080554E-2</v>
      </c>
      <c r="L8" s="41">
        <v>9.259412358008566E-2</v>
      </c>
      <c r="M8" s="42">
        <v>161.29455403252922</v>
      </c>
    </row>
    <row r="9" spans="1:13" x14ac:dyDescent="0.2">
      <c r="A9" s="43" t="s">
        <v>126</v>
      </c>
      <c r="B9" s="49">
        <f>($M16*$B$39-((L16-K16)*$B$43))*$B$4</f>
        <v>1.039861345796877E-3</v>
      </c>
      <c r="C9" s="49">
        <f>($K16*$B$43)*$B$4</f>
        <v>2.0513737876793955E-4</v>
      </c>
      <c r="D9" s="42">
        <f>B9-C9</f>
        <v>8.347239670289375E-4</v>
      </c>
      <c r="E9" s="42">
        <f>($M16*$B$39-((L16-K16)*$B$43))*$C$4</f>
        <v>1.0260847681352859E-3</v>
      </c>
      <c r="F9" s="42">
        <f>($K16*$B$43)*$C$4</f>
        <v>2.0241962121178575E-4</v>
      </c>
      <c r="G9" s="42">
        <f>E9-F9</f>
        <v>8.2366514692350018E-4</v>
      </c>
      <c r="I9" s="47" t="s">
        <v>90</v>
      </c>
      <c r="J9" s="36" t="s">
        <v>83</v>
      </c>
      <c r="K9" s="41">
        <v>0.57761096138053436</v>
      </c>
      <c r="L9" s="41">
        <v>0.66028428600561084</v>
      </c>
      <c r="M9" s="42">
        <v>7.3149357628267664</v>
      </c>
    </row>
    <row r="10" spans="1:13" x14ac:dyDescent="0.2">
      <c r="A10" s="43" t="s">
        <v>127</v>
      </c>
      <c r="B10" s="49">
        <f t="shared" ref="B10:B19" si="0">($M17*$B$39-((L17-K17)*$B$43))*$B$4</f>
        <v>4.8321301120308781E-3</v>
      </c>
      <c r="C10" s="49">
        <f t="shared" ref="C10:C19" si="1">($K17*$B$43)*$B$4</f>
        <v>5.3619209805785297E-4</v>
      </c>
      <c r="D10" s="42">
        <f t="shared" ref="D10:D19" si="2">B10-C10</f>
        <v>4.295938013973025E-3</v>
      </c>
      <c r="E10" s="42">
        <f t="shared" ref="E10:E19" si="3">($M17*$B$39-((L17-K17)*$B$43))*$C$4</f>
        <v>4.768111754171551E-3</v>
      </c>
      <c r="F10" s="42">
        <f t="shared" ref="F10:F19" si="4">($K17*$B$43)*$C$4</f>
        <v>5.2908837013269895E-4</v>
      </c>
      <c r="G10" s="42">
        <f t="shared" ref="G10:G19" si="5">E10-F10</f>
        <v>4.2390233840388517E-3</v>
      </c>
      <c r="I10" s="47" t="s">
        <v>92</v>
      </c>
      <c r="J10" s="36" t="s">
        <v>83</v>
      </c>
      <c r="K10" s="41">
        <v>4.9427625015845722</v>
      </c>
      <c r="L10" s="41">
        <v>5.8422482735054047</v>
      </c>
      <c r="M10" s="42">
        <v>47.593379520164028</v>
      </c>
    </row>
    <row r="11" spans="1:13" x14ac:dyDescent="0.2">
      <c r="A11" s="43" t="s">
        <v>128</v>
      </c>
      <c r="B11" s="49">
        <f t="shared" si="0"/>
        <v>7.30545665236303E-3</v>
      </c>
      <c r="C11" s="49">
        <f>($K18*$B$43)*$B$4</f>
        <v>2.1717626949953207E-3</v>
      </c>
      <c r="D11" s="42">
        <f t="shared" si="2"/>
        <v>5.1336939573677094E-3</v>
      </c>
      <c r="E11" s="42">
        <f t="shared" si="3"/>
        <v>7.2086704881965573E-3</v>
      </c>
      <c r="F11" s="42">
        <f t="shared" si="4"/>
        <v>2.1429901499333431E-3</v>
      </c>
      <c r="G11" s="42">
        <f t="shared" si="5"/>
        <v>5.0656803382632138E-3</v>
      </c>
      <c r="I11" s="47" t="s">
        <v>93</v>
      </c>
      <c r="J11" s="36" t="s">
        <v>83</v>
      </c>
      <c r="K11" s="41">
        <v>2.7557774875025493E-2</v>
      </c>
      <c r="L11" s="41">
        <v>3.1967018855029575E-2</v>
      </c>
      <c r="M11" s="42">
        <v>2.7050711817325022</v>
      </c>
    </row>
    <row r="12" spans="1:13" x14ac:dyDescent="0.2">
      <c r="A12" s="43" t="s">
        <v>129</v>
      </c>
      <c r="B12" s="49">
        <f t="shared" si="0"/>
        <v>1.4324505429792662E-3</v>
      </c>
      <c r="C12" s="49">
        <f>($K19*$B$43)*$B$4</f>
        <v>9.7211030661722389E-5</v>
      </c>
      <c r="D12" s="42">
        <f t="shared" si="2"/>
        <v>1.3352395123175439E-3</v>
      </c>
      <c r="E12" s="42">
        <f t="shared" si="3"/>
        <v>1.4134727569200881E-3</v>
      </c>
      <c r="F12" s="42">
        <f t="shared" si="4"/>
        <v>9.5923132694471537E-5</v>
      </c>
      <c r="G12" s="42">
        <f t="shared" si="5"/>
        <v>1.3175496242256166E-3</v>
      </c>
      <c r="I12" s="47" t="s">
        <v>95</v>
      </c>
      <c r="J12" s="36" t="s">
        <v>83</v>
      </c>
      <c r="K12" s="41">
        <v>1.4330042935013255E-2</v>
      </c>
      <c r="L12" s="41">
        <v>1.6534664925015295E-2</v>
      </c>
      <c r="M12" s="42">
        <v>2.1958035020420312</v>
      </c>
    </row>
    <row r="13" spans="1:13" x14ac:dyDescent="0.2">
      <c r="A13" s="43" t="s">
        <v>130</v>
      </c>
      <c r="B13" s="49">
        <f t="shared" si="0"/>
        <v>9.5353066204723438E-4</v>
      </c>
      <c r="C13" s="49">
        <f t="shared" si="1"/>
        <v>8.2383202228784947E-5</v>
      </c>
      <c r="D13" s="42">
        <f>B13-C13</f>
        <v>8.7114745981844944E-4</v>
      </c>
      <c r="E13" s="42">
        <f t="shared" si="3"/>
        <v>9.4089783434236831E-4</v>
      </c>
      <c r="F13" s="42">
        <f t="shared" si="4"/>
        <v>8.1291750384649265E-5</v>
      </c>
      <c r="G13" s="42">
        <f t="shared" si="5"/>
        <v>8.5960608395771899E-4</v>
      </c>
      <c r="I13" s="47" t="s">
        <v>94</v>
      </c>
      <c r="J13" s="36" t="s">
        <v>83</v>
      </c>
      <c r="K13" s="41">
        <v>1.4330042935013255E-2</v>
      </c>
      <c r="L13" s="41">
        <v>1.6534664925015295E-2</v>
      </c>
      <c r="M13" s="42">
        <v>0.50816536869547013</v>
      </c>
    </row>
    <row r="14" spans="1:13" x14ac:dyDescent="0.2">
      <c r="A14" s="43" t="s">
        <v>131</v>
      </c>
      <c r="B14" s="49">
        <f t="shared" si="0"/>
        <v>7.4642805027383416E-3</v>
      </c>
      <c r="C14" s="49">
        <f t="shared" si="1"/>
        <v>6.4766436094502614E-5</v>
      </c>
      <c r="D14" s="42">
        <f t="shared" si="2"/>
        <v>7.3995140666438391E-3</v>
      </c>
      <c r="E14" s="42">
        <f t="shared" si="3"/>
        <v>7.3653901646663252E-3</v>
      </c>
      <c r="F14" s="42">
        <f t="shared" si="4"/>
        <v>6.3908379546553297E-5</v>
      </c>
      <c r="G14" s="42">
        <f t="shared" si="5"/>
        <v>7.3014817851197716E-3</v>
      </c>
      <c r="I14" s="47" t="s">
        <v>96</v>
      </c>
      <c r="J14" s="36" t="s">
        <v>83</v>
      </c>
      <c r="K14" s="41">
        <v>1.00158324928212E-3</v>
      </c>
      <c r="L14" s="41">
        <v>1.1673473437060799E-3</v>
      </c>
      <c r="M14" s="42">
        <v>0.30534014561528244</v>
      </c>
    </row>
    <row r="15" spans="1:13" x14ac:dyDescent="0.2">
      <c r="A15" s="43" t="s">
        <v>132</v>
      </c>
      <c r="B15" s="49">
        <f t="shared" si="0"/>
        <v>7.1704115646858006E-5</v>
      </c>
      <c r="C15" s="49">
        <f t="shared" si="1"/>
        <v>2.9319506758825354E-5</v>
      </c>
      <c r="D15" s="42">
        <f t="shared" si="2"/>
        <v>4.2384608888032651E-5</v>
      </c>
      <c r="E15" s="42">
        <f t="shared" si="3"/>
        <v>7.0754145420675942E-5</v>
      </c>
      <c r="F15" s="42">
        <f>($K22*$B$43)*$C$4</f>
        <v>2.8931067989084409E-5</v>
      </c>
      <c r="G15" s="42">
        <f t="shared" si="5"/>
        <v>4.182307743159153E-5</v>
      </c>
      <c r="I15" s="67" t="s">
        <v>84</v>
      </c>
      <c r="J15" s="37" t="s">
        <v>85</v>
      </c>
      <c r="K15" s="95">
        <v>3386.6300699416329</v>
      </c>
      <c r="L15" s="95">
        <v>3453.8710406366949</v>
      </c>
      <c r="M15" s="68">
        <v>77204.539316677416</v>
      </c>
    </row>
    <row r="16" spans="1:13" x14ac:dyDescent="0.2">
      <c r="A16" s="43" t="s">
        <v>133</v>
      </c>
      <c r="B16" s="49">
        <f t="shared" si="0"/>
        <v>1.0071806394630293E-4</v>
      </c>
      <c r="C16" s="49">
        <f t="shared" si="1"/>
        <v>1.9196643222359528E-5</v>
      </c>
      <c r="D16" s="42">
        <f t="shared" si="2"/>
        <v>8.1521420723943403E-5</v>
      </c>
      <c r="E16" s="42">
        <f t="shared" si="3"/>
        <v>9.9383703134171757E-5</v>
      </c>
      <c r="F16" s="42">
        <f t="shared" si="4"/>
        <v>1.8942316963129242E-5</v>
      </c>
      <c r="G16" s="42">
        <f t="shared" si="5"/>
        <v>8.0441386171042515E-5</v>
      </c>
      <c r="I16" s="67" t="s">
        <v>70</v>
      </c>
      <c r="J16" s="37" t="s">
        <v>56</v>
      </c>
      <c r="K16" s="95">
        <v>7.9579358124307625E-5</v>
      </c>
      <c r="L16" s="95">
        <v>1.283089998181187E-4</v>
      </c>
      <c r="M16" s="68">
        <v>3.046456896884318E-3</v>
      </c>
    </row>
    <row r="17" spans="1:13" x14ac:dyDescent="0.2">
      <c r="A17" s="43" t="s">
        <v>134</v>
      </c>
      <c r="B17" s="49">
        <f t="shared" si="0"/>
        <v>1.032183905522323E-2</v>
      </c>
      <c r="C17" s="49">
        <f t="shared" si="1"/>
        <v>1.2906118226702534E-3</v>
      </c>
      <c r="D17" s="42">
        <f t="shared" si="2"/>
        <v>9.0312272325529762E-3</v>
      </c>
      <c r="E17" s="42">
        <f t="shared" si="3"/>
        <v>1.0185090422408385E-2</v>
      </c>
      <c r="F17" s="42">
        <f t="shared" si="4"/>
        <v>1.273513183435463E-3</v>
      </c>
      <c r="G17" s="42">
        <f t="shared" si="5"/>
        <v>8.9115772389729217E-3</v>
      </c>
      <c r="I17" s="47" t="s">
        <v>72</v>
      </c>
      <c r="J17" s="36" t="s">
        <v>56</v>
      </c>
      <c r="K17" s="41">
        <v>2.0800608475669241E-4</v>
      </c>
      <c r="L17" s="41">
        <v>3.5516460258932852E-4</v>
      </c>
      <c r="M17" s="42">
        <v>1.3622359276222603E-2</v>
      </c>
    </row>
    <row r="18" spans="1:13" x14ac:dyDescent="0.2">
      <c r="A18" s="43" t="s">
        <v>135</v>
      </c>
      <c r="B18" s="49">
        <f t="shared" si="0"/>
        <v>4.7247137171365395E-5</v>
      </c>
      <c r="C18" s="49">
        <f t="shared" si="1"/>
        <v>1.3032281073304381E-5</v>
      </c>
      <c r="D18" s="42">
        <f t="shared" si="2"/>
        <v>3.4214856098061014E-5</v>
      </c>
      <c r="E18" s="42">
        <f>($M25*$B$39-((L25-K25)*$B$43))*$C$4</f>
        <v>4.6621184627634334E-5</v>
      </c>
      <c r="F18" s="42">
        <f t="shared" si="4"/>
        <v>1.2859623215562324E-5</v>
      </c>
      <c r="G18" s="42">
        <f t="shared" si="5"/>
        <v>3.3761561412072014E-5</v>
      </c>
      <c r="I18" s="47" t="s">
        <v>73</v>
      </c>
      <c r="J18" s="36" t="s">
        <v>56</v>
      </c>
      <c r="K18" s="41">
        <v>8.4249629347927938E-4</v>
      </c>
      <c r="L18" s="41">
        <v>1.937091111515292E-3</v>
      </c>
      <c r="M18" s="42">
        <v>2.6471337158352485E-2</v>
      </c>
    </row>
    <row r="19" spans="1:13" x14ac:dyDescent="0.2">
      <c r="A19" s="43" t="s">
        <v>136</v>
      </c>
      <c r="B19" s="49">
        <f t="shared" si="0"/>
        <v>7.2564809796444099</v>
      </c>
      <c r="C19" s="49">
        <f t="shared" si="1"/>
        <v>1.0253507437326481</v>
      </c>
      <c r="D19" s="42">
        <f t="shared" si="2"/>
        <v>6.2311302359117615</v>
      </c>
      <c r="E19" s="42">
        <f t="shared" si="3"/>
        <v>7.1603436684826791</v>
      </c>
      <c r="F19" s="42">
        <f t="shared" si="4"/>
        <v>1.0117664094283683</v>
      </c>
      <c r="G19" s="42">
        <f t="shared" si="5"/>
        <v>6.1485772590543109</v>
      </c>
      <c r="I19" s="47" t="s">
        <v>74</v>
      </c>
      <c r="J19" s="36" t="s">
        <v>56</v>
      </c>
      <c r="K19" s="41">
        <v>3.7711271681079386E-5</v>
      </c>
      <c r="L19" s="41">
        <v>1.3073408400712095E-4</v>
      </c>
      <c r="M19" s="42">
        <v>4.3711040195770429E-3</v>
      </c>
    </row>
    <row r="20" spans="1:13" x14ac:dyDescent="0.2">
      <c r="A20" s="44" t="s">
        <v>122</v>
      </c>
      <c r="B20" s="59"/>
      <c r="C20" s="59"/>
      <c r="D20" s="59"/>
      <c r="E20" s="59"/>
      <c r="F20" s="59"/>
      <c r="G20" s="59"/>
      <c r="I20" s="47" t="s">
        <v>75</v>
      </c>
      <c r="J20" s="36" t="s">
        <v>56</v>
      </c>
      <c r="K20" s="41">
        <v>3.1959082215865562E-5</v>
      </c>
      <c r="L20" s="41">
        <v>1.1640404107210768E-4</v>
      </c>
      <c r="M20" s="42">
        <v>3.0614483264163319E-3</v>
      </c>
    </row>
    <row r="21" spans="1:13" x14ac:dyDescent="0.2">
      <c r="A21" s="72" t="s">
        <v>142</v>
      </c>
      <c r="B21" s="49">
        <f>($M6*$B$39-((L6-K6)*$B$43))*$B$4</f>
        <v>81.18685370166618</v>
      </c>
      <c r="C21" s="49">
        <f>($K6*$B$43)*$B$4</f>
        <v>14.52293488698297</v>
      </c>
      <c r="D21" s="42">
        <f>B21-C21</f>
        <v>66.663918814683214</v>
      </c>
      <c r="E21" s="42">
        <f>($M6*$B$39-((L6-K6)*$B$43))*$C$4</f>
        <v>80.111251651794703</v>
      </c>
      <c r="F21" s="42">
        <f>($K6*$B$43)*$C$4</f>
        <v>14.330528138570347</v>
      </c>
      <c r="G21" s="42">
        <f>E21-F21</f>
        <v>65.780723513224359</v>
      </c>
      <c r="I21" s="47" t="s">
        <v>76</v>
      </c>
      <c r="J21" s="36" t="s">
        <v>56</v>
      </c>
      <c r="K21" s="41">
        <v>2.5124974509058243E-5</v>
      </c>
      <c r="L21" s="41">
        <v>7.467054680136907E-4</v>
      </c>
      <c r="M21" s="42">
        <v>2.4373088179368049E-2</v>
      </c>
    </row>
    <row r="22" spans="1:13" x14ac:dyDescent="0.2">
      <c r="A22" s="72" t="s">
        <v>89</v>
      </c>
      <c r="B22" s="49">
        <f t="shared" ref="B22:B29" si="6">($M7*$B$39-((L7-K7)*$B$43))*$B$4</f>
        <v>80.163347569165339</v>
      </c>
      <c r="C22" s="49">
        <f t="shared" ref="C22:C28" si="7">($K7*$B$43)*$B$4</f>
        <v>14.45189724813058</v>
      </c>
      <c r="D22" s="42">
        <f t="shared" ref="D22:D29" si="8">B22-C22</f>
        <v>65.711450321034761</v>
      </c>
      <c r="E22" s="42">
        <f t="shared" ref="E22:E29" si="9">($M7*$B$39-((L7-K7)*$B$43))*$C$4</f>
        <v>79.101305415311259</v>
      </c>
      <c r="F22" s="42">
        <f t="shared" ref="F22:F29" si="10">($K7*$B$43)*$C$4</f>
        <v>14.260431640142592</v>
      </c>
      <c r="G22" s="42">
        <f t="shared" ref="G22:G29" si="11">E22-F22</f>
        <v>64.84087377516866</v>
      </c>
      <c r="I22" s="47" t="s">
        <v>80</v>
      </c>
      <c r="J22" s="36" t="s">
        <v>56</v>
      </c>
      <c r="K22" s="41">
        <v>1.1373975539719023E-5</v>
      </c>
      <c r="L22" s="41">
        <v>2.3981767776142687E-5</v>
      </c>
      <c r="M22" s="42">
        <v>2.7238104686475197E-4</v>
      </c>
    </row>
    <row r="23" spans="1:13" x14ac:dyDescent="0.2">
      <c r="A23" s="72" t="s">
        <v>91</v>
      </c>
      <c r="B23" s="49">
        <f t="shared" si="6"/>
        <v>61.69183695749588</v>
      </c>
      <c r="C23" s="49">
        <f t="shared" si="7"/>
        <v>0.22447893877355793</v>
      </c>
      <c r="D23" s="42">
        <f t="shared" si="8"/>
        <v>61.467358018722322</v>
      </c>
      <c r="E23" s="42">
        <f t="shared" si="9"/>
        <v>60.874514161176485</v>
      </c>
      <c r="F23" s="42">
        <f t="shared" si="10"/>
        <v>0.22150493503170757</v>
      </c>
      <c r="G23" s="42">
        <f t="shared" si="11"/>
        <v>60.653009226144775</v>
      </c>
      <c r="I23" s="47" t="s">
        <v>81</v>
      </c>
      <c r="J23" s="36" t="s">
        <v>56</v>
      </c>
      <c r="K23" s="41">
        <v>7.4469926200278893E-6</v>
      </c>
      <c r="L23" s="41">
        <v>4.0454813516537429E-5</v>
      </c>
      <c r="M23" s="42">
        <v>4.8567822439744927E-4</v>
      </c>
    </row>
    <row r="24" spans="1:13" x14ac:dyDescent="0.2">
      <c r="A24" s="72" t="s">
        <v>90</v>
      </c>
      <c r="B24" s="49">
        <f t="shared" si="6"/>
        <v>2.585343325783299</v>
      </c>
      <c r="C24" s="49">
        <f t="shared" si="7"/>
        <v>1.4889489103461311</v>
      </c>
      <c r="D24" s="42">
        <f t="shared" si="8"/>
        <v>1.0963944154371679</v>
      </c>
      <c r="E24" s="42">
        <f t="shared" si="9"/>
        <v>2.5510914678279142</v>
      </c>
      <c r="F24" s="42">
        <f>($K9*$B$43)*$C$4</f>
        <v>1.4692226070457566</v>
      </c>
      <c r="G24" s="42">
        <f t="shared" si="11"/>
        <v>1.0818688607821576</v>
      </c>
      <c r="I24" s="47" t="s">
        <v>77</v>
      </c>
      <c r="J24" s="36" t="s">
        <v>56</v>
      </c>
      <c r="K24" s="41">
        <v>5.0066965392946312E-4</v>
      </c>
      <c r="L24" s="41">
        <v>5.8885453352954475E-4</v>
      </c>
      <c r="M24" s="42">
        <v>2.7574640233249008E-2</v>
      </c>
    </row>
    <row r="25" spans="1:13" x14ac:dyDescent="0.2">
      <c r="A25" s="72" t="s">
        <v>92</v>
      </c>
      <c r="B25" s="49">
        <f t="shared" si="6"/>
        <v>15.889008791440258</v>
      </c>
      <c r="C25" s="49">
        <f>($K10*$B$43)*$B$4</f>
        <v>12.741310904564985</v>
      </c>
      <c r="D25" s="42">
        <f t="shared" si="8"/>
        <v>3.1476978868752727</v>
      </c>
      <c r="E25" s="42">
        <f t="shared" si="9"/>
        <v>15.67850364624397</v>
      </c>
      <c r="F25" s="42">
        <f t="shared" si="10"/>
        <v>12.572507958002237</v>
      </c>
      <c r="G25" s="42">
        <f t="shared" si="11"/>
        <v>3.1059956882417321</v>
      </c>
      <c r="I25" s="47" t="s">
        <v>78</v>
      </c>
      <c r="J25" s="36" t="s">
        <v>56</v>
      </c>
      <c r="K25" s="41">
        <v>5.0556391474726767E-6</v>
      </c>
      <c r="L25" s="41">
        <v>6.3909786868169119E-6</v>
      </c>
      <c r="M25" s="42">
        <v>1.3249778159912256E-4</v>
      </c>
    </row>
    <row r="26" spans="1:13" ht="16" thickBot="1" x14ac:dyDescent="0.25">
      <c r="A26" s="72" t="s">
        <v>93</v>
      </c>
      <c r="B26" s="49">
        <f t="shared" si="6"/>
        <v>1.023506132500845</v>
      </c>
      <c r="C26" s="49">
        <f t="shared" si="7"/>
        <v>7.1037638852391755E-2</v>
      </c>
      <c r="D26" s="42">
        <f t="shared" si="8"/>
        <v>0.95246849364845321</v>
      </c>
      <c r="E26" s="42">
        <f t="shared" si="9"/>
        <v>1.0099462364834515</v>
      </c>
      <c r="F26" s="42">
        <f t="shared" si="10"/>
        <v>7.009649842775556E-2</v>
      </c>
      <c r="G26" s="42">
        <f t="shared" si="11"/>
        <v>0.93984973805569594</v>
      </c>
      <c r="I26" s="69" t="s">
        <v>68</v>
      </c>
      <c r="J26" s="74" t="s">
        <v>56</v>
      </c>
      <c r="K26" s="52">
        <v>0.39776638723082941</v>
      </c>
      <c r="L26" s="52">
        <v>0.47381361023385526</v>
      </c>
      <c r="M26" s="34">
        <v>19.480260365857021</v>
      </c>
    </row>
    <row r="27" spans="1:13" x14ac:dyDescent="0.2">
      <c r="A27" s="72" t="s">
        <v>95</v>
      </c>
      <c r="B27" s="49">
        <f t="shared" si="6"/>
        <v>0.83435991154735789</v>
      </c>
      <c r="C27" s="49">
        <f t="shared" si="7"/>
        <v>3.6939572203243703E-2</v>
      </c>
      <c r="D27" s="42">
        <f t="shared" si="8"/>
        <v>0.79742033934411416</v>
      </c>
      <c r="E27" s="42">
        <f t="shared" si="9"/>
        <v>0.82330591462208347</v>
      </c>
      <c r="F27" s="42">
        <f t="shared" si="10"/>
        <v>3.6450179182432887E-2</v>
      </c>
      <c r="G27" s="42">
        <f t="shared" si="11"/>
        <v>0.78685573543965059</v>
      </c>
    </row>
    <row r="28" spans="1:13" x14ac:dyDescent="0.2">
      <c r="A28" s="72" t="s">
        <v>94</v>
      </c>
      <c r="B28" s="49">
        <f t="shared" si="6"/>
        <v>0.18872451265898146</v>
      </c>
      <c r="C28" s="49">
        <f t="shared" si="7"/>
        <v>3.6939572203243703E-2</v>
      </c>
      <c r="D28" s="42">
        <f t="shared" si="8"/>
        <v>0.15178494045573776</v>
      </c>
      <c r="E28" s="42">
        <f t="shared" si="9"/>
        <v>0.18622420055891015</v>
      </c>
      <c r="F28" s="42">
        <f t="shared" si="10"/>
        <v>3.6450179182432887E-2</v>
      </c>
      <c r="G28" s="42">
        <f t="shared" si="11"/>
        <v>0.14977402137647727</v>
      </c>
    </row>
    <row r="29" spans="1:13" x14ac:dyDescent="0.2">
      <c r="A29" s="43" t="s">
        <v>96</v>
      </c>
      <c r="B29" s="49">
        <f t="shared" si="6"/>
        <v>0.11638589566683831</v>
      </c>
      <c r="C29" s="49">
        <f>($K14*$B$43)*$B$4</f>
        <v>2.5818524705196284E-3</v>
      </c>
      <c r="D29" s="42">
        <f t="shared" si="8"/>
        <v>0.11380404319631868</v>
      </c>
      <c r="E29" s="42">
        <f t="shared" si="9"/>
        <v>0.11484395996853682</v>
      </c>
      <c r="F29" s="42">
        <f t="shared" si="10"/>
        <v>2.5476468610750088E-3</v>
      </c>
      <c r="G29" s="42">
        <f t="shared" si="11"/>
        <v>0.11229631310746181</v>
      </c>
    </row>
    <row r="30" spans="1:13" x14ac:dyDescent="0.2">
      <c r="A30" s="44" t="s">
        <v>123</v>
      </c>
      <c r="B30" s="79"/>
      <c r="C30" s="79"/>
      <c r="D30" s="79"/>
      <c r="E30" s="79"/>
      <c r="F30" s="79"/>
      <c r="G30" s="79"/>
    </row>
    <row r="31" spans="1:13" ht="16" thickBot="1" x14ac:dyDescent="0.25">
      <c r="A31" s="61" t="s">
        <v>86</v>
      </c>
      <c r="B31" s="50">
        <f>($M15*$B$39-((L15-K15)*$B$43))*$B$4</f>
        <v>29362.611058432834</v>
      </c>
      <c r="C31" s="50">
        <f>($K15*$B$43)*$B$4</f>
        <v>8729.9575138481268</v>
      </c>
      <c r="D31" s="34">
        <f>B31-C31</f>
        <v>20632.653544584708</v>
      </c>
      <c r="E31" s="34">
        <f>($M15*$B$39-((L15-K15)*$B$43))*$C$4</f>
        <v>28973.601222430516</v>
      </c>
      <c r="F31" s="34">
        <f>($K15*$B$43)*$C$4</f>
        <v>8614.2988847837369</v>
      </c>
      <c r="G31" s="34">
        <f>E31-F31</f>
        <v>20359.302337646779</v>
      </c>
    </row>
    <row r="32" spans="1:13" ht="14.5" customHeight="1" x14ac:dyDescent="0.2"/>
    <row r="33" spans="1:12" ht="16" thickBot="1" x14ac:dyDescent="0.25"/>
    <row r="34" spans="1:12" x14ac:dyDescent="0.2">
      <c r="A34" s="212" t="s">
        <v>150</v>
      </c>
      <c r="B34" s="213"/>
      <c r="C34" s="214"/>
    </row>
    <row r="35" spans="1:12" x14ac:dyDescent="0.2">
      <c r="A35" s="46"/>
      <c r="B35" s="28" t="s">
        <v>117</v>
      </c>
      <c r="C35" s="60" t="s">
        <v>57</v>
      </c>
    </row>
    <row r="36" spans="1:12" ht="14.5" customHeight="1" x14ac:dyDescent="0.2">
      <c r="A36" s="64" t="s">
        <v>58</v>
      </c>
      <c r="B36" s="37" t="s">
        <v>103</v>
      </c>
      <c r="C36" s="42" t="str">
        <f>$A$4</f>
        <v>Li</v>
      </c>
    </row>
    <row r="37" spans="1:12" x14ac:dyDescent="0.2">
      <c r="A37" s="65" t="s">
        <v>119</v>
      </c>
      <c r="B37" s="39">
        <f>73.8909/1000</f>
        <v>7.3890899999999995E-2</v>
      </c>
      <c r="C37" s="58">
        <f>VLOOKUP(C36,Atomic_Mass,2,FALSE)/1000</f>
        <v>6.9379999999999997E-3</v>
      </c>
    </row>
    <row r="38" spans="1:12" x14ac:dyDescent="0.2">
      <c r="A38" s="66" t="s">
        <v>120</v>
      </c>
      <c r="B38" s="231">
        <v>2</v>
      </c>
      <c r="C38" s="226"/>
    </row>
    <row r="39" spans="1:12" x14ac:dyDescent="0.2">
      <c r="A39" s="223" t="s">
        <v>124</v>
      </c>
      <c r="B39" s="231">
        <f>B37/(B38*C37)</f>
        <v>5.3250864802536757</v>
      </c>
      <c r="C39" s="226"/>
    </row>
    <row r="40" spans="1:12" ht="16" thickBot="1" x14ac:dyDescent="0.25">
      <c r="A40" s="224"/>
      <c r="B40" s="232"/>
      <c r="C40" s="228"/>
    </row>
    <row r="41" spans="1:12" x14ac:dyDescent="0.2">
      <c r="A41" s="64" t="s">
        <v>58</v>
      </c>
      <c r="B41" s="37" t="str">
        <f>K4</f>
        <v>Spodumene concentrate</v>
      </c>
      <c r="C41" s="42" t="str">
        <f>$A$4</f>
        <v>Li</v>
      </c>
    </row>
    <row r="42" spans="1:12" x14ac:dyDescent="0.2">
      <c r="A42" s="66" t="s">
        <v>153</v>
      </c>
      <c r="B42" s="233">
        <v>2.7869999999999999E-2</v>
      </c>
      <c r="C42" s="234"/>
    </row>
    <row r="43" spans="1:12" x14ac:dyDescent="0.2">
      <c r="A43" s="223" t="s">
        <v>124</v>
      </c>
      <c r="B43" s="225">
        <f>1/(B42)</f>
        <v>35.880875493362041</v>
      </c>
      <c r="C43" s="226"/>
    </row>
    <row r="44" spans="1:12" ht="16" thickBot="1" x14ac:dyDescent="0.25">
      <c r="A44" s="224"/>
      <c r="B44" s="227"/>
      <c r="C44" s="228"/>
      <c r="L44" s="40"/>
    </row>
    <row r="56" spans="20:20" x14ac:dyDescent="0.2">
      <c r="T56" s="40"/>
    </row>
    <row r="75" spans="16:16" x14ac:dyDescent="0.2">
      <c r="P75" s="40"/>
    </row>
    <row r="81" spans="20:30" x14ac:dyDescent="0.2">
      <c r="T81" s="40"/>
    </row>
    <row r="88" spans="20:30" x14ac:dyDescent="0.2">
      <c r="AD88" s="40"/>
    </row>
  </sheetData>
  <mergeCells count="10">
    <mergeCell ref="B42:C42"/>
    <mergeCell ref="A43:A44"/>
    <mergeCell ref="B43:C44"/>
    <mergeCell ref="I2:M2"/>
    <mergeCell ref="A34:C34"/>
    <mergeCell ref="B38:C38"/>
    <mergeCell ref="A39:A40"/>
    <mergeCell ref="B39:C40"/>
    <mergeCell ref="A6:G6"/>
    <mergeCell ref="A2:C2"/>
  </mergeCells>
  <pageMargins left="0.7" right="0.7" top="0.75" bottom="0.75" header="0.3" footer="0.3"/>
  <pageSetup orientation="portrait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CD71B-25EE-41EF-9283-332BC00C52E8}">
  <sheetPr>
    <tabColor theme="9" tint="0.59999389629810485"/>
  </sheetPr>
  <dimension ref="A1:Z82"/>
  <sheetViews>
    <sheetView zoomScale="60" zoomScaleNormal="60" workbookViewId="0">
      <selection activeCell="G16" sqref="G16:G26"/>
    </sheetView>
  </sheetViews>
  <sheetFormatPr baseColWidth="10" defaultColWidth="8.83203125" defaultRowHeight="15" x14ac:dyDescent="0.2"/>
  <cols>
    <col min="1" max="1" width="29.83203125" customWidth="1"/>
    <col min="2" max="2" width="28" bestFit="1" customWidth="1"/>
    <col min="3" max="4" width="27.5" customWidth="1"/>
    <col min="5" max="5" width="12.83203125" customWidth="1"/>
    <col min="6" max="6" width="24.5" bestFit="1" customWidth="1"/>
    <col min="7" max="7" width="18.5" customWidth="1"/>
    <col min="8" max="8" width="35.6640625" bestFit="1" customWidth="1"/>
    <col min="9" max="9" width="39.5" bestFit="1" customWidth="1"/>
    <col min="10" max="10" width="11" customWidth="1"/>
    <col min="11" max="11" width="15.1640625" customWidth="1"/>
    <col min="12" max="12" width="14.5" customWidth="1"/>
    <col min="13" max="14" width="10" customWidth="1"/>
    <col min="15" max="15" width="18.83203125" customWidth="1"/>
    <col min="16" max="16" width="22.83203125" customWidth="1"/>
    <col min="17" max="17" width="16.6640625" customWidth="1"/>
    <col min="18" max="18" width="12.83203125" customWidth="1"/>
    <col min="21" max="21" width="28.83203125" bestFit="1" customWidth="1"/>
    <col min="22" max="22" width="14.1640625" customWidth="1"/>
    <col min="23" max="23" width="42.83203125" customWidth="1"/>
    <col min="24" max="24" width="41.6640625" bestFit="1" customWidth="1"/>
    <col min="25" max="25" width="25.33203125" customWidth="1"/>
  </cols>
  <sheetData>
    <row r="1" spans="1:9" ht="16" thickBot="1" x14ac:dyDescent="0.25"/>
    <row r="2" spans="1:9" ht="19" x14ac:dyDescent="0.25">
      <c r="A2" s="212" t="s">
        <v>243</v>
      </c>
      <c r="B2" s="214"/>
      <c r="F2" s="215" t="s">
        <v>233</v>
      </c>
      <c r="G2" s="216"/>
      <c r="H2" s="216"/>
      <c r="I2" s="217"/>
    </row>
    <row r="3" spans="1:9" ht="31.25" customHeight="1" x14ac:dyDescent="0.2">
      <c r="A3" s="29" t="s">
        <v>57</v>
      </c>
      <c r="B3" s="94" t="s">
        <v>151</v>
      </c>
      <c r="F3" s="46"/>
      <c r="G3" s="110" t="s">
        <v>149</v>
      </c>
      <c r="H3" s="110" t="s">
        <v>176</v>
      </c>
      <c r="I3" s="151" t="s">
        <v>139</v>
      </c>
    </row>
    <row r="4" spans="1:9" ht="33" thickBot="1" x14ac:dyDescent="0.25">
      <c r="A4" s="33" t="s">
        <v>20</v>
      </c>
      <c r="B4" s="34">
        <f>VLOOKUP(A4,NCA_Composition,4,FALSE)</f>
        <v>1.4046767374558079E-2</v>
      </c>
      <c r="F4" s="62"/>
      <c r="G4" s="120" t="s">
        <v>148</v>
      </c>
      <c r="H4" s="121" t="s">
        <v>203</v>
      </c>
      <c r="I4" s="152" t="s">
        <v>203</v>
      </c>
    </row>
    <row r="5" spans="1:9" ht="33" thickBot="1" x14ac:dyDescent="0.25">
      <c r="F5" s="62"/>
      <c r="G5" s="118" t="s">
        <v>169</v>
      </c>
      <c r="H5" s="119"/>
      <c r="I5" s="153"/>
    </row>
    <row r="6" spans="1:9" x14ac:dyDescent="0.2">
      <c r="A6" s="218" t="s">
        <v>147</v>
      </c>
      <c r="B6" s="219"/>
      <c r="C6" s="219"/>
      <c r="D6" s="220"/>
      <c r="F6" s="67" t="s">
        <v>142</v>
      </c>
      <c r="G6" s="37" t="s">
        <v>83</v>
      </c>
      <c r="H6" s="95">
        <v>0.14330042935013257</v>
      </c>
      <c r="I6" s="154">
        <v>15.325429763499177</v>
      </c>
    </row>
    <row r="7" spans="1:9" x14ac:dyDescent="0.2">
      <c r="A7" s="46"/>
      <c r="B7" s="80" t="s">
        <v>164</v>
      </c>
      <c r="C7" s="80" t="s">
        <v>177</v>
      </c>
      <c r="D7" s="80" t="s">
        <v>166</v>
      </c>
      <c r="F7" s="47" t="s">
        <v>89</v>
      </c>
      <c r="G7" s="36" t="s">
        <v>83</v>
      </c>
      <c r="H7" s="41">
        <v>0.14109580736013053</v>
      </c>
      <c r="I7" s="49">
        <v>14.850333724653737</v>
      </c>
    </row>
    <row r="8" spans="1:9" x14ac:dyDescent="0.2">
      <c r="A8" s="44" t="s">
        <v>121</v>
      </c>
      <c r="B8" s="59"/>
      <c r="C8" s="59"/>
      <c r="D8" s="59"/>
      <c r="F8" s="47" t="s">
        <v>91</v>
      </c>
      <c r="G8" s="36" t="s">
        <v>83</v>
      </c>
      <c r="H8" s="41">
        <v>2.8571900990426433E-3</v>
      </c>
      <c r="I8" s="49">
        <v>1.681024267376555</v>
      </c>
    </row>
    <row r="9" spans="1:9" x14ac:dyDescent="0.2">
      <c r="A9" s="43" t="s">
        <v>126</v>
      </c>
      <c r="B9" s="49">
        <f>($I16*$B$39)*$B$4</f>
        <v>2.1166499667676265E-6</v>
      </c>
      <c r="C9" s="49">
        <f>($H16*$B$39)*$B$4</f>
        <v>3.9186669611525312E-8</v>
      </c>
      <c r="D9" s="42">
        <f>B9-C9</f>
        <v>2.0774632971561011E-6</v>
      </c>
      <c r="F9" s="47" t="s">
        <v>90</v>
      </c>
      <c r="G9" s="36" t="s">
        <v>83</v>
      </c>
      <c r="H9" s="41">
        <v>1.5432353930014275E-2</v>
      </c>
      <c r="I9" s="49">
        <v>10.819182415935009</v>
      </c>
    </row>
    <row r="10" spans="1:9" x14ac:dyDescent="0.2">
      <c r="A10" s="43" t="s">
        <v>127</v>
      </c>
      <c r="B10" s="49">
        <f t="shared" ref="B10:B19" si="0">($I17*$B$39)*$B$4</f>
        <v>8.9651816441730489E-6</v>
      </c>
      <c r="C10" s="49">
        <f t="shared" ref="C10:C19" si="1">($H17*$B$39)*$B$4</f>
        <v>1.1266709450027769E-7</v>
      </c>
      <c r="D10" s="42">
        <f t="shared" ref="D10:D19" si="2">B10-C10</f>
        <v>8.8525145496727717E-6</v>
      </c>
      <c r="F10" s="47" t="s">
        <v>92</v>
      </c>
      <c r="G10" s="36" t="s">
        <v>83</v>
      </c>
      <c r="H10" s="41">
        <v>0.12235652044511319</v>
      </c>
      <c r="I10" s="49">
        <v>2.351229352337175</v>
      </c>
    </row>
    <row r="11" spans="1:9" x14ac:dyDescent="0.2">
      <c r="A11" s="43" t="s">
        <v>128</v>
      </c>
      <c r="B11" s="49">
        <f t="shared" si="0"/>
        <v>1.6539908518662613E-5</v>
      </c>
      <c r="C11" s="49">
        <f t="shared" si="1"/>
        <v>4.309016234467907E-7</v>
      </c>
      <c r="D11" s="42">
        <f t="shared" si="2"/>
        <v>1.6109006895215821E-5</v>
      </c>
      <c r="F11" s="47" t="s">
        <v>93</v>
      </c>
      <c r="G11" s="36" t="s">
        <v>83</v>
      </c>
      <c r="H11" s="41">
        <v>2.0646284936369098E-3</v>
      </c>
      <c r="I11" s="49">
        <v>0.47509603884543949</v>
      </c>
    </row>
    <row r="12" spans="1:9" x14ac:dyDescent="0.2">
      <c r="A12" s="43" t="s">
        <v>129</v>
      </c>
      <c r="B12" s="49">
        <f t="shared" si="0"/>
        <v>1.4822743329821867E-5</v>
      </c>
      <c r="C12" s="49">
        <f t="shared" si="1"/>
        <v>2.3953602769491723E-6</v>
      </c>
      <c r="D12" s="42">
        <f t="shared" si="2"/>
        <v>1.2427383052872695E-5</v>
      </c>
      <c r="F12" s="47" t="s">
        <v>95</v>
      </c>
      <c r="G12" s="36" t="s">
        <v>83</v>
      </c>
      <c r="H12" s="41">
        <v>1.0419723650633556E-3</v>
      </c>
      <c r="I12" s="49">
        <v>0.2403037969102223</v>
      </c>
    </row>
    <row r="13" spans="1:9" x14ac:dyDescent="0.2">
      <c r="A13" s="43" t="s">
        <v>130</v>
      </c>
      <c r="B13" s="49">
        <f>($I20*$B$39)*$B$4</f>
        <v>7.4740814847017815E-6</v>
      </c>
      <c r="C13" s="49">
        <f>($H20*$B$39)*$B$4</f>
        <v>1.2136440456855405E-6</v>
      </c>
      <c r="D13" s="42">
        <f t="shared" si="2"/>
        <v>6.2604374390162412E-6</v>
      </c>
      <c r="F13" s="47" t="s">
        <v>94</v>
      </c>
      <c r="G13" s="36" t="s">
        <v>83</v>
      </c>
      <c r="H13" s="41">
        <v>1.0231935051836175E-3</v>
      </c>
      <c r="I13" s="49">
        <v>0.23479224193521719</v>
      </c>
    </row>
    <row r="14" spans="1:9" x14ac:dyDescent="0.2">
      <c r="A14" s="43" t="s">
        <v>131</v>
      </c>
      <c r="B14" s="49">
        <f t="shared" si="0"/>
        <v>1.9935529131041108E-5</v>
      </c>
      <c r="C14" s="49">
        <f>($H21*$B$39)*$B$4</f>
        <v>8.048689240859402E-8</v>
      </c>
      <c r="D14" s="42">
        <f t="shared" si="2"/>
        <v>1.9855042238632516E-5</v>
      </c>
      <c r="F14" s="47" t="s">
        <v>96</v>
      </c>
      <c r="G14" s="36" t="s">
        <v>83</v>
      </c>
      <c r="H14" s="41">
        <v>7.4182443492782621E-5</v>
      </c>
      <c r="I14" s="49">
        <v>1.6534664925015295E-2</v>
      </c>
    </row>
    <row r="15" spans="1:9" x14ac:dyDescent="0.2">
      <c r="A15" s="43" t="s">
        <v>132</v>
      </c>
      <c r="B15" s="49">
        <f t="shared" si="0"/>
        <v>1.4070844848576543E-7</v>
      </c>
      <c r="C15" s="49">
        <f t="shared" si="1"/>
        <v>7.57937204632592E-9</v>
      </c>
      <c r="D15" s="42">
        <f t="shared" si="2"/>
        <v>1.3312907643943951E-7</v>
      </c>
      <c r="F15" s="67" t="s">
        <v>84</v>
      </c>
      <c r="G15" s="37" t="s">
        <v>85</v>
      </c>
      <c r="H15" s="95">
        <v>1123.6958283040397</v>
      </c>
      <c r="I15" s="154">
        <v>6786.1571785247779</v>
      </c>
    </row>
    <row r="16" spans="1:9" x14ac:dyDescent="0.2">
      <c r="A16" s="43" t="s">
        <v>133</v>
      </c>
      <c r="B16" s="49">
        <f>($I23*$B$39)*$B$4</f>
        <v>2.6642383067437581E-7</v>
      </c>
      <c r="C16" s="49">
        <f t="shared" si="1"/>
        <v>2.8227160858942089E-9</v>
      </c>
      <c r="D16" s="42">
        <f>B16-C16</f>
        <v>2.6360111458848162E-7</v>
      </c>
      <c r="F16" s="67" t="s">
        <v>70</v>
      </c>
      <c r="G16" s="37" t="s">
        <v>56</v>
      </c>
      <c r="H16" s="95">
        <v>2.7897286661485808E-6</v>
      </c>
      <c r="I16" s="154">
        <v>1.5068591301663938E-4</v>
      </c>
    </row>
    <row r="17" spans="1:9" x14ac:dyDescent="0.2">
      <c r="A17" s="43" t="s">
        <v>134</v>
      </c>
      <c r="B17" s="49">
        <f t="shared" si="0"/>
        <v>3.4126529091118145E-5</v>
      </c>
      <c r="C17" s="49">
        <f t="shared" si="1"/>
        <v>1.8110131438413196E-7</v>
      </c>
      <c r="D17" s="42">
        <f t="shared" si="2"/>
        <v>3.3945427776734013E-5</v>
      </c>
      <c r="F17" s="47" t="s">
        <v>72</v>
      </c>
      <c r="G17" s="36" t="s">
        <v>56</v>
      </c>
      <c r="H17" s="41">
        <v>8.0208557240254199E-6</v>
      </c>
      <c r="I17" s="49">
        <v>6.3823806610559036E-4</v>
      </c>
    </row>
    <row r="18" spans="1:9" x14ac:dyDescent="0.2">
      <c r="A18" s="43" t="s">
        <v>135</v>
      </c>
      <c r="B18" s="49">
        <f t="shared" si="0"/>
        <v>3.4941601909337948E-7</v>
      </c>
      <c r="C18" s="49">
        <f t="shared" si="1"/>
        <v>3.3816850968694202E-9</v>
      </c>
      <c r="D18" s="42">
        <f t="shared" si="2"/>
        <v>3.4603433399651005E-7</v>
      </c>
      <c r="F18" s="47" t="s">
        <v>73</v>
      </c>
      <c r="G18" s="36" t="s">
        <v>56</v>
      </c>
      <c r="H18" s="41">
        <v>3.0676212679883378E-5</v>
      </c>
      <c r="I18" s="49">
        <v>1.1774886048600893E-3</v>
      </c>
    </row>
    <row r="19" spans="1:9" x14ac:dyDescent="0.2">
      <c r="A19" s="43" t="s">
        <v>136</v>
      </c>
      <c r="B19" s="49">
        <f t="shared" si="0"/>
        <v>1.3906027958260072E-2</v>
      </c>
      <c r="C19" s="49">
        <f t="shared" si="1"/>
        <v>1.4931130672670245E-4</v>
      </c>
      <c r="D19" s="42">
        <f t="shared" si="2"/>
        <v>1.3756716651533369E-2</v>
      </c>
      <c r="F19" s="47" t="s">
        <v>74</v>
      </c>
      <c r="G19" s="36" t="s">
        <v>56</v>
      </c>
      <c r="H19" s="41">
        <v>1.7052751092665774E-4</v>
      </c>
      <c r="I19" s="49">
        <v>1.0552423155144762E-3</v>
      </c>
    </row>
    <row r="20" spans="1:9" x14ac:dyDescent="0.2">
      <c r="A20" s="44" t="s">
        <v>122</v>
      </c>
      <c r="B20" s="59"/>
      <c r="C20" s="59"/>
      <c r="D20" s="59"/>
      <c r="F20" s="47" t="s">
        <v>75</v>
      </c>
      <c r="G20" s="36" t="s">
        <v>56</v>
      </c>
      <c r="H20" s="41">
        <v>8.6400238099174938E-5</v>
      </c>
      <c r="I20" s="49">
        <v>5.3208551728699228E-4</v>
      </c>
    </row>
    <row r="21" spans="1:9" x14ac:dyDescent="0.2">
      <c r="A21" s="72" t="s">
        <v>142</v>
      </c>
      <c r="B21" s="49">
        <f>($I6*$B$39)*$B$4</f>
        <v>0.21527274680300157</v>
      </c>
      <c r="C21" s="49">
        <f>($H6*$B$39)*$B$4</f>
        <v>2.0129077957556072E-3</v>
      </c>
      <c r="D21" s="42">
        <f>B21-C21</f>
        <v>0.21325983900724596</v>
      </c>
      <c r="F21" s="47" t="s">
        <v>76</v>
      </c>
      <c r="G21" s="36" t="s">
        <v>56</v>
      </c>
      <c r="H21" s="41">
        <v>5.7299227831148011E-6</v>
      </c>
      <c r="I21" s="49">
        <v>1.4192254060638129E-3</v>
      </c>
    </row>
    <row r="22" spans="1:9" x14ac:dyDescent="0.2">
      <c r="A22" s="72" t="s">
        <v>89</v>
      </c>
      <c r="B22" s="49">
        <f t="shared" ref="B22:B29" si="3">($I7*$B$39)*$B$4</f>
        <v>0.20859918326476568</v>
      </c>
      <c r="C22" s="49">
        <f t="shared" ref="C22:C29" si="4">($H7*$B$39)*$B$4</f>
        <v>1.981939983513213E-3</v>
      </c>
      <c r="D22" s="42">
        <f t="shared" ref="D22:D29" si="5">B22-C22</f>
        <v>0.20661724328125247</v>
      </c>
      <c r="F22" s="47" t="s">
        <v>80</v>
      </c>
      <c r="G22" s="36" t="s">
        <v>56</v>
      </c>
      <c r="H22" s="41">
        <v>5.3958123205299916E-7</v>
      </c>
      <c r="I22" s="49">
        <v>1.0017140935972268E-5</v>
      </c>
    </row>
    <row r="23" spans="1:9" x14ac:dyDescent="0.2">
      <c r="A23" s="72" t="s">
        <v>91</v>
      </c>
      <c r="B23" s="49">
        <f t="shared" si="3"/>
        <v>2.361295683482539E-2</v>
      </c>
      <c r="C23" s="49">
        <f t="shared" si="4"/>
        <v>4.0134284666142565E-5</v>
      </c>
      <c r="D23" s="42">
        <f t="shared" si="5"/>
        <v>2.3572822550159248E-2</v>
      </c>
      <c r="F23" s="47" t="s">
        <v>81</v>
      </c>
      <c r="G23" s="36" t="s">
        <v>56</v>
      </c>
      <c r="H23" s="41">
        <v>2.0095129438868589E-7</v>
      </c>
      <c r="I23" s="49">
        <v>1.8966914135485046E-5</v>
      </c>
    </row>
    <row r="24" spans="1:9" x14ac:dyDescent="0.2">
      <c r="A24" s="72" t="s">
        <v>90</v>
      </c>
      <c r="B24" s="49">
        <f t="shared" si="3"/>
        <v>0.15197453857954835</v>
      </c>
      <c r="C24" s="49">
        <f t="shared" si="4"/>
        <v>2.1677468569675766E-4</v>
      </c>
      <c r="D24" s="42">
        <f t="shared" si="5"/>
        <v>0.15175776389385159</v>
      </c>
      <c r="F24" s="47" t="s">
        <v>77</v>
      </c>
      <c r="G24" s="36" t="s">
        <v>56</v>
      </c>
      <c r="H24" s="41">
        <v>1.2892739628631425E-5</v>
      </c>
      <c r="I24" s="49">
        <v>2.4294934329822477E-3</v>
      </c>
    </row>
    <row r="25" spans="1:9" x14ac:dyDescent="0.2">
      <c r="A25" s="72" t="s">
        <v>92</v>
      </c>
      <c r="B25" s="49">
        <f t="shared" si="3"/>
        <v>3.3027171756513152E-2</v>
      </c>
      <c r="C25" s="49">
        <f t="shared" si="4"/>
        <v>1.7187135794528646E-3</v>
      </c>
      <c r="D25" s="42">
        <f t="shared" si="5"/>
        <v>3.1308458177060287E-2</v>
      </c>
      <c r="F25" s="47" t="s">
        <v>78</v>
      </c>
      <c r="G25" s="36" t="s">
        <v>56</v>
      </c>
      <c r="H25" s="41">
        <v>2.4074472130822274E-7</v>
      </c>
      <c r="I25" s="49">
        <v>2.4875190837591011E-5</v>
      </c>
    </row>
    <row r="26" spans="1:9" ht="16" thickBot="1" x14ac:dyDescent="0.25">
      <c r="A26" s="72" t="s">
        <v>93</v>
      </c>
      <c r="B26" s="49">
        <f t="shared" si="3"/>
        <v>6.6735635382358972E-3</v>
      </c>
      <c r="C26" s="49">
        <f t="shared" si="4"/>
        <v>2.9001356165001936E-5</v>
      </c>
      <c r="D26" s="42">
        <f t="shared" si="5"/>
        <v>6.6445621820708954E-3</v>
      </c>
      <c r="F26" s="69" t="s">
        <v>68</v>
      </c>
      <c r="G26" s="74" t="s">
        <v>56</v>
      </c>
      <c r="H26" s="52">
        <v>1.0629584924794834E-2</v>
      </c>
      <c r="I26" s="50">
        <v>0.98998065444203776</v>
      </c>
    </row>
    <row r="27" spans="1:9" x14ac:dyDescent="0.2">
      <c r="A27" s="72" t="s">
        <v>95</v>
      </c>
      <c r="B27" s="49">
        <f t="shared" si="3"/>
        <v>3.3754915344209411E-3</v>
      </c>
      <c r="C27" s="49">
        <f t="shared" si="4"/>
        <v>1.4636343422763063E-5</v>
      </c>
      <c r="D27" s="42">
        <f t="shared" si="5"/>
        <v>3.360855190998178E-3</v>
      </c>
    </row>
    <row r="28" spans="1:9" x14ac:dyDescent="0.2">
      <c r="A28" s="72" t="s">
        <v>94</v>
      </c>
      <c r="B28" s="49">
        <f t="shared" si="3"/>
        <v>3.2980720038149561E-3</v>
      </c>
      <c r="C28" s="49">
        <f t="shared" si="4"/>
        <v>1.4372561146472961E-5</v>
      </c>
      <c r="D28" s="42">
        <f t="shared" si="5"/>
        <v>3.2836994426684832E-3</v>
      </c>
    </row>
    <row r="29" spans="1:9" x14ac:dyDescent="0.2">
      <c r="A29" s="43" t="s">
        <v>96</v>
      </c>
      <c r="B29" s="49">
        <f t="shared" si="3"/>
        <v>2.3225859181795464E-4</v>
      </c>
      <c r="C29" s="49">
        <f t="shared" si="4"/>
        <v>1.0420235270194172E-6</v>
      </c>
      <c r="D29" s="42">
        <f t="shared" si="5"/>
        <v>2.3121656829093521E-4</v>
      </c>
      <c r="F29" s="122"/>
    </row>
    <row r="30" spans="1:9" x14ac:dyDescent="0.2">
      <c r="A30" s="44" t="s">
        <v>123</v>
      </c>
      <c r="B30" s="79"/>
      <c r="C30" s="79"/>
      <c r="D30" s="79"/>
    </row>
    <row r="31" spans="1:9" ht="16" thickBot="1" x14ac:dyDescent="0.25">
      <c r="A31" s="61" t="s">
        <v>86</v>
      </c>
      <c r="B31" s="50">
        <f>($I15*$B$39)*$B$4</f>
        <v>95.323571253924953</v>
      </c>
      <c r="C31" s="50">
        <f>($H15*$B$39)*$B$4</f>
        <v>15.784293899948201</v>
      </c>
      <c r="D31" s="34">
        <f>B31-C31</f>
        <v>79.539277353976757</v>
      </c>
    </row>
    <row r="32" spans="1:9" ht="14.5" customHeight="1" x14ac:dyDescent="0.2"/>
    <row r="33" spans="1:3" ht="16" thickBot="1" x14ac:dyDescent="0.25"/>
    <row r="34" spans="1:3" x14ac:dyDescent="0.2">
      <c r="A34" s="212" t="s">
        <v>150</v>
      </c>
      <c r="B34" s="213"/>
      <c r="C34" s="214"/>
    </row>
    <row r="35" spans="1:3" x14ac:dyDescent="0.2">
      <c r="A35" s="46"/>
      <c r="B35" s="28" t="s">
        <v>117</v>
      </c>
      <c r="C35" s="60" t="s">
        <v>57</v>
      </c>
    </row>
    <row r="36" spans="1:3" ht="14.5" customHeight="1" x14ac:dyDescent="0.2">
      <c r="A36" s="64" t="s">
        <v>58</v>
      </c>
      <c r="B36" s="37" t="s">
        <v>20</v>
      </c>
      <c r="C36" s="42" t="str">
        <f>$A$4</f>
        <v>Al</v>
      </c>
    </row>
    <row r="37" spans="1:3" x14ac:dyDescent="0.2">
      <c r="A37" s="65" t="s">
        <v>119</v>
      </c>
      <c r="B37" s="39">
        <f>VLOOKUP(C36,Atomic_Mass,2,FALSE)/1000</f>
        <v>2.6981999999999999E-2</v>
      </c>
      <c r="C37" s="58">
        <f>VLOOKUP(C36,Atomic_Mass,2,FALSE)/1000</f>
        <v>2.6981999999999999E-2</v>
      </c>
    </row>
    <row r="38" spans="1:3" x14ac:dyDescent="0.2">
      <c r="A38" s="66" t="s">
        <v>120</v>
      </c>
      <c r="B38" s="231">
        <v>1</v>
      </c>
      <c r="C38" s="226"/>
    </row>
    <row r="39" spans="1:3" x14ac:dyDescent="0.2">
      <c r="A39" s="223" t="s">
        <v>124</v>
      </c>
      <c r="B39" s="231">
        <f>B37/(B38*C37)</f>
        <v>1</v>
      </c>
      <c r="C39" s="226"/>
    </row>
    <row r="40" spans="1:3" ht="16" thickBot="1" x14ac:dyDescent="0.25">
      <c r="A40" s="224"/>
      <c r="B40" s="232"/>
      <c r="C40" s="228"/>
    </row>
    <row r="50" spans="16:16" x14ac:dyDescent="0.2">
      <c r="P50" s="40"/>
    </row>
    <row r="69" spans="12:16" x14ac:dyDescent="0.2">
      <c r="L69" s="40"/>
    </row>
    <row r="75" spans="12:16" x14ac:dyDescent="0.2">
      <c r="P75" s="40"/>
    </row>
    <row r="82" spans="26:26" x14ac:dyDescent="0.2">
      <c r="Z82" s="40"/>
    </row>
  </sheetData>
  <mergeCells count="7">
    <mergeCell ref="F2:I2"/>
    <mergeCell ref="A6:D6"/>
    <mergeCell ref="A34:C34"/>
    <mergeCell ref="B38:C38"/>
    <mergeCell ref="A39:A40"/>
    <mergeCell ref="B39:C40"/>
    <mergeCell ref="A2:B2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C2003-CFE5-415D-AE9E-869FC3306BD2}">
  <sheetPr>
    <tabColor theme="9" tint="0.59999389629810485"/>
  </sheetPr>
  <dimension ref="A1:I82"/>
  <sheetViews>
    <sheetView zoomScale="80" zoomScaleNormal="80" workbookViewId="0">
      <selection activeCell="G16" sqref="G16:G26"/>
    </sheetView>
  </sheetViews>
  <sheetFormatPr baseColWidth="10" defaultColWidth="8.83203125" defaultRowHeight="15" x14ac:dyDescent="0.2"/>
  <cols>
    <col min="1" max="1" width="28.5" bestFit="1" customWidth="1"/>
    <col min="2" max="2" width="28" bestFit="1" customWidth="1"/>
    <col min="3" max="3" width="21.1640625" customWidth="1"/>
    <col min="4" max="4" width="16.83203125" bestFit="1" customWidth="1"/>
    <col min="6" max="6" width="21.5" customWidth="1"/>
    <col min="7" max="7" width="23.1640625" customWidth="1"/>
    <col min="8" max="8" width="36.1640625" bestFit="1" customWidth="1"/>
    <col min="9" max="9" width="25.1640625" customWidth="1"/>
    <col min="10" max="10" width="9.33203125" customWidth="1"/>
  </cols>
  <sheetData>
    <row r="1" spans="1:9" ht="16" thickBot="1" x14ac:dyDescent="0.25"/>
    <row r="2" spans="1:9" ht="19" x14ac:dyDescent="0.25">
      <c r="A2" s="212" t="s">
        <v>243</v>
      </c>
      <c r="B2" s="214"/>
      <c r="F2" s="215" t="s">
        <v>233</v>
      </c>
      <c r="G2" s="216"/>
      <c r="H2" s="216"/>
      <c r="I2" s="217"/>
    </row>
    <row r="3" spans="1:9" ht="29.5" customHeight="1" x14ac:dyDescent="0.2">
      <c r="A3" s="29" t="s">
        <v>57</v>
      </c>
      <c r="B3" s="94" t="s">
        <v>244</v>
      </c>
      <c r="F3" s="46"/>
      <c r="G3" s="110" t="s">
        <v>149</v>
      </c>
      <c r="H3" s="110" t="s">
        <v>140</v>
      </c>
      <c r="I3" s="109" t="s">
        <v>191</v>
      </c>
    </row>
    <row r="4" spans="1:9" ht="36.5" customHeight="1" thickBot="1" x14ac:dyDescent="0.25">
      <c r="A4" s="33" t="s">
        <v>38</v>
      </c>
      <c r="B4" s="34">
        <v>1</v>
      </c>
      <c r="F4" s="62"/>
      <c r="G4" s="120" t="s">
        <v>148</v>
      </c>
      <c r="H4" s="121" t="s">
        <v>192</v>
      </c>
      <c r="I4" s="111" t="s">
        <v>192</v>
      </c>
    </row>
    <row r="5" spans="1:9" ht="17" thickBot="1" x14ac:dyDescent="0.25">
      <c r="F5" s="62"/>
      <c r="G5" s="118" t="s">
        <v>169</v>
      </c>
      <c r="H5" s="119"/>
      <c r="I5" s="71"/>
    </row>
    <row r="6" spans="1:9" x14ac:dyDescent="0.2">
      <c r="A6" s="212" t="s">
        <v>147</v>
      </c>
      <c r="B6" s="213"/>
      <c r="C6" s="213"/>
      <c r="D6" s="214"/>
      <c r="F6" s="67" t="s">
        <v>142</v>
      </c>
      <c r="G6" s="37" t="s">
        <v>83</v>
      </c>
      <c r="H6" s="95">
        <v>4.0598113945887553</v>
      </c>
      <c r="I6" s="68">
        <v>36.312328797323588</v>
      </c>
    </row>
    <row r="7" spans="1:9" x14ac:dyDescent="0.2">
      <c r="A7" s="46"/>
      <c r="B7" s="80" t="s">
        <v>164</v>
      </c>
      <c r="C7" s="80" t="s">
        <v>177</v>
      </c>
      <c r="D7" s="80" t="s">
        <v>166</v>
      </c>
      <c r="F7" s="47" t="s">
        <v>89</v>
      </c>
      <c r="G7" s="36" t="s">
        <v>83</v>
      </c>
      <c r="H7" s="41">
        <v>3.4866096771882251</v>
      </c>
      <c r="I7" s="42">
        <v>32.41014787501998</v>
      </c>
    </row>
    <row r="8" spans="1:9" x14ac:dyDescent="0.2">
      <c r="A8" s="43" t="s">
        <v>121</v>
      </c>
      <c r="B8" s="81"/>
      <c r="C8" s="81"/>
      <c r="D8" s="81"/>
      <c r="F8" s="47" t="s">
        <v>91</v>
      </c>
      <c r="G8" s="36" t="s">
        <v>83</v>
      </c>
      <c r="H8" s="41">
        <v>0.80248240436074236</v>
      </c>
      <c r="I8" s="42">
        <v>9.2616169799985677</v>
      </c>
    </row>
    <row r="9" spans="1:9" x14ac:dyDescent="0.2">
      <c r="A9" s="43" t="s">
        <v>126</v>
      </c>
      <c r="B9" s="49">
        <f>(I16)*$B$4*$B$39</f>
        <v>2.9861604854577621E-4</v>
      </c>
      <c r="C9" s="49">
        <f>H16*$B$4*$B$39</f>
        <v>3.2443106973770514E-5</v>
      </c>
      <c r="D9" s="42">
        <f>B9-C9</f>
        <v>2.6617294157200571E-4</v>
      </c>
      <c r="F9" s="47" t="s">
        <v>90</v>
      </c>
      <c r="G9" s="36" t="s">
        <v>83</v>
      </c>
      <c r="H9" s="41">
        <v>1.3922187866862878</v>
      </c>
      <c r="I9" s="42">
        <v>19.87025799588838</v>
      </c>
    </row>
    <row r="10" spans="1:9" x14ac:dyDescent="0.2">
      <c r="A10" s="43" t="s">
        <v>127</v>
      </c>
      <c r="B10" s="49">
        <f t="shared" ref="B10:B19" si="0">(I17)*$B$4*$B$39</f>
        <v>2.0386139541548856E-3</v>
      </c>
      <c r="C10" s="49">
        <f t="shared" ref="C10:C19" si="1">H17*$B$4*$B$39</f>
        <v>2.5882262162623944E-4</v>
      </c>
      <c r="D10" s="42">
        <f t="shared" ref="D10:D19" si="2">B10-C10</f>
        <v>1.7797913325286463E-3</v>
      </c>
      <c r="F10" s="47" t="s">
        <v>92</v>
      </c>
      <c r="G10" s="36" t="s">
        <v>83</v>
      </c>
      <c r="H10" s="41">
        <v>1.2908061751461941</v>
      </c>
      <c r="I10" s="42">
        <v>3.2782728991330328</v>
      </c>
    </row>
    <row r="11" spans="1:9" x14ac:dyDescent="0.2">
      <c r="A11" s="43" t="s">
        <v>128</v>
      </c>
      <c r="B11" s="49">
        <f t="shared" si="0"/>
        <v>2.4708300952947853E-3</v>
      </c>
      <c r="C11" s="49">
        <f t="shared" si="1"/>
        <v>2.4581535188522742E-4</v>
      </c>
      <c r="D11" s="42">
        <f t="shared" si="2"/>
        <v>2.2250147434095579E-3</v>
      </c>
      <c r="F11" s="47" t="s">
        <v>93</v>
      </c>
      <c r="G11" s="36" t="s">
        <v>83</v>
      </c>
      <c r="H11" s="41">
        <v>0.57320171740053028</v>
      </c>
      <c r="I11" s="42">
        <v>3.9021809223036099</v>
      </c>
    </row>
    <row r="12" spans="1:9" x14ac:dyDescent="0.2">
      <c r="A12" s="43" t="s">
        <v>129</v>
      </c>
      <c r="B12" s="49">
        <f t="shared" si="0"/>
        <v>2.9277380027227084E-4</v>
      </c>
      <c r="C12" s="49">
        <f t="shared" si="1"/>
        <v>8.3949800757287659E-5</v>
      </c>
      <c r="D12" s="42">
        <f t="shared" si="2"/>
        <v>2.0882399951498317E-4</v>
      </c>
      <c r="F12" s="47" t="s">
        <v>95</v>
      </c>
      <c r="G12" s="36" t="s">
        <v>83</v>
      </c>
      <c r="H12" s="41">
        <v>0.2899077916852682</v>
      </c>
      <c r="I12" s="42">
        <v>1.9709320590618233</v>
      </c>
    </row>
    <row r="13" spans="1:9" x14ac:dyDescent="0.2">
      <c r="A13" s="43" t="s">
        <v>130</v>
      </c>
      <c r="B13" s="49">
        <f t="shared" si="0"/>
        <v>1.8188131417516825E-4</v>
      </c>
      <c r="C13" s="49">
        <f t="shared" si="1"/>
        <v>4.1628554264014509E-5</v>
      </c>
      <c r="D13" s="42">
        <f t="shared" si="2"/>
        <v>1.4025275991115375E-4</v>
      </c>
      <c r="F13" s="47" t="s">
        <v>94</v>
      </c>
      <c r="G13" s="36" t="s">
        <v>83</v>
      </c>
      <c r="H13" s="41">
        <v>0.28329392571526207</v>
      </c>
      <c r="I13" s="42">
        <v>1.9301465522467856</v>
      </c>
    </row>
    <row r="14" spans="1:9" x14ac:dyDescent="0.2">
      <c r="A14" s="43" t="s">
        <v>131</v>
      </c>
      <c r="B14" s="49">
        <f t="shared" si="0"/>
        <v>0.14038217122196686</v>
      </c>
      <c r="C14" s="49">
        <f t="shared" si="1"/>
        <v>9.978493912487531E-5</v>
      </c>
      <c r="D14" s="42">
        <f t="shared" si="2"/>
        <v>0.14028238628284198</v>
      </c>
      <c r="F14" s="47" t="s">
        <v>96</v>
      </c>
      <c r="G14" s="36" t="s">
        <v>83</v>
      </c>
      <c r="H14" s="41">
        <v>2.0943908905019376E-2</v>
      </c>
      <c r="I14" s="42">
        <v>0.13999349636512951</v>
      </c>
    </row>
    <row r="15" spans="1:9" x14ac:dyDescent="0.2">
      <c r="A15" s="43" t="s">
        <v>132</v>
      </c>
      <c r="B15" s="49">
        <f t="shared" si="0"/>
        <v>3.8754719268947349E-5</v>
      </c>
      <c r="C15" s="49">
        <f t="shared" si="1"/>
        <v>7.6158666644620442E-7</v>
      </c>
      <c r="D15" s="42">
        <f t="shared" si="2"/>
        <v>3.7993132602501144E-5</v>
      </c>
      <c r="F15" s="67" t="s">
        <v>84</v>
      </c>
      <c r="G15" s="37" t="s">
        <v>85</v>
      </c>
      <c r="H15" s="95">
        <v>947.10560690487614</v>
      </c>
      <c r="I15" s="68">
        <v>6204.136973164239</v>
      </c>
    </row>
    <row r="16" spans="1:9" x14ac:dyDescent="0.2">
      <c r="A16" s="43" t="s">
        <v>133</v>
      </c>
      <c r="B16" s="49">
        <f t="shared" si="0"/>
        <v>4.1659639434073537E-5</v>
      </c>
      <c r="C16" s="49">
        <f t="shared" si="1"/>
        <v>3.041937421804814E-6</v>
      </c>
      <c r="D16" s="42">
        <f t="shared" si="2"/>
        <v>3.8617702012268723E-5</v>
      </c>
      <c r="F16" s="67" t="s">
        <v>70</v>
      </c>
      <c r="G16" s="37" t="s">
        <v>56</v>
      </c>
      <c r="H16" s="95">
        <v>3.2443106973770514E-5</v>
      </c>
      <c r="I16" s="68">
        <v>2.9861604854577621E-4</v>
      </c>
    </row>
    <row r="17" spans="1:9" x14ac:dyDescent="0.2">
      <c r="A17" s="43" t="s">
        <v>134</v>
      </c>
      <c r="B17" s="49">
        <f t="shared" si="0"/>
        <v>5.1279507487447442E-3</v>
      </c>
      <c r="C17" s="49">
        <f t="shared" si="1"/>
        <v>4.5150658355241772E-4</v>
      </c>
      <c r="D17" s="42">
        <f t="shared" si="2"/>
        <v>4.6764441651923269E-3</v>
      </c>
      <c r="F17" s="47" t="s">
        <v>72</v>
      </c>
      <c r="G17" s="36" t="s">
        <v>56</v>
      </c>
      <c r="H17" s="41">
        <v>2.5882262162623944E-4</v>
      </c>
      <c r="I17" s="42">
        <v>2.0386139541548856E-3</v>
      </c>
    </row>
    <row r="18" spans="1:9" x14ac:dyDescent="0.2">
      <c r="A18" s="43" t="s">
        <v>135</v>
      </c>
      <c r="B18" s="49">
        <f t="shared" si="0"/>
        <v>4.5582654034182673E-5</v>
      </c>
      <c r="C18" s="49">
        <f t="shared" si="1"/>
        <v>3.324018805425575E-6</v>
      </c>
      <c r="D18" s="42">
        <f t="shared" si="2"/>
        <v>4.2258635228757095E-5</v>
      </c>
      <c r="F18" s="47" t="s">
        <v>73</v>
      </c>
      <c r="G18" s="36" t="s">
        <v>56</v>
      </c>
      <c r="H18" s="41">
        <v>2.4581535188522742E-4</v>
      </c>
      <c r="I18" s="42">
        <v>2.4708300952947853E-3</v>
      </c>
    </row>
    <row r="19" spans="1:9" x14ac:dyDescent="0.2">
      <c r="A19" s="43" t="s">
        <v>136</v>
      </c>
      <c r="B19" s="49">
        <f t="shared" si="0"/>
        <v>2.2411083737054738</v>
      </c>
      <c r="C19" s="49">
        <f t="shared" si="1"/>
        <v>0.25148343502152265</v>
      </c>
      <c r="D19" s="42">
        <f t="shared" si="2"/>
        <v>1.9896249386839511</v>
      </c>
      <c r="F19" s="47" t="s">
        <v>74</v>
      </c>
      <c r="G19" s="36" t="s">
        <v>56</v>
      </c>
      <c r="H19" s="41">
        <v>8.3949800757287659E-5</v>
      </c>
      <c r="I19" s="42">
        <v>2.9277380027227084E-4</v>
      </c>
    </row>
    <row r="20" spans="1:9" x14ac:dyDescent="0.2">
      <c r="A20" s="53" t="s">
        <v>122</v>
      </c>
      <c r="B20" s="79"/>
      <c r="C20" s="79"/>
      <c r="D20" s="59"/>
      <c r="F20" s="47" t="s">
        <v>75</v>
      </c>
      <c r="G20" s="36" t="s">
        <v>56</v>
      </c>
      <c r="H20" s="41">
        <v>4.1628554264014509E-5</v>
      </c>
      <c r="I20" s="42">
        <v>1.8188131417516825E-4</v>
      </c>
    </row>
    <row r="21" spans="1:9" x14ac:dyDescent="0.2">
      <c r="A21" s="72" t="s">
        <v>142</v>
      </c>
      <c r="B21" s="49">
        <f>(I6)*$B$4*$B$39</f>
        <v>36.312328797323588</v>
      </c>
      <c r="C21" s="49">
        <f>H6*$B$4*$B$39</f>
        <v>4.0598113945887553</v>
      </c>
      <c r="D21" s="42">
        <f>B21-C21</f>
        <v>32.252517402734831</v>
      </c>
      <c r="F21" s="47" t="s">
        <v>76</v>
      </c>
      <c r="G21" s="36" t="s">
        <v>56</v>
      </c>
      <c r="H21" s="41">
        <v>9.978493912487531E-5</v>
      </c>
      <c r="I21" s="42">
        <v>0.14038217122196686</v>
      </c>
    </row>
    <row r="22" spans="1:9" x14ac:dyDescent="0.2">
      <c r="A22" s="72" t="s">
        <v>89</v>
      </c>
      <c r="B22" s="49">
        <f t="shared" ref="B22:B29" si="3">(I7)*$B$4*$B$39</f>
        <v>32.41014787501998</v>
      </c>
      <c r="C22" s="49">
        <f t="shared" ref="C22:C29" si="4">H7*$B$4*$B$39</f>
        <v>3.4866096771882251</v>
      </c>
      <c r="D22" s="42">
        <f t="shared" ref="D22:D29" si="5">B22-C22</f>
        <v>28.923538197831753</v>
      </c>
      <c r="F22" s="47" t="s">
        <v>80</v>
      </c>
      <c r="G22" s="36" t="s">
        <v>56</v>
      </c>
      <c r="H22" s="41">
        <v>7.6158666644620442E-7</v>
      </c>
      <c r="I22" s="42">
        <v>3.8754719268947349E-5</v>
      </c>
    </row>
    <row r="23" spans="1:9" x14ac:dyDescent="0.2">
      <c r="A23" s="72" t="s">
        <v>91</v>
      </c>
      <c r="B23" s="49">
        <f t="shared" si="3"/>
        <v>9.2616169799985677</v>
      </c>
      <c r="C23" s="49">
        <f t="shared" si="4"/>
        <v>0.80248240436074236</v>
      </c>
      <c r="D23" s="42">
        <f t="shared" si="5"/>
        <v>8.459134575637826</v>
      </c>
      <c r="F23" s="47" t="s">
        <v>81</v>
      </c>
      <c r="G23" s="36" t="s">
        <v>56</v>
      </c>
      <c r="H23" s="41">
        <v>3.041937421804814E-6</v>
      </c>
      <c r="I23" s="42">
        <v>4.1659639434073537E-5</v>
      </c>
    </row>
    <row r="24" spans="1:9" x14ac:dyDescent="0.2">
      <c r="A24" s="72" t="s">
        <v>90</v>
      </c>
      <c r="B24" s="49">
        <f t="shared" si="3"/>
        <v>19.87025799588838</v>
      </c>
      <c r="C24" s="49">
        <f t="shared" si="4"/>
        <v>1.3922187866862878</v>
      </c>
      <c r="D24" s="42">
        <f t="shared" si="5"/>
        <v>18.478039209202091</v>
      </c>
      <c r="F24" s="47" t="s">
        <v>77</v>
      </c>
      <c r="G24" s="36" t="s">
        <v>56</v>
      </c>
      <c r="H24" s="41">
        <v>4.5150658355241772E-4</v>
      </c>
      <c r="I24" s="42">
        <v>5.1279507487447442E-3</v>
      </c>
    </row>
    <row r="25" spans="1:9" x14ac:dyDescent="0.2">
      <c r="A25" s="72" t="s">
        <v>92</v>
      </c>
      <c r="B25" s="49">
        <f t="shared" si="3"/>
        <v>3.2782728991330328</v>
      </c>
      <c r="C25" s="49">
        <f t="shared" si="4"/>
        <v>1.2908061751461941</v>
      </c>
      <c r="D25" s="42">
        <f t="shared" si="5"/>
        <v>1.9874667239868387</v>
      </c>
      <c r="F25" s="47" t="s">
        <v>78</v>
      </c>
      <c r="G25" s="36" t="s">
        <v>56</v>
      </c>
      <c r="H25" s="41">
        <v>3.324018805425575E-6</v>
      </c>
      <c r="I25" s="42">
        <v>4.5582654034182673E-5</v>
      </c>
    </row>
    <row r="26" spans="1:9" ht="16" thickBot="1" x14ac:dyDescent="0.25">
      <c r="A26" s="72" t="s">
        <v>93</v>
      </c>
      <c r="B26" s="49">
        <f t="shared" si="3"/>
        <v>3.9021809223036099</v>
      </c>
      <c r="C26" s="49">
        <f t="shared" si="4"/>
        <v>0.57320171740053028</v>
      </c>
      <c r="D26" s="42">
        <f t="shared" si="5"/>
        <v>3.3289792049030797</v>
      </c>
      <c r="F26" s="69" t="s">
        <v>68</v>
      </c>
      <c r="G26" s="74" t="s">
        <v>56</v>
      </c>
      <c r="H26" s="52">
        <v>0.25148343502152265</v>
      </c>
      <c r="I26" s="34">
        <v>2.2411083737054738</v>
      </c>
    </row>
    <row r="27" spans="1:9" x14ac:dyDescent="0.2">
      <c r="A27" s="72" t="s">
        <v>95</v>
      </c>
      <c r="B27" s="49">
        <f t="shared" si="3"/>
        <v>1.9709320590618233</v>
      </c>
      <c r="C27" s="49">
        <f t="shared" si="4"/>
        <v>0.2899077916852682</v>
      </c>
      <c r="D27" s="42">
        <f t="shared" si="5"/>
        <v>1.6810242673765552</v>
      </c>
    </row>
    <row r="28" spans="1:9" x14ac:dyDescent="0.2">
      <c r="A28" s="72" t="s">
        <v>94</v>
      </c>
      <c r="B28" s="49">
        <f t="shared" si="3"/>
        <v>1.9301465522467856</v>
      </c>
      <c r="C28" s="49">
        <f t="shared" si="4"/>
        <v>0.28329392571526207</v>
      </c>
      <c r="D28" s="42">
        <f t="shared" si="5"/>
        <v>1.6468526265315235</v>
      </c>
    </row>
    <row r="29" spans="1:9" x14ac:dyDescent="0.2">
      <c r="A29" s="43" t="s">
        <v>96</v>
      </c>
      <c r="B29" s="49">
        <f t="shared" si="3"/>
        <v>0.13999349636512951</v>
      </c>
      <c r="C29" s="49">
        <f t="shared" si="4"/>
        <v>2.0943908905019376E-2</v>
      </c>
      <c r="D29" s="42">
        <f t="shared" si="5"/>
        <v>0.11904958746011013</v>
      </c>
    </row>
    <row r="30" spans="1:9" x14ac:dyDescent="0.2">
      <c r="A30" s="44" t="s">
        <v>123</v>
      </c>
      <c r="B30" s="79"/>
      <c r="C30" s="79"/>
      <c r="D30" s="79"/>
    </row>
    <row r="31" spans="1:9" ht="16" thickBot="1" x14ac:dyDescent="0.25">
      <c r="A31" s="61" t="s">
        <v>86</v>
      </c>
      <c r="B31" s="50">
        <f>(I15)*$B$4*$B$39</f>
        <v>6204.136973164239</v>
      </c>
      <c r="C31" s="50">
        <f>H15*$B$4*$B$39</f>
        <v>947.10560690487614</v>
      </c>
      <c r="D31" s="34">
        <f>B31-C31</f>
        <v>5257.0313662593626</v>
      </c>
    </row>
    <row r="32" spans="1:9" x14ac:dyDescent="0.2">
      <c r="A32" s="63"/>
    </row>
    <row r="33" spans="1:3" ht="16" thickBot="1" x14ac:dyDescent="0.25"/>
    <row r="34" spans="1:3" x14ac:dyDescent="0.2">
      <c r="A34" s="218" t="s">
        <v>150</v>
      </c>
      <c r="B34" s="219"/>
      <c r="C34" s="220"/>
    </row>
    <row r="35" spans="1:3" x14ac:dyDescent="0.2">
      <c r="A35" s="46"/>
      <c r="B35" s="28" t="s">
        <v>117</v>
      </c>
      <c r="C35" s="60" t="s">
        <v>57</v>
      </c>
    </row>
    <row r="36" spans="1:3" x14ac:dyDescent="0.2">
      <c r="A36" s="64" t="s">
        <v>58</v>
      </c>
      <c r="B36" s="37" t="s">
        <v>38</v>
      </c>
      <c r="C36" s="42" t="str">
        <f>A4</f>
        <v>Cu</v>
      </c>
    </row>
    <row r="37" spans="1:3" x14ac:dyDescent="0.2">
      <c r="A37" s="65" t="s">
        <v>119</v>
      </c>
      <c r="B37" s="39">
        <f>C37</f>
        <v>6.3546000000000005E-2</v>
      </c>
      <c r="C37" s="58">
        <f>VLOOKUP(C36,Atomic_Mass,2,FALSE)/1000</f>
        <v>6.3546000000000005E-2</v>
      </c>
    </row>
    <row r="38" spans="1:3" x14ac:dyDescent="0.2">
      <c r="A38" s="66" t="s">
        <v>120</v>
      </c>
      <c r="B38" s="231">
        <v>1</v>
      </c>
      <c r="C38" s="226"/>
    </row>
    <row r="39" spans="1:3" x14ac:dyDescent="0.2">
      <c r="A39" s="223" t="s">
        <v>124</v>
      </c>
      <c r="B39" s="231">
        <f>B37/(B38*C37)</f>
        <v>1</v>
      </c>
      <c r="C39" s="226"/>
    </row>
    <row r="40" spans="1:3" ht="16" thickBot="1" x14ac:dyDescent="0.25">
      <c r="A40" s="224"/>
      <c r="B40" s="232"/>
      <c r="C40" s="228"/>
    </row>
    <row r="82" spans="7:7" x14ac:dyDescent="0.2">
      <c r="G82" s="40"/>
    </row>
  </sheetData>
  <mergeCells count="7">
    <mergeCell ref="F2:I2"/>
    <mergeCell ref="A6:D6"/>
    <mergeCell ref="A34:C34"/>
    <mergeCell ref="B38:C38"/>
    <mergeCell ref="A39:A40"/>
    <mergeCell ref="B39:C40"/>
    <mergeCell ref="A2:B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C03AE-2F98-D843-BB6C-9C1048928088}">
  <dimension ref="A1:J24"/>
  <sheetViews>
    <sheetView zoomScale="120" zoomScaleNormal="120" workbookViewId="0">
      <selection activeCell="A20" sqref="A20"/>
    </sheetView>
  </sheetViews>
  <sheetFormatPr baseColWidth="10" defaultRowHeight="15" x14ac:dyDescent="0.2"/>
  <sheetData>
    <row r="1" spans="1:10" x14ac:dyDescent="0.2">
      <c r="A1" s="27" t="s">
        <v>324</v>
      </c>
    </row>
    <row r="3" spans="1:10" x14ac:dyDescent="0.2">
      <c r="B3" t="s">
        <v>14</v>
      </c>
      <c r="C3" t="s">
        <v>16</v>
      </c>
      <c r="D3" t="s">
        <v>23</v>
      </c>
      <c r="E3" t="s">
        <v>20</v>
      </c>
      <c r="F3" t="s">
        <v>320</v>
      </c>
      <c r="G3" t="s">
        <v>321</v>
      </c>
      <c r="H3" t="s">
        <v>322</v>
      </c>
      <c r="I3" t="s">
        <v>311</v>
      </c>
      <c r="J3" t="s">
        <v>326</v>
      </c>
    </row>
    <row r="4" spans="1:10" x14ac:dyDescent="0.2">
      <c r="A4" t="s">
        <v>314</v>
      </c>
      <c r="B4">
        <v>41.612810000000003</v>
      </c>
      <c r="C4">
        <v>127.53431999999999</v>
      </c>
      <c r="D4">
        <v>24.55537</v>
      </c>
      <c r="E4">
        <v>0.21326000000000001</v>
      </c>
    </row>
    <row r="5" spans="1:10" x14ac:dyDescent="0.2">
      <c r="A5" t="s">
        <v>328</v>
      </c>
      <c r="F5">
        <v>38.733849999999997</v>
      </c>
      <c r="G5">
        <v>3.1781299999999999</v>
      </c>
      <c r="H5">
        <v>2.4507099999999999</v>
      </c>
    </row>
    <row r="6" spans="1:10" x14ac:dyDescent="0.2">
      <c r="A6" t="s">
        <v>329</v>
      </c>
      <c r="F6">
        <v>20.30612</v>
      </c>
      <c r="G6">
        <v>1.67041</v>
      </c>
    </row>
    <row r="7" spans="1:10" x14ac:dyDescent="0.2">
      <c r="A7" t="s">
        <v>317</v>
      </c>
      <c r="I7">
        <v>74.56</v>
      </c>
      <c r="J7">
        <v>12.83</v>
      </c>
    </row>
    <row r="8" spans="1:10" x14ac:dyDescent="0.2">
      <c r="A8" t="s">
        <v>318</v>
      </c>
      <c r="I8">
        <v>52.04</v>
      </c>
      <c r="J8">
        <v>0.54</v>
      </c>
    </row>
    <row r="9" spans="1:10" x14ac:dyDescent="0.2">
      <c r="A9" t="s">
        <v>319</v>
      </c>
      <c r="I9">
        <v>41.21</v>
      </c>
      <c r="J9">
        <v>23.44</v>
      </c>
    </row>
    <row r="11" spans="1:10" x14ac:dyDescent="0.2">
      <c r="A11" s="27" t="s">
        <v>325</v>
      </c>
    </row>
    <row r="12" spans="1:10" x14ac:dyDescent="0.2">
      <c r="B12" t="s">
        <v>14</v>
      </c>
      <c r="C12" t="s">
        <v>16</v>
      </c>
      <c r="D12" t="s">
        <v>23</v>
      </c>
      <c r="E12" t="s">
        <v>20</v>
      </c>
      <c r="F12" t="s">
        <v>320</v>
      </c>
      <c r="G12" t="s">
        <v>321</v>
      </c>
      <c r="H12" t="s">
        <v>322</v>
      </c>
      <c r="I12" t="s">
        <v>311</v>
      </c>
      <c r="J12" t="s">
        <v>326</v>
      </c>
    </row>
    <row r="13" spans="1:10" x14ac:dyDescent="0.2">
      <c r="A13" t="s">
        <v>314</v>
      </c>
      <c r="B13">
        <v>3.9979499999999999</v>
      </c>
      <c r="C13">
        <v>8.8964499999999997</v>
      </c>
      <c r="D13">
        <v>1.5932599999999999</v>
      </c>
      <c r="E13">
        <v>1.4710000000000001E-2</v>
      </c>
    </row>
    <row r="14" spans="1:10" x14ac:dyDescent="0.2">
      <c r="A14" t="s">
        <v>328</v>
      </c>
      <c r="F14">
        <v>5.2664099999999996</v>
      </c>
      <c r="G14">
        <v>0.40250000000000002</v>
      </c>
      <c r="H14">
        <v>0.46004</v>
      </c>
    </row>
    <row r="15" spans="1:10" x14ac:dyDescent="0.2">
      <c r="A15" t="s">
        <v>329</v>
      </c>
      <c r="F15">
        <v>2.5617299999999998</v>
      </c>
      <c r="G15">
        <v>0.21154999999999999</v>
      </c>
    </row>
    <row r="16" spans="1:10" x14ac:dyDescent="0.2">
      <c r="A16" t="s">
        <v>317</v>
      </c>
      <c r="I16">
        <v>9.4499999999999993</v>
      </c>
      <c r="J16">
        <v>1.21</v>
      </c>
    </row>
    <row r="17" spans="1:10" x14ac:dyDescent="0.2">
      <c r="A17" t="s">
        <v>318</v>
      </c>
      <c r="I17">
        <v>6.53</v>
      </c>
      <c r="J17">
        <v>1.1000000000000001</v>
      </c>
    </row>
    <row r="18" spans="1:10" x14ac:dyDescent="0.2">
      <c r="A18" t="s">
        <v>319</v>
      </c>
      <c r="I18">
        <v>5.86</v>
      </c>
      <c r="J18">
        <v>0.67</v>
      </c>
    </row>
    <row r="20" spans="1:10" x14ac:dyDescent="0.2">
      <c r="A20" s="27" t="s">
        <v>327</v>
      </c>
    </row>
    <row r="21" spans="1:10" x14ac:dyDescent="0.2">
      <c r="B21" t="s">
        <v>14</v>
      </c>
      <c r="C21" t="s">
        <v>16</v>
      </c>
      <c r="D21" t="s">
        <v>23</v>
      </c>
      <c r="E21" t="s">
        <v>20</v>
      </c>
      <c r="F21" t="s">
        <v>320</v>
      </c>
      <c r="G21" t="s">
        <v>321</v>
      </c>
      <c r="H21" t="s">
        <v>322</v>
      </c>
    </row>
    <row r="22" spans="1:10" x14ac:dyDescent="0.2">
      <c r="A22" t="s">
        <v>314</v>
      </c>
      <c r="B22">
        <v>13.60516</v>
      </c>
      <c r="C22">
        <v>43.941139999999997</v>
      </c>
      <c r="D22">
        <v>19.69088</v>
      </c>
      <c r="E22">
        <v>7.954E-2</v>
      </c>
    </row>
    <row r="23" spans="1:10" x14ac:dyDescent="0.2">
      <c r="A23" t="s">
        <v>328</v>
      </c>
      <c r="F23">
        <v>19.034289999999999</v>
      </c>
      <c r="G23">
        <v>1.1172500000000001</v>
      </c>
      <c r="H23">
        <v>1.32233</v>
      </c>
    </row>
    <row r="24" spans="1:10" x14ac:dyDescent="0.2">
      <c r="A24" t="s">
        <v>329</v>
      </c>
      <c r="F24">
        <v>8.9508899999999993</v>
      </c>
      <c r="G24">
        <v>0.58721999999999996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5D656-720F-402D-B245-8E5752CAA590}">
  <sheetPr>
    <tabColor theme="9" tint="0.59999389629810485"/>
  </sheetPr>
  <dimension ref="A1:I86"/>
  <sheetViews>
    <sheetView zoomScale="80" zoomScaleNormal="80" workbookViewId="0">
      <selection activeCell="G35" sqref="G35"/>
    </sheetView>
  </sheetViews>
  <sheetFormatPr baseColWidth="10" defaultColWidth="8.83203125" defaultRowHeight="15" x14ac:dyDescent="0.2"/>
  <cols>
    <col min="1" max="1" width="28.5" bestFit="1" customWidth="1"/>
    <col min="2" max="2" width="28" bestFit="1" customWidth="1"/>
    <col min="3" max="3" width="21.1640625" customWidth="1"/>
    <col min="4" max="4" width="16.83203125" bestFit="1" customWidth="1"/>
    <col min="6" max="6" width="21.5" customWidth="1"/>
    <col min="7" max="7" width="23.1640625" customWidth="1"/>
    <col min="8" max="8" width="36.1640625" bestFit="1" customWidth="1"/>
    <col min="9" max="9" width="30.1640625" bestFit="1" customWidth="1"/>
  </cols>
  <sheetData>
    <row r="1" spans="1:9" ht="16" thickBot="1" x14ac:dyDescent="0.25"/>
    <row r="2" spans="1:9" ht="19" x14ac:dyDescent="0.25">
      <c r="A2" s="212" t="s">
        <v>243</v>
      </c>
      <c r="B2" s="214"/>
      <c r="F2" s="215" t="s">
        <v>233</v>
      </c>
      <c r="G2" s="216"/>
      <c r="H2" s="216"/>
      <c r="I2" s="217"/>
    </row>
    <row r="3" spans="1:9" ht="29.5" customHeight="1" x14ac:dyDescent="0.2">
      <c r="A3" s="29" t="s">
        <v>57</v>
      </c>
      <c r="B3" s="94" t="s">
        <v>244</v>
      </c>
      <c r="F3" s="46"/>
      <c r="G3" s="110" t="s">
        <v>149</v>
      </c>
      <c r="H3" s="121" t="s">
        <v>193</v>
      </c>
      <c r="I3" s="109" t="s">
        <v>180</v>
      </c>
    </row>
    <row r="4" spans="1:9" ht="36.5" customHeight="1" thickBot="1" x14ac:dyDescent="0.25">
      <c r="A4" s="33" t="s">
        <v>19</v>
      </c>
      <c r="B4" s="34">
        <v>1</v>
      </c>
      <c r="F4" s="62"/>
      <c r="G4" s="120" t="s">
        <v>148</v>
      </c>
      <c r="H4" s="85" t="s">
        <v>193</v>
      </c>
      <c r="I4" s="111" t="s">
        <v>182</v>
      </c>
    </row>
    <row r="5" spans="1:9" ht="17" thickBot="1" x14ac:dyDescent="0.25">
      <c r="F5" s="62"/>
      <c r="G5" s="118" t="s">
        <v>169</v>
      </c>
      <c r="H5" s="119"/>
      <c r="I5" s="71"/>
    </row>
    <row r="6" spans="1:9" x14ac:dyDescent="0.2">
      <c r="A6" s="212" t="s">
        <v>147</v>
      </c>
      <c r="B6" s="213"/>
      <c r="C6" s="213"/>
      <c r="D6" s="214"/>
      <c r="F6" s="67" t="s">
        <v>142</v>
      </c>
      <c r="G6" s="37" t="s">
        <v>83</v>
      </c>
      <c r="H6" s="95">
        <v>23.11105232119138</v>
      </c>
      <c r="I6" s="68">
        <v>8.8008509840881413</v>
      </c>
    </row>
    <row r="7" spans="1:9" x14ac:dyDescent="0.2">
      <c r="A7" s="46"/>
      <c r="B7" s="80" t="s">
        <v>164</v>
      </c>
      <c r="C7" s="80" t="s">
        <v>177</v>
      </c>
      <c r="D7" s="80" t="s">
        <v>166</v>
      </c>
      <c r="F7" s="47" t="s">
        <v>89</v>
      </c>
      <c r="G7" s="36" t="s">
        <v>83</v>
      </c>
      <c r="H7" s="41">
        <v>18.734877671037331</v>
      </c>
      <c r="I7" s="42">
        <v>7.1848630654166463</v>
      </c>
    </row>
    <row r="8" spans="1:9" x14ac:dyDescent="0.2">
      <c r="A8" s="43" t="s">
        <v>121</v>
      </c>
      <c r="B8" s="81"/>
      <c r="C8" s="81"/>
      <c r="D8" s="81"/>
      <c r="F8" s="47" t="s">
        <v>91</v>
      </c>
      <c r="G8" s="36" t="s">
        <v>83</v>
      </c>
      <c r="H8" s="41">
        <v>6.1277468212106685</v>
      </c>
      <c r="I8" s="42">
        <v>2.2619421617420925</v>
      </c>
    </row>
    <row r="9" spans="1:9" x14ac:dyDescent="0.2">
      <c r="A9" s="43" t="s">
        <v>126</v>
      </c>
      <c r="B9" s="49">
        <f t="shared" ref="B9:B19" si="0">(I16*$B$39)*$B$4</f>
        <v>1.9610334315300456E-4</v>
      </c>
      <c r="C9" s="49">
        <f>H16*$B$4*$B$43</f>
        <v>1.6369318275765143E-4</v>
      </c>
      <c r="D9" s="42">
        <f>B9-C9</f>
        <v>3.2410160395353137E-5</v>
      </c>
      <c r="F9" s="47" t="s">
        <v>90</v>
      </c>
      <c r="G9" s="36" t="s">
        <v>83</v>
      </c>
      <c r="H9" s="41">
        <v>9.8811157591891412</v>
      </c>
      <c r="I9" s="42">
        <v>3.6927418332534159</v>
      </c>
    </row>
    <row r="10" spans="1:9" x14ac:dyDescent="0.2">
      <c r="A10" s="43" t="s">
        <v>127</v>
      </c>
      <c r="B10" s="49">
        <f t="shared" si="0"/>
        <v>9.3225718204947156E-4</v>
      </c>
      <c r="C10" s="49">
        <f t="shared" ref="C10:C19" si="1">H17*$B$4*$B$43</f>
        <v>8.5903095840429461E-4</v>
      </c>
      <c r="D10" s="42">
        <f t="shared" ref="D10:D19" si="2">B10-C10</f>
        <v>7.3226223645176942E-5</v>
      </c>
      <c r="F10" s="47" t="s">
        <v>92</v>
      </c>
      <c r="G10" s="36" t="s">
        <v>83</v>
      </c>
      <c r="H10" s="41">
        <v>2.7260150906375218</v>
      </c>
      <c r="I10" s="42">
        <v>1.2301790704211379</v>
      </c>
    </row>
    <row r="11" spans="1:9" x14ac:dyDescent="0.2">
      <c r="A11" s="43" t="s">
        <v>128</v>
      </c>
      <c r="B11" s="49">
        <f t="shared" si="0"/>
        <v>1.6833347102589743E-3</v>
      </c>
      <c r="C11" s="49">
        <f t="shared" si="1"/>
        <v>1.1124522561550291E-3</v>
      </c>
      <c r="D11" s="42">
        <f t="shared" si="2"/>
        <v>5.7088245410394519E-4</v>
      </c>
      <c r="F11" s="47" t="s">
        <v>93</v>
      </c>
      <c r="G11" s="36" t="s">
        <v>83</v>
      </c>
      <c r="H11" s="41">
        <v>4.3761746501540486</v>
      </c>
      <c r="I11" s="42">
        <v>1.6159879186714949</v>
      </c>
    </row>
    <row r="12" spans="1:9" x14ac:dyDescent="0.2">
      <c r="A12" s="43" t="s">
        <v>129</v>
      </c>
      <c r="B12" s="49">
        <f t="shared" si="0"/>
        <v>5.3284390837517251E-3</v>
      </c>
      <c r="C12" s="49">
        <f t="shared" si="1"/>
        <v>5.2876756119203915E-3</v>
      </c>
      <c r="D12" s="42">
        <f t="shared" si="2"/>
        <v>4.0763471831333636E-5</v>
      </c>
      <c r="F12" s="47" t="s">
        <v>95</v>
      </c>
      <c r="G12" s="36" t="s">
        <v>83</v>
      </c>
      <c r="H12" s="41">
        <v>2.2112358559720455</v>
      </c>
      <c r="I12" s="42">
        <v>0.81681244729575564</v>
      </c>
    </row>
    <row r="13" spans="1:9" x14ac:dyDescent="0.2">
      <c r="A13" s="43" t="s">
        <v>130</v>
      </c>
      <c r="B13" s="49">
        <f t="shared" si="0"/>
        <v>2.6858823265741194E-3</v>
      </c>
      <c r="C13" s="49">
        <f t="shared" si="1"/>
        <v>2.6499556319824515E-3</v>
      </c>
      <c r="D13" s="42">
        <f t="shared" si="2"/>
        <v>3.5926694591667963E-5</v>
      </c>
      <c r="F13" s="47" t="s">
        <v>94</v>
      </c>
      <c r="G13" s="36" t="s">
        <v>83</v>
      </c>
      <c r="H13" s="41">
        <v>2.1649387941820026</v>
      </c>
      <c r="I13" s="42">
        <v>0.7991754713757393</v>
      </c>
    </row>
    <row r="14" spans="1:9" x14ac:dyDescent="0.2">
      <c r="A14" s="43" t="s">
        <v>131</v>
      </c>
      <c r="B14" s="49">
        <f t="shared" si="0"/>
        <v>4.5743317954445636E-3</v>
      </c>
      <c r="C14" s="49">
        <f t="shared" si="1"/>
        <v>7.3380842937217873E-4</v>
      </c>
      <c r="D14" s="42">
        <f t="shared" si="2"/>
        <v>3.8405233660723848E-3</v>
      </c>
      <c r="F14" s="47" t="s">
        <v>96</v>
      </c>
      <c r="G14" s="36" t="s">
        <v>83</v>
      </c>
      <c r="H14" s="41">
        <v>0.1565281612901448</v>
      </c>
      <c r="I14" s="42">
        <v>5.8422482735054043E-2</v>
      </c>
    </row>
    <row r="15" spans="1:9" x14ac:dyDescent="0.2">
      <c r="A15" s="43" t="s">
        <v>132</v>
      </c>
      <c r="B15" s="49">
        <f t="shared" si="0"/>
        <v>9.4837550576901409E-6</v>
      </c>
      <c r="C15" s="49">
        <f t="shared" si="1"/>
        <v>4.544277076891703E-6</v>
      </c>
      <c r="D15" s="42">
        <f t="shared" si="2"/>
        <v>4.9394779807984379E-6</v>
      </c>
      <c r="F15" s="67" t="s">
        <v>84</v>
      </c>
      <c r="G15" s="37" t="s">
        <v>85</v>
      </c>
      <c r="H15" s="95">
        <v>6729.608624481225</v>
      </c>
      <c r="I15" s="68">
        <v>2657.3411156489583</v>
      </c>
    </row>
    <row r="16" spans="1:9" x14ac:dyDescent="0.2">
      <c r="A16" s="43" t="s">
        <v>133</v>
      </c>
      <c r="B16" s="49">
        <f t="shared" si="0"/>
        <v>3.5676940029975798E-5</v>
      </c>
      <c r="C16" s="49">
        <f t="shared" si="1"/>
        <v>2.1082248934892003E-5</v>
      </c>
      <c r="D16" s="42">
        <f t="shared" si="2"/>
        <v>1.4594691095083795E-5</v>
      </c>
      <c r="F16" s="67" t="s">
        <v>70</v>
      </c>
      <c r="G16" s="37" t="s">
        <v>56</v>
      </c>
      <c r="H16" s="95">
        <v>1.6369318275765143E-4</v>
      </c>
      <c r="I16" s="68">
        <v>7.1347850769137519E-5</v>
      </c>
    </row>
    <row r="17" spans="1:9" x14ac:dyDescent="0.2">
      <c r="A17" s="43" t="s">
        <v>134</v>
      </c>
      <c r="B17" s="49">
        <f t="shared" si="0"/>
        <v>2.8706976925312782E-3</v>
      </c>
      <c r="C17" s="49">
        <f t="shared" si="1"/>
        <v>2.7567695673980505E-3</v>
      </c>
      <c r="D17" s="42">
        <f t="shared" si="2"/>
        <v>1.1392812513322768E-4</v>
      </c>
      <c r="F17" s="47" t="s">
        <v>72</v>
      </c>
      <c r="G17" s="36" t="s">
        <v>56</v>
      </c>
      <c r="H17" s="41">
        <v>8.5903095840429461E-4</v>
      </c>
      <c r="I17" s="42">
        <v>3.3918109316181374E-4</v>
      </c>
    </row>
    <row r="18" spans="1:9" x14ac:dyDescent="0.2">
      <c r="A18" s="43" t="s">
        <v>135</v>
      </c>
      <c r="B18" s="49">
        <f t="shared" si="0"/>
        <v>2.5226994477142408E-5</v>
      </c>
      <c r="C18" s="49">
        <f t="shared" si="1"/>
        <v>2.3446595788069689E-5</v>
      </c>
      <c r="D18" s="42">
        <f t="shared" si="2"/>
        <v>1.7803986890727192E-6</v>
      </c>
      <c r="F18" s="47" t="s">
        <v>73</v>
      </c>
      <c r="G18" s="36" t="s">
        <v>56</v>
      </c>
      <c r="H18" s="41">
        <v>1.1124522561550291E-3</v>
      </c>
      <c r="I18" s="42">
        <v>6.1244398882256653E-4</v>
      </c>
    </row>
    <row r="19" spans="1:9" x14ac:dyDescent="0.2">
      <c r="A19" s="43" t="s">
        <v>136</v>
      </c>
      <c r="B19" s="49">
        <f t="shared" si="0"/>
        <v>2.2179443628190625</v>
      </c>
      <c r="C19" s="49">
        <f t="shared" si="1"/>
        <v>1.3428490329976799</v>
      </c>
      <c r="D19" s="42">
        <f t="shared" si="2"/>
        <v>0.87509532982138261</v>
      </c>
      <c r="F19" s="47" t="s">
        <v>74</v>
      </c>
      <c r="G19" s="36" t="s">
        <v>56</v>
      </c>
      <c r="H19" s="41">
        <v>5.2876756119203915E-3</v>
      </c>
      <c r="I19" s="42">
        <v>1.9386343469082934E-3</v>
      </c>
    </row>
    <row r="20" spans="1:9" x14ac:dyDescent="0.2">
      <c r="A20" s="53" t="s">
        <v>122</v>
      </c>
      <c r="B20" s="79"/>
      <c r="C20" s="79"/>
      <c r="D20" s="59"/>
      <c r="F20" s="47" t="s">
        <v>75</v>
      </c>
      <c r="G20" s="36" t="s">
        <v>56</v>
      </c>
      <c r="H20" s="41">
        <v>2.6499556319824515E-3</v>
      </c>
      <c r="I20" s="42">
        <v>9.7719869706840395E-4</v>
      </c>
    </row>
    <row r="21" spans="1:9" x14ac:dyDescent="0.2">
      <c r="A21" s="72" t="s">
        <v>142</v>
      </c>
      <c r="B21" s="49">
        <f t="shared" ref="B21:B29" si="3">(I6*$B$39)*$B$4</f>
        <v>24.189604619704198</v>
      </c>
      <c r="C21" s="49">
        <f>H6*$B$4*$B$43</f>
        <v>23.11105232119138</v>
      </c>
      <c r="D21" s="42">
        <f>B21-C21</f>
        <v>1.0785522985128182</v>
      </c>
      <c r="F21" s="47" t="s">
        <v>76</v>
      </c>
      <c r="G21" s="36" t="s">
        <v>56</v>
      </c>
      <c r="H21" s="41">
        <v>7.3380842937217873E-4</v>
      </c>
      <c r="I21" s="42">
        <v>1.6642691402525395E-3</v>
      </c>
    </row>
    <row r="22" spans="1:9" x14ac:dyDescent="0.2">
      <c r="A22" s="72" t="s">
        <v>89</v>
      </c>
      <c r="B22" s="49">
        <f t="shared" si="3"/>
        <v>19.74797631653707</v>
      </c>
      <c r="C22" s="49">
        <f t="shared" ref="C22:C29" si="4">H7*$B$4*$B$43</f>
        <v>18.734877671037331</v>
      </c>
      <c r="D22" s="42">
        <f t="shared" ref="D22:D29" si="5">B22-C22</f>
        <v>1.0130986454997384</v>
      </c>
      <c r="F22" s="47" t="s">
        <v>80</v>
      </c>
      <c r="G22" s="36" t="s">
        <v>56</v>
      </c>
      <c r="H22" s="41">
        <v>4.544277076891703E-6</v>
      </c>
      <c r="I22" s="42">
        <v>3.450453876552192E-6</v>
      </c>
    </row>
    <row r="23" spans="1:9" x14ac:dyDescent="0.2">
      <c r="A23" s="72" t="s">
        <v>91</v>
      </c>
      <c r="B23" s="49">
        <f t="shared" si="3"/>
        <v>6.2170677203949163</v>
      </c>
      <c r="C23" s="49">
        <f t="shared" si="4"/>
        <v>6.1277468212106685</v>
      </c>
      <c r="D23" s="42">
        <f t="shared" si="5"/>
        <v>8.9320899184247793E-2</v>
      </c>
      <c r="F23" s="47" t="s">
        <v>81</v>
      </c>
      <c r="G23" s="36" t="s">
        <v>56</v>
      </c>
      <c r="H23" s="41">
        <v>2.1082248934892003E-5</v>
      </c>
      <c r="I23" s="42">
        <v>1.2980263121634508E-5</v>
      </c>
    </row>
    <row r="24" spans="1:9" x14ac:dyDescent="0.2">
      <c r="A24" s="72" t="s">
        <v>90</v>
      </c>
      <c r="B24" s="49">
        <f t="shared" si="3"/>
        <v>10.149696327155443</v>
      </c>
      <c r="C24" s="49">
        <f t="shared" si="4"/>
        <v>9.8811157591891412</v>
      </c>
      <c r="D24" s="42">
        <f t="shared" si="5"/>
        <v>0.26858056796630159</v>
      </c>
      <c r="F24" s="47" t="s">
        <v>77</v>
      </c>
      <c r="G24" s="36" t="s">
        <v>56</v>
      </c>
      <c r="H24" s="41">
        <v>2.7567695673980505E-3</v>
      </c>
      <c r="I24" s="42">
        <v>1.0444396677634661E-3</v>
      </c>
    </row>
    <row r="25" spans="1:9" x14ac:dyDescent="0.2">
      <c r="A25" s="72" t="s">
        <v>92</v>
      </c>
      <c r="B25" s="49">
        <f t="shared" si="3"/>
        <v>3.381212268986709</v>
      </c>
      <c r="C25" s="49">
        <f t="shared" si="4"/>
        <v>2.7260150906375218</v>
      </c>
      <c r="D25" s="42">
        <f t="shared" si="5"/>
        <v>0.65519717834918723</v>
      </c>
      <c r="F25" s="47" t="s">
        <v>78</v>
      </c>
      <c r="G25" s="36" t="s">
        <v>56</v>
      </c>
      <c r="H25" s="41">
        <v>2.3446595788069689E-5</v>
      </c>
      <c r="I25" s="42">
        <v>9.178282268776489E-6</v>
      </c>
    </row>
    <row r="26" spans="1:9" ht="16" thickBot="1" x14ac:dyDescent="0.25">
      <c r="A26" s="72" t="s">
        <v>93</v>
      </c>
      <c r="B26" s="49">
        <f t="shared" si="3"/>
        <v>4.4416283031671284</v>
      </c>
      <c r="C26" s="49">
        <f t="shared" si="4"/>
        <v>4.3761746501540486</v>
      </c>
      <c r="D26" s="42">
        <f t="shared" si="5"/>
        <v>6.5453653013079816E-2</v>
      </c>
      <c r="F26" s="69" t="s">
        <v>68</v>
      </c>
      <c r="G26" s="74" t="s">
        <v>56</v>
      </c>
      <c r="H26" s="52">
        <v>1.3428490329976799</v>
      </c>
      <c r="I26" s="34">
        <v>0.80694985036128253</v>
      </c>
    </row>
    <row r="27" spans="1:9" x14ac:dyDescent="0.2">
      <c r="A27" s="72" t="s">
        <v>95</v>
      </c>
      <c r="B27" s="49">
        <f t="shared" si="3"/>
        <v>2.2450522323648312</v>
      </c>
      <c r="C27" s="49">
        <f t="shared" si="4"/>
        <v>2.2112358559720455</v>
      </c>
      <c r="D27" s="42">
        <f t="shared" si="5"/>
        <v>3.3816376392785674E-2</v>
      </c>
    </row>
    <row r="28" spans="1:9" x14ac:dyDescent="0.2">
      <c r="A28" s="72" t="s">
        <v>94</v>
      </c>
      <c r="B28" s="49">
        <f t="shared" si="3"/>
        <v>2.1965760708022977</v>
      </c>
      <c r="C28" s="49">
        <f t="shared" si="4"/>
        <v>2.1649387941820026</v>
      </c>
      <c r="D28" s="42">
        <f t="shared" si="5"/>
        <v>3.163727662029503E-2</v>
      </c>
    </row>
    <row r="29" spans="1:9" x14ac:dyDescent="0.2">
      <c r="A29" s="43" t="s">
        <v>96</v>
      </c>
      <c r="B29" s="49">
        <f t="shared" si="3"/>
        <v>0.16057728517589209</v>
      </c>
      <c r="C29" s="49">
        <f t="shared" si="4"/>
        <v>0.1565281612901448</v>
      </c>
      <c r="D29" s="42">
        <f t="shared" si="5"/>
        <v>4.0491238857472966E-3</v>
      </c>
    </row>
    <row r="30" spans="1:9" x14ac:dyDescent="0.2">
      <c r="A30" s="44" t="s">
        <v>123</v>
      </c>
      <c r="B30" s="79"/>
      <c r="C30" s="79"/>
      <c r="D30" s="79"/>
    </row>
    <row r="31" spans="1:9" ht="16" thickBot="1" x14ac:dyDescent="0.25">
      <c r="A31" s="61" t="s">
        <v>86</v>
      </c>
      <c r="B31" s="50">
        <f>(I15*$B$39)*$B$4</f>
        <v>7303.842667424964</v>
      </c>
      <c r="C31" s="50">
        <f>H15*$B$4*$B$43</f>
        <v>6729.608624481225</v>
      </c>
      <c r="D31" s="34">
        <f>B31-C31</f>
        <v>574.23404294373904</v>
      </c>
    </row>
    <row r="32" spans="1:9" x14ac:dyDescent="0.2">
      <c r="A32" s="63"/>
    </row>
    <row r="33" spans="1:3" ht="16" thickBot="1" x14ac:dyDescent="0.25"/>
    <row r="34" spans="1:3" x14ac:dyDescent="0.2">
      <c r="A34" s="218" t="s">
        <v>150</v>
      </c>
      <c r="B34" s="219"/>
      <c r="C34" s="220"/>
    </row>
    <row r="35" spans="1:3" x14ac:dyDescent="0.2">
      <c r="A35" s="46"/>
      <c r="B35" s="28" t="s">
        <v>117</v>
      </c>
      <c r="C35" s="60" t="s">
        <v>57</v>
      </c>
    </row>
    <row r="36" spans="1:3" x14ac:dyDescent="0.2">
      <c r="A36" s="64" t="s">
        <v>58</v>
      </c>
      <c r="B36" s="37" t="s">
        <v>181</v>
      </c>
      <c r="C36" s="42" t="str">
        <f>A4</f>
        <v>Mn</v>
      </c>
    </row>
    <row r="37" spans="1:3" x14ac:dyDescent="0.2">
      <c r="A37" s="65" t="s">
        <v>119</v>
      </c>
      <c r="B37" s="39">
        <f>151/1000</f>
        <v>0.151</v>
      </c>
      <c r="C37" s="58">
        <f>VLOOKUP(C36,Atomic_Mass,2,FALSE)/1000</f>
        <v>5.4938000000000001E-2</v>
      </c>
    </row>
    <row r="38" spans="1:3" x14ac:dyDescent="0.2">
      <c r="A38" s="66" t="s">
        <v>120</v>
      </c>
      <c r="B38" s="231">
        <v>1</v>
      </c>
      <c r="C38" s="226"/>
    </row>
    <row r="39" spans="1:3" x14ac:dyDescent="0.2">
      <c r="A39" s="223" t="s">
        <v>124</v>
      </c>
      <c r="B39" s="231">
        <f>B37/(B38*C37)</f>
        <v>2.7485529141941822</v>
      </c>
      <c r="C39" s="226"/>
    </row>
    <row r="40" spans="1:3" ht="16" thickBot="1" x14ac:dyDescent="0.25">
      <c r="A40" s="224"/>
      <c r="B40" s="232"/>
      <c r="C40" s="228"/>
    </row>
    <row r="41" spans="1:3" x14ac:dyDescent="0.2">
      <c r="A41" s="64" t="s">
        <v>58</v>
      </c>
      <c r="B41" s="37" t="s">
        <v>19</v>
      </c>
      <c r="C41" s="42" t="str">
        <f>$A$4</f>
        <v>Mn</v>
      </c>
    </row>
    <row r="42" spans="1:3" x14ac:dyDescent="0.2">
      <c r="A42" s="66" t="s">
        <v>153</v>
      </c>
      <c r="B42" s="229">
        <v>1</v>
      </c>
      <c r="C42" s="230"/>
    </row>
    <row r="43" spans="1:3" x14ac:dyDescent="0.2">
      <c r="A43" s="223" t="s">
        <v>124</v>
      </c>
      <c r="B43" s="225">
        <f>1/(B42)</f>
        <v>1</v>
      </c>
      <c r="C43" s="226"/>
    </row>
    <row r="44" spans="1:3" ht="16" thickBot="1" x14ac:dyDescent="0.25">
      <c r="A44" s="224"/>
      <c r="B44" s="227"/>
      <c r="C44" s="228"/>
    </row>
    <row r="86" spans="7:7" x14ac:dyDescent="0.2">
      <c r="G86" s="40"/>
    </row>
  </sheetData>
  <mergeCells count="10">
    <mergeCell ref="B42:C42"/>
    <mergeCell ref="A43:A44"/>
    <mergeCell ref="B43:C44"/>
    <mergeCell ref="F2:I2"/>
    <mergeCell ref="A6:D6"/>
    <mergeCell ref="A34:C34"/>
    <mergeCell ref="B38:C38"/>
    <mergeCell ref="A39:A40"/>
    <mergeCell ref="B39:C40"/>
    <mergeCell ref="A2:B2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A77B3-89D7-4ADC-9BBF-A74A05DF87A8}">
  <sheetPr>
    <tabColor rgb="FFBA8CDC"/>
  </sheetPr>
  <dimension ref="A1:AA72"/>
  <sheetViews>
    <sheetView zoomScale="90" zoomScaleNormal="90" workbookViewId="0">
      <selection activeCell="C26" sqref="C26"/>
    </sheetView>
  </sheetViews>
  <sheetFormatPr baseColWidth="10" defaultColWidth="8.83203125" defaultRowHeight="15" x14ac:dyDescent="0.2"/>
  <cols>
    <col min="1" max="1" width="20.1640625" customWidth="1"/>
    <col min="2" max="2" width="28.33203125" style="27" bestFit="1" customWidth="1"/>
    <col min="3" max="3" width="16.83203125" customWidth="1"/>
    <col min="4" max="4" width="17.83203125" bestFit="1" customWidth="1"/>
    <col min="5" max="5" width="12" bestFit="1" customWidth="1"/>
    <col min="6" max="6" width="17.83203125" bestFit="1" customWidth="1"/>
    <col min="7" max="7" width="13.1640625" customWidth="1"/>
    <col min="8" max="8" width="13" customWidth="1"/>
    <col min="9" max="9" width="28.33203125" bestFit="1" customWidth="1"/>
    <col min="10" max="10" width="15.6640625" customWidth="1"/>
    <col min="11" max="11" width="28.33203125" bestFit="1" customWidth="1"/>
    <col min="13" max="14" width="12" bestFit="1" customWidth="1"/>
    <col min="17" max="17" width="28.33203125" bestFit="1" customWidth="1"/>
    <col min="18" max="18" width="14.33203125" customWidth="1"/>
    <col min="19" max="19" width="12" bestFit="1" customWidth="1"/>
    <col min="20" max="20" width="29" bestFit="1" customWidth="1"/>
    <col min="21" max="21" width="12" bestFit="1" customWidth="1"/>
    <col min="24" max="24" width="20.1640625" bestFit="1" customWidth="1"/>
    <col min="25" max="25" width="12.6640625" bestFit="1" customWidth="1"/>
    <col min="26" max="26" width="12" bestFit="1" customWidth="1"/>
  </cols>
  <sheetData>
    <row r="1" spans="1:26" ht="16" thickBot="1" x14ac:dyDescent="0.25"/>
    <row r="2" spans="1:26" ht="16" thickBot="1" x14ac:dyDescent="0.25">
      <c r="B2" s="237" t="s">
        <v>254</v>
      </c>
      <c r="C2" s="238"/>
      <c r="D2" s="238"/>
      <c r="E2" s="238"/>
      <c r="F2" s="238"/>
      <c r="G2" s="238"/>
      <c r="H2" s="238"/>
      <c r="I2" s="239"/>
    </row>
    <row r="3" spans="1:26" x14ac:dyDescent="0.2">
      <c r="B3" s="235" t="s">
        <v>179</v>
      </c>
      <c r="C3" s="236"/>
      <c r="D3" s="235" t="s">
        <v>183</v>
      </c>
      <c r="E3" s="236"/>
      <c r="F3" s="235" t="s">
        <v>184</v>
      </c>
      <c r="G3" s="236"/>
      <c r="H3" s="235" t="s">
        <v>185</v>
      </c>
      <c r="I3" s="236"/>
    </row>
    <row r="4" spans="1:26" x14ac:dyDescent="0.2">
      <c r="B4" s="124" t="s">
        <v>187</v>
      </c>
      <c r="C4" s="127">
        <v>0.6</v>
      </c>
      <c r="D4" s="124" t="s">
        <v>186</v>
      </c>
      <c r="E4" s="127">
        <v>1</v>
      </c>
      <c r="F4" s="124" t="s">
        <v>188</v>
      </c>
      <c r="G4" s="127">
        <v>0.45</v>
      </c>
      <c r="H4" s="124" t="s">
        <v>141</v>
      </c>
      <c r="I4" s="127">
        <v>1</v>
      </c>
    </row>
    <row r="5" spans="1:26" ht="16" thickBot="1" x14ac:dyDescent="0.25">
      <c r="B5" s="125" t="s">
        <v>190</v>
      </c>
      <c r="C5" s="128">
        <f>1-C4</f>
        <v>0.4</v>
      </c>
      <c r="D5" s="125"/>
      <c r="E5" s="128"/>
      <c r="F5" s="125" t="s">
        <v>189</v>
      </c>
      <c r="G5" s="128">
        <f>1-G4</f>
        <v>0.55000000000000004</v>
      </c>
      <c r="H5" s="125"/>
      <c r="I5" s="128">
        <f>1-I4</f>
        <v>0</v>
      </c>
    </row>
    <row r="7" spans="1:26" s="117" customFormat="1" ht="14.5" customHeight="1" x14ac:dyDescent="0.2">
      <c r="B7" s="116"/>
    </row>
    <row r="8" spans="1:26" ht="25" thickBot="1" x14ac:dyDescent="0.35">
      <c r="A8" s="170" t="s">
        <v>269</v>
      </c>
    </row>
    <row r="9" spans="1:26" x14ac:dyDescent="0.2">
      <c r="B9" s="31" t="s">
        <v>155</v>
      </c>
      <c r="C9" s="100" t="s">
        <v>156</v>
      </c>
      <c r="D9" s="100"/>
      <c r="E9" s="103"/>
      <c r="F9" s="103"/>
      <c r="G9" s="32"/>
      <c r="I9" s="31" t="s">
        <v>155</v>
      </c>
      <c r="J9" s="100" t="s">
        <v>156</v>
      </c>
      <c r="K9" s="100"/>
      <c r="L9" s="103"/>
      <c r="M9" s="103"/>
      <c r="N9" s="32"/>
      <c r="Q9" s="31" t="s">
        <v>155</v>
      </c>
      <c r="R9" s="100" t="s">
        <v>156</v>
      </c>
      <c r="S9" s="100"/>
      <c r="T9" s="103"/>
      <c r="U9" s="103"/>
      <c r="V9" s="32"/>
    </row>
    <row r="10" spans="1:26" ht="16" thickBot="1" x14ac:dyDescent="0.25">
      <c r="B10" s="101" t="s">
        <v>157</v>
      </c>
      <c r="C10" s="84" t="s">
        <v>165</v>
      </c>
      <c r="D10" s="84"/>
      <c r="E10" s="104"/>
      <c r="F10" s="104"/>
      <c r="G10" s="102"/>
      <c r="I10" s="101" t="s">
        <v>157</v>
      </c>
      <c r="J10" s="84" t="s">
        <v>158</v>
      </c>
      <c r="K10" s="84"/>
      <c r="L10" s="104"/>
      <c r="M10" s="104"/>
      <c r="N10" s="102"/>
      <c r="Q10" s="83" t="s">
        <v>157</v>
      </c>
      <c r="R10" s="114" t="s">
        <v>159</v>
      </c>
      <c r="S10" s="114"/>
      <c r="T10" s="115"/>
      <c r="U10" s="115"/>
      <c r="V10" s="80"/>
    </row>
    <row r="11" spans="1:26" x14ac:dyDescent="0.2">
      <c r="B11" s="86"/>
      <c r="C11" s="99" t="s">
        <v>16</v>
      </c>
      <c r="D11" s="99" t="s">
        <v>23</v>
      </c>
      <c r="E11" s="99" t="s">
        <v>14</v>
      </c>
      <c r="F11" s="93" t="s">
        <v>20</v>
      </c>
      <c r="G11" s="93" t="s">
        <v>42</v>
      </c>
      <c r="I11" s="86"/>
      <c r="J11" s="99" t="s">
        <v>16</v>
      </c>
      <c r="K11" s="99" t="s">
        <v>23</v>
      </c>
      <c r="L11" s="99" t="s">
        <v>14</v>
      </c>
      <c r="M11" s="93" t="s">
        <v>20</v>
      </c>
      <c r="N11" s="93" t="s">
        <v>42</v>
      </c>
      <c r="Q11" s="86"/>
      <c r="R11" s="123" t="s">
        <v>16</v>
      </c>
      <c r="S11" s="123" t="s">
        <v>23</v>
      </c>
      <c r="T11" s="99" t="s">
        <v>14</v>
      </c>
      <c r="U11" s="93" t="s">
        <v>20</v>
      </c>
      <c r="V11" s="93" t="s">
        <v>42</v>
      </c>
      <c r="X11" s="105" t="s">
        <v>194</v>
      </c>
    </row>
    <row r="12" spans="1:26" x14ac:dyDescent="0.2">
      <c r="B12" s="43" t="s">
        <v>121</v>
      </c>
      <c r="C12" s="56"/>
      <c r="D12" s="56"/>
      <c r="E12" s="56"/>
      <c r="F12" s="55"/>
      <c r="G12" s="55"/>
      <c r="I12" s="43" t="s">
        <v>121</v>
      </c>
      <c r="J12" s="56"/>
      <c r="K12" s="56"/>
      <c r="L12" s="56"/>
      <c r="M12" s="55"/>
      <c r="N12" s="55"/>
      <c r="Q12" s="72" t="s">
        <v>121</v>
      </c>
      <c r="R12" s="56"/>
      <c r="S12" s="56"/>
      <c r="T12" s="56"/>
      <c r="U12" s="55"/>
      <c r="V12" s="55"/>
      <c r="X12" s="106"/>
      <c r="Z12" s="177"/>
    </row>
    <row r="13" spans="1:26" x14ac:dyDescent="0.2">
      <c r="B13" s="43" t="s">
        <v>126</v>
      </c>
      <c r="C13" s="41">
        <f>'Ni_MHP-2021'!B9*'Final-2021'!$C$4+'Ni_Class1-2021'!B9*'Final-2021'!$C$5</f>
        <v>2.4139393165342996E-3</v>
      </c>
      <c r="D13">
        <f>'Co_SO4-2021'!B9*'Final-2021'!$E$4</f>
        <v>3.8313575615289811E-4</v>
      </c>
      <c r="E13" s="41">
        <f>'Li_brine-2021'!B9*'Final-2021'!$G$4+'Li_ore-2021'!B9*'Final-2021'!$G$5</f>
        <v>6.9362751416026985E-4</v>
      </c>
      <c r="F13" s="42">
        <f>'Al-2021'!B9*$I$4</f>
        <v>2.1166499667676265E-6</v>
      </c>
      <c r="G13" s="42">
        <f t="shared" ref="G13:G23" si="0">SUM(C13:F13)</f>
        <v>3.4928192368142356E-3</v>
      </c>
      <c r="I13" s="43" t="s">
        <v>126</v>
      </c>
      <c r="J13" s="41">
        <f>'Ni_MHP-2021'!D9*'Final-2021'!$C$4+'Ni_Class1-2021'!D9*'Final-2021'!$C$5</f>
        <v>2.0906641349594354E-3</v>
      </c>
      <c r="K13">
        <f>'Co_SO4-2021'!D9*'Final-2021'!$E$4</f>
        <v>3.136066049489204E-4</v>
      </c>
      <c r="L13" s="41">
        <f>'Li_brine-2021'!D9*'Final-2021'!$G$4+'Li_ore-2021'!D9*'Final-2021'!$G$5</f>
        <v>5.7865085134720963E-4</v>
      </c>
      <c r="M13" s="42">
        <f>'Al-2021'!D9*$I$4</f>
        <v>2.0774632971561011E-6</v>
      </c>
      <c r="N13" s="42">
        <f t="shared" ref="N13:N23" si="1">SUM(J13:M13)</f>
        <v>2.9849990545527216E-3</v>
      </c>
      <c r="Q13" s="72" t="s">
        <v>126</v>
      </c>
      <c r="R13" s="41">
        <f>'Ni_MHP-2021'!C9*'Final-2021'!$C$4+'Ni_Class1-2021'!C9*'Final-2021'!$C$5</f>
        <v>3.2327518157486391E-4</v>
      </c>
      <c r="S13">
        <f>'Co_SO4-2021'!C9*'Final-2021'!$E$4</f>
        <v>6.9529151203977715E-5</v>
      </c>
      <c r="T13" s="41">
        <f>'Li_brine-2021'!C9*'Final-2021'!$G$4+'Li_ore-2021'!C9*'Final-2021'!$G$5</f>
        <v>1.1497666281306022E-4</v>
      </c>
      <c r="U13" s="42">
        <f>'Al-2021'!C9*$I$4</f>
        <v>3.9186669611525312E-8</v>
      </c>
      <c r="V13" s="42">
        <f t="shared" ref="V13:V23" si="2">SUM(R13:U13)</f>
        <v>5.0782018226151336E-4</v>
      </c>
      <c r="X13" s="107">
        <f>N13/V13</f>
        <v>5.8780630601552764</v>
      </c>
      <c r="Z13" s="176"/>
    </row>
    <row r="14" spans="1:26" x14ac:dyDescent="0.2">
      <c r="B14" s="43" t="s">
        <v>127</v>
      </c>
      <c r="C14" s="41">
        <f>'Ni_MHP-2021'!B10*'Final-2021'!$C$4+'Ni_Class1-2021'!B10*'Final-2021'!$C$5</f>
        <v>1.2700193364906784E-2</v>
      </c>
      <c r="D14">
        <f>'Co_SO4-2021'!B10*'Final-2021'!$E$4</f>
        <v>1.2448690784219551E-3</v>
      </c>
      <c r="E14" s="41">
        <f>'Li_brine-2021'!B10*'Final-2021'!$G$4+'Li_ore-2021'!B10*'Final-2021'!$G$5</f>
        <v>3.1675232152989104E-3</v>
      </c>
      <c r="F14" s="42">
        <f>'Al-2021'!B10*$I$4</f>
        <v>8.9651816441730489E-6</v>
      </c>
      <c r="G14" s="42">
        <f t="shared" si="0"/>
        <v>1.712155084027182E-2</v>
      </c>
      <c r="I14" s="43" t="s">
        <v>127</v>
      </c>
      <c r="J14" s="41">
        <f>'Ni_MHP-2021'!D10*'Final-2021'!$C$4+'Ni_Class1-2021'!D10*'Final-2021'!$C$5</f>
        <v>1.1391268674276516E-2</v>
      </c>
      <c r="K14">
        <f>'Co_SO4-2021'!D10*'Final-2021'!$E$4</f>
        <v>1.0325378254820972E-3</v>
      </c>
      <c r="L14" s="41">
        <f>'Li_brine-2021'!D10*'Final-2021'!$G$4+'Li_ore-2021'!D10*'Final-2021'!$G$5</f>
        <v>2.8418560498243654E-3</v>
      </c>
      <c r="M14" s="42">
        <f>'Al-2021'!D10*$I$4</f>
        <v>8.8525145496727717E-6</v>
      </c>
      <c r="N14" s="42">
        <f t="shared" si="1"/>
        <v>1.5274515064132651E-2</v>
      </c>
      <c r="Q14" s="72" t="s">
        <v>127</v>
      </c>
      <c r="R14" s="41">
        <f>'Ni_MHP-2021'!C10*'Final-2021'!$C$4+'Ni_Class1-2021'!C10*'Final-2021'!$C$5</f>
        <v>1.3089246906302691E-3</v>
      </c>
      <c r="S14">
        <f>'Co_SO4-2021'!C10*'Final-2021'!$E$4</f>
        <v>2.1233125293985784E-4</v>
      </c>
      <c r="T14" s="41">
        <f>'Li_brine-2021'!C10*'Final-2021'!$G$4+'Li_ore-2021'!C10*'Final-2021'!$G$5</f>
        <v>3.2566716547454457E-4</v>
      </c>
      <c r="U14" s="42">
        <f>'Al-2021'!C10*$I$4</f>
        <v>1.1266709450027769E-7</v>
      </c>
      <c r="V14" s="42">
        <f t="shared" si="2"/>
        <v>1.8470357761391719E-3</v>
      </c>
      <c r="X14" s="107">
        <f t="shared" ref="X14:X23" si="3">N14/V14</f>
        <v>8.2697451026426325</v>
      </c>
    </row>
    <row r="15" spans="1:26" x14ac:dyDescent="0.2">
      <c r="B15" s="43" t="s">
        <v>128</v>
      </c>
      <c r="C15" s="41">
        <f>'Ni_MHP-2021'!B11*'Final-2021'!$C$4+'Ni_Class1-2021'!B11*'Final-2021'!$C$5</f>
        <v>2.3453792567153752E-2</v>
      </c>
      <c r="D15">
        <f>'Co_SO4-2021'!B11*'Final-2021'!$E$4</f>
        <v>2.238091938062025E-3</v>
      </c>
      <c r="E15" s="41">
        <f>'Li_brine-2021'!B11*'Final-2021'!$G$4+'Li_ore-2021'!B11*'Final-2021'!$G$5</f>
        <v>4.8495297909891448E-3</v>
      </c>
      <c r="F15" s="42">
        <f>'Al-2021'!B11*$I$4</f>
        <v>1.6539908518662613E-5</v>
      </c>
      <c r="G15" s="42">
        <f t="shared" si="0"/>
        <v>3.0557954204723584E-2</v>
      </c>
      <c r="I15" s="43" t="s">
        <v>128</v>
      </c>
      <c r="J15" s="41">
        <f>'Ni_MHP-2021'!D11*'Final-2021'!$C$4+'Ni_Class1-2021'!D11*'Final-2021'!$C$5</f>
        <v>1.6923211497041981E-2</v>
      </c>
      <c r="K15">
        <f>'Co_SO4-2021'!D11*'Final-2021'!$E$4</f>
        <v>1.7520676480758366E-3</v>
      </c>
      <c r="L15" s="41">
        <f>'Li_brine-2021'!D11*'Final-2021'!$G$4+'Li_ore-2021'!D11*'Final-2021'!$G$5</f>
        <v>3.6266329526090818E-3</v>
      </c>
      <c r="M15" s="42">
        <f>'Al-2021'!D11*$I$4</f>
        <v>1.6109006895215821E-5</v>
      </c>
      <c r="N15" s="42">
        <f t="shared" si="1"/>
        <v>2.2318021104622117E-2</v>
      </c>
      <c r="Q15" s="72" t="s">
        <v>128</v>
      </c>
      <c r="R15" s="41">
        <f>'Ni_MHP-2021'!C11*'Final-2021'!$C$4+'Ni_Class1-2021'!C11*'Final-2021'!$C$5</f>
        <v>6.5305810701117737E-3</v>
      </c>
      <c r="S15">
        <f>'Co_SO4-2021'!C11*'Final-2021'!$E$4</f>
        <v>4.8602428998618838E-4</v>
      </c>
      <c r="T15" s="41">
        <f>'Li_brine-2021'!C11*'Final-2021'!$G$4+'Li_ore-2021'!C11*'Final-2021'!$G$5</f>
        <v>1.2228968383800624E-3</v>
      </c>
      <c r="U15" s="42">
        <f>'Al-2021'!C11*$I$4</f>
        <v>4.309016234467907E-7</v>
      </c>
      <c r="V15" s="42">
        <f t="shared" si="2"/>
        <v>8.2399331001014719E-3</v>
      </c>
      <c r="X15" s="107">
        <f t="shared" si="3"/>
        <v>2.7085196971256087</v>
      </c>
    </row>
    <row r="16" spans="1:26" x14ac:dyDescent="0.2">
      <c r="B16" s="43" t="s">
        <v>129</v>
      </c>
      <c r="C16" s="41">
        <f>'Ni_MHP-2021'!B12*'Final-2021'!$C$4+'Ni_Class1-2021'!B12*'Final-2021'!$C$5</f>
        <v>6.7535850676592275E-3</v>
      </c>
      <c r="D16">
        <f>'Co_SO4-2021'!B12*'Final-2021'!$E$4</f>
        <v>1.1524692701854361E-2</v>
      </c>
      <c r="E16" s="41">
        <f>'Li_brine-2021'!B12*'Final-2021'!$G$4+'Li_ore-2021'!B12*'Final-2021'!$G$5</f>
        <v>1.0818254497789795E-3</v>
      </c>
      <c r="F16" s="42">
        <f>'Al-2021'!B12*$I$4</f>
        <v>1.4822743329821867E-5</v>
      </c>
      <c r="G16" s="42">
        <f t="shared" si="0"/>
        <v>1.9374925962622389E-2</v>
      </c>
      <c r="I16" s="43" t="s">
        <v>129</v>
      </c>
      <c r="J16" s="41">
        <f>'Ni_MHP-2021'!D12*'Final-2021'!$C$4+'Ni_Class1-2021'!D12*'Final-2021'!$C$5</f>
        <v>6.2335873793749625E-3</v>
      </c>
      <c r="K16">
        <f>'Co_SO4-2021'!D12*'Final-2021'!$E$4</f>
        <v>5.8285679721016099E-3</v>
      </c>
      <c r="L16" s="41">
        <f>'Li_brine-2021'!D12*'Final-2021'!$G$4+'Li_ore-2021'!D12*'Final-2021'!$G$5</f>
        <v>1.02522979288568E-3</v>
      </c>
      <c r="M16" s="42">
        <f>'Al-2021'!D12*$I$4</f>
        <v>1.2427383052872695E-5</v>
      </c>
      <c r="N16" s="42">
        <f t="shared" si="1"/>
        <v>1.3099812527415124E-2</v>
      </c>
      <c r="Q16" s="72" t="s">
        <v>129</v>
      </c>
      <c r="R16" s="41">
        <f>'Ni_MHP-2021'!C12*'Final-2021'!$C$4+'Ni_Class1-2021'!C12*'Final-2021'!$C$5</f>
        <v>5.199976882842638E-4</v>
      </c>
      <c r="S16">
        <f>'Co_SO4-2021'!C12*'Final-2021'!$E$4</f>
        <v>5.6961247297527507E-3</v>
      </c>
      <c r="T16" s="41">
        <f>'Li_brine-2021'!C12*'Final-2021'!$G$4+'Li_ore-2021'!C12*'Final-2021'!$G$5</f>
        <v>5.6595656893299639E-5</v>
      </c>
      <c r="U16" s="42">
        <f>'Al-2021'!C12*$I$4</f>
        <v>2.3953602769491723E-6</v>
      </c>
      <c r="V16" s="42">
        <f t="shared" si="2"/>
        <v>6.275113435207264E-3</v>
      </c>
      <c r="X16" s="107">
        <f t="shared" si="3"/>
        <v>2.0875817883892078</v>
      </c>
    </row>
    <row r="17" spans="1:27" x14ac:dyDescent="0.2">
      <c r="B17" s="43" t="s">
        <v>130</v>
      </c>
      <c r="C17" s="41">
        <f>'Ni_MHP-2021'!B13*'Final-2021'!$C$4+'Ni_Class1-2021'!B13*'Final-2021'!$C$5</f>
        <v>3.8787232183982463E-3</v>
      </c>
      <c r="D17">
        <f>'Co_SO4-2021'!B13*'Final-2021'!$E$4</f>
        <v>1.3130285469449849E-3</v>
      </c>
      <c r="E17" s="41">
        <f>'Li_brine-2021'!B13*'Final-2021'!$G$4+'Li_ore-2021'!B13*'Final-2021'!$G$5</f>
        <v>7.2844953293820522E-4</v>
      </c>
      <c r="F17" s="42">
        <f>'Al-2021'!B13*$I$4</f>
        <v>7.4740814847017815E-6</v>
      </c>
      <c r="G17" s="42">
        <f t="shared" si="0"/>
        <v>5.9276753797661381E-3</v>
      </c>
      <c r="I17" s="43" t="s">
        <v>130</v>
      </c>
      <c r="J17" s="41">
        <f>'Ni_MHP-2021'!D13*'Final-2021'!$C$4+'Ni_Class1-2021'!D13*'Final-2021'!$C$5</f>
        <v>3.4821264117356437E-3</v>
      </c>
      <c r="K17">
        <f>'Co_SO4-2021'!D13*'Final-2021'!$E$4</f>
        <v>6.9972522560699435E-4</v>
      </c>
      <c r="L17" s="41">
        <f>'Li_brine-2021'!D13*'Final-2021'!$G$4+'Li_ore-2021'!D13*'Final-2021'!$G$5</f>
        <v>6.8084071031521078E-4</v>
      </c>
      <c r="M17" s="42">
        <f>'Al-2021'!D13*$I$4</f>
        <v>6.2604374390162412E-6</v>
      </c>
      <c r="N17" s="42">
        <f t="shared" si="1"/>
        <v>4.8689527850968653E-3</v>
      </c>
      <c r="Q17" s="72" t="s">
        <v>130</v>
      </c>
      <c r="R17" s="41">
        <f>'Ni_MHP-2021'!C13*'Final-2021'!$C$4+'Ni_Class1-2021'!C13*'Final-2021'!$C$5</f>
        <v>3.9659680666260231E-4</v>
      </c>
      <c r="S17">
        <f>'Co_SO4-2021'!C13*'Final-2021'!$E$4</f>
        <v>6.1330332133799055E-4</v>
      </c>
      <c r="T17" s="41">
        <f>'Li_brine-2021'!C13*'Final-2021'!$G$4+'Li_ore-2021'!C13*'Final-2021'!$G$5</f>
        <v>4.760882262299456E-5</v>
      </c>
      <c r="U17" s="42">
        <f>'Al-2021'!C13*$I$4</f>
        <v>1.2136440456855405E-6</v>
      </c>
      <c r="V17" s="42">
        <f t="shared" si="2"/>
        <v>1.0587225946692732E-3</v>
      </c>
      <c r="X17" s="107">
        <f>N17/V17</f>
        <v>4.5988938080780661</v>
      </c>
    </row>
    <row r="18" spans="1:27" x14ac:dyDescent="0.2">
      <c r="B18" s="43" t="s">
        <v>131</v>
      </c>
      <c r="C18" s="41">
        <f>'Ni_MHP-2021'!B14*'Final-2021'!$C$4+'Ni_Class1-2021'!B14*'Final-2021'!$C$5</f>
        <v>0.69634373931810822</v>
      </c>
      <c r="D18">
        <f>'Co_SO4-2021'!B14*'Final-2021'!$E$4</f>
        <v>5.9167856825523002E-3</v>
      </c>
      <c r="E18" s="41">
        <f>'Li_brine-2021'!B14*'Final-2021'!$G$4+'Li_ore-2021'!B14*'Final-2021'!$G$5</f>
        <v>4.5713298241471523E-3</v>
      </c>
      <c r="F18" s="42">
        <f>'Al-2021'!B14*$I$4</f>
        <v>1.9935529131041108E-5</v>
      </c>
      <c r="G18" s="42">
        <f t="shared" si="0"/>
        <v>0.70685179035393864</v>
      </c>
      <c r="I18" s="43" t="s">
        <v>131</v>
      </c>
      <c r="J18" s="41">
        <f>'Ni_MHP-2021'!D14*'Final-2021'!$C$4+'Ni_Class1-2021'!D14*'Final-2021'!$C$5</f>
        <v>0.6924087945763342</v>
      </c>
      <c r="K18">
        <f>'Co_SO4-2021'!D14*'Final-2021'!$E$4</f>
        <v>5.9053412228181569E-3</v>
      </c>
      <c r="L18" s="41">
        <f>'Li_brine-2021'!D14*'Final-2021'!$G$4+'Li_ore-2021'!D14*'Final-2021'!$G$5</f>
        <v>4.523857170018207E-3</v>
      </c>
      <c r="M18" s="42">
        <f>'Al-2021'!D14*$I$4</f>
        <v>1.9855042238632516E-5</v>
      </c>
      <c r="N18" s="42">
        <f t="shared" si="1"/>
        <v>0.70285784801140927</v>
      </c>
      <c r="Q18" s="72" t="s">
        <v>131</v>
      </c>
      <c r="R18" s="41">
        <f>'Ni_MHP-2021'!C14*'Final-2021'!$C$4+'Ni_Class1-2021'!C14*'Final-2021'!$C$5</f>
        <v>3.9349447417740069E-3</v>
      </c>
      <c r="S18">
        <f>'Co_SO4-2021'!C14*'Final-2021'!$E$4</f>
        <v>1.1444459734143713E-5</v>
      </c>
      <c r="T18" s="41">
        <f>'Li_brine-2021'!C14*'Final-2021'!$G$4+'Li_ore-2021'!C14*'Final-2021'!$G$5</f>
        <v>4.7472654128945382E-5</v>
      </c>
      <c r="U18" s="42">
        <f>'Al-2021'!C14*$I$4</f>
        <v>8.048689240859402E-8</v>
      </c>
      <c r="V18" s="42">
        <f t="shared" si="2"/>
        <v>3.9939423425295042E-3</v>
      </c>
      <c r="X18" s="107">
        <f>N18/V18</f>
        <v>175.98097011241896</v>
      </c>
    </row>
    <row r="19" spans="1:27" x14ac:dyDescent="0.2">
      <c r="B19" s="43" t="s">
        <v>132</v>
      </c>
      <c r="C19" s="41">
        <f>'Ni_MHP-2021'!B15*'Final-2021'!$C$4+'Ni_Class1-2021'!B15*'Final-2021'!$C$5</f>
        <v>1.404985320363023E-4</v>
      </c>
      <c r="D19">
        <f>'Co_SO4-2021'!B15*'Final-2021'!$E$4</f>
        <v>4.9957907562875576E-5</v>
      </c>
      <c r="E19" s="41">
        <f>'Li_brine-2021'!B15*'Final-2021'!$G$4+'Li_ore-2021'!B15*'Final-2021'!$G$5</f>
        <v>5.8521299261791147E-5</v>
      </c>
      <c r="F19" s="42">
        <f>'Al-2021'!B15*$I$4</f>
        <v>1.4070844848576543E-7</v>
      </c>
      <c r="G19" s="42">
        <f t="shared" si="0"/>
        <v>2.4911844730945477E-4</v>
      </c>
      <c r="I19" s="43" t="s">
        <v>132</v>
      </c>
      <c r="J19" s="41">
        <f>'Ni_MHP-2021'!D15*'Final-2021'!$C$4+'Ni_Class1-2021'!D15*'Final-2021'!$C$5</f>
        <v>1.0363347332757429E-4</v>
      </c>
      <c r="K19">
        <f>'Co_SO4-2021'!D15*'Final-2021'!$E$4</f>
        <v>2.9524271122657989E-5</v>
      </c>
      <c r="L19" s="41">
        <f>'Li_brine-2021'!D15*'Final-2021'!$G$4+'Li_ore-2021'!D15*'Final-2021'!$G$5</f>
        <v>4.1372887867972662E-5</v>
      </c>
      <c r="M19" s="42">
        <f>'Al-2021'!D15*$I$4</f>
        <v>1.3312907643943951E-7</v>
      </c>
      <c r="N19" s="42">
        <f t="shared" si="1"/>
        <v>1.7466376139464439E-4</v>
      </c>
      <c r="Q19" s="72" t="s">
        <v>132</v>
      </c>
      <c r="R19" s="41">
        <f>'Ni_MHP-2021'!C15*'Final-2021'!$C$4+'Ni_Class1-2021'!C15*'Final-2021'!$C$5</f>
        <v>3.686505870872799E-5</v>
      </c>
      <c r="S19">
        <f>'Co_SO4-2021'!C15*'Final-2021'!$E$4</f>
        <v>2.0433636440217587E-5</v>
      </c>
      <c r="T19" s="41">
        <f>'Li_brine-2021'!C15*'Final-2021'!$G$4+'Li_ore-2021'!C15*'Final-2021'!$G$5</f>
        <v>1.7148411393818482E-5</v>
      </c>
      <c r="U19" s="42">
        <f>'Al-2021'!C15*$I$4</f>
        <v>7.57937204632592E-9</v>
      </c>
      <c r="V19" s="42">
        <f t="shared" si="2"/>
        <v>7.4454685914810385E-5</v>
      </c>
      <c r="X19" s="107">
        <f t="shared" si="3"/>
        <v>2.3459068995938188</v>
      </c>
    </row>
    <row r="20" spans="1:27" x14ac:dyDescent="0.2">
      <c r="B20" s="43" t="s">
        <v>133</v>
      </c>
      <c r="C20" s="41">
        <f>'Ni_MHP-2021'!B16*'Final-2021'!$C$4+'Ni_Class1-2021'!B16*'Final-2021'!$C$5</f>
        <v>2.9521322337781425E-4</v>
      </c>
      <c r="D20">
        <f>'Co_SO4-2021'!B16*'Final-2021'!$E$4</f>
        <v>3.6981290344430468E-5</v>
      </c>
      <c r="E20" s="41">
        <f>'Li_brine-2021'!B16*'Final-2021'!$G$4+'Li_ore-2021'!B16*'Final-2021'!$G$5</f>
        <v>9.2634657842980035E-5</v>
      </c>
      <c r="F20" s="42">
        <f>'Al-2021'!B16*$I$4</f>
        <v>2.6642383067437581E-7</v>
      </c>
      <c r="G20" s="42">
        <f t="shared" si="0"/>
        <v>4.2509559539589915E-4</v>
      </c>
      <c r="I20" s="43" t="s">
        <v>133</v>
      </c>
      <c r="J20" s="41">
        <f>'Ni_MHP-2021'!D16*'Final-2021'!$C$4+'Ni_Class1-2021'!D16*'Final-2021'!$C$5</f>
        <v>2.2494856541520455E-4</v>
      </c>
      <c r="K20">
        <f>'Co_SO4-2021'!D16*'Final-2021'!$E$4</f>
        <v>3.0838111333413908E-5</v>
      </c>
      <c r="L20" s="41">
        <f>'Li_brine-2021'!D16*'Final-2021'!$G$4+'Li_ore-2021'!D16*'Final-2021'!$G$5</f>
        <v>8.1594965911893497E-5</v>
      </c>
      <c r="M20" s="42">
        <f>'Al-2021'!D16*$I$4</f>
        <v>2.6360111458848162E-7</v>
      </c>
      <c r="N20" s="42">
        <f t="shared" si="1"/>
        <v>3.3764524377510039E-4</v>
      </c>
      <c r="Q20" s="72" t="s">
        <v>133</v>
      </c>
      <c r="R20" s="41">
        <f>'Ni_MHP-2021'!C16*'Final-2021'!$C$4+'Ni_Class1-2021'!C16*'Final-2021'!$C$5</f>
        <v>7.0264657962609706E-5</v>
      </c>
      <c r="S20">
        <f>'Co_SO4-2021'!C16*'Final-2021'!$E$4</f>
        <v>6.1431790110165587E-6</v>
      </c>
      <c r="T20" s="41">
        <f>'Li_brine-2021'!C16*'Final-2021'!$G$4+'Li_ore-2021'!C16*'Final-2021'!$G$5</f>
        <v>1.1039691931086548E-5</v>
      </c>
      <c r="U20" s="42">
        <f>'Al-2021'!C16*$I$4</f>
        <v>2.8227160858942089E-9</v>
      </c>
      <c r="V20" s="42">
        <f t="shared" si="2"/>
        <v>8.7450351620798705E-5</v>
      </c>
      <c r="X20" s="107">
        <f t="shared" si="3"/>
        <v>3.860993552538178</v>
      </c>
    </row>
    <row r="21" spans="1:27" x14ac:dyDescent="0.2">
      <c r="B21" s="43" t="s">
        <v>134</v>
      </c>
      <c r="C21" s="41">
        <f>'Ni_MHP-2021'!B17*'Final-2021'!$C$4+'Ni_Class1-2021'!B17*'Final-2021'!$C$5</f>
        <v>1.9341382562479446E-2</v>
      </c>
      <c r="D21">
        <f>'Co_SO4-2021'!B17*'Final-2021'!$E$4</f>
        <v>3.6918731356202859E-3</v>
      </c>
      <c r="E21" s="41">
        <f>'Li_brine-2021'!B17*'Final-2021'!$G$4+'Li_ore-2021'!B17*'Final-2021'!$G$5</f>
        <v>6.3456805863070604E-3</v>
      </c>
      <c r="F21" s="42">
        <f>'Al-2021'!B17*$I$4</f>
        <v>3.4126529091118145E-5</v>
      </c>
      <c r="G21" s="42">
        <f t="shared" si="0"/>
        <v>2.9413062813497912E-2</v>
      </c>
      <c r="I21" s="43" t="s">
        <v>134</v>
      </c>
      <c r="J21" s="41">
        <f>'Ni_MHP-2021'!D17*'Final-2021'!$C$4+'Ni_Class1-2021'!D17*'Final-2021'!$C$5</f>
        <v>1.6747087990689517E-2</v>
      </c>
      <c r="K21">
        <f>'Co_SO4-2021'!D17*'Final-2021'!$E$4</f>
        <v>3.4456041895858263E-3</v>
      </c>
      <c r="L21" s="41">
        <f>'Li_brine-2021'!D17*'Final-2021'!$G$4+'Li_ore-2021'!D17*'Final-2021'!$G$5</f>
        <v>5.6102442818204458E-3</v>
      </c>
      <c r="M21" s="42">
        <f>'Al-2021'!D17*$I$4</f>
        <v>3.3945427776734013E-5</v>
      </c>
      <c r="N21" s="42">
        <f t="shared" si="1"/>
        <v>2.5836881889872525E-2</v>
      </c>
      <c r="Q21" s="72" t="s">
        <v>134</v>
      </c>
      <c r="R21" s="41">
        <f>'Ni_MHP-2021'!C17*'Final-2021'!$C$4+'Ni_Class1-2021'!C17*'Final-2021'!$C$5</f>
        <v>2.594294571789931E-3</v>
      </c>
      <c r="S21">
        <f>'Co_SO4-2021'!C17*'Final-2021'!$E$4</f>
        <v>2.4626894603445949E-4</v>
      </c>
      <c r="T21" s="41">
        <f>'Li_brine-2021'!C17*'Final-2021'!$G$4+'Li_ore-2021'!C17*'Final-2021'!$G$5</f>
        <v>7.3543630448661388E-4</v>
      </c>
      <c r="U21" s="42">
        <f>'Al-2021'!C17*$I$4</f>
        <v>1.8110131438413196E-7</v>
      </c>
      <c r="V21" s="42">
        <f t="shared" si="2"/>
        <v>3.5761809236253884E-3</v>
      </c>
      <c r="X21" s="107">
        <f t="shared" si="3"/>
        <v>7.2247133021670873</v>
      </c>
    </row>
    <row r="22" spans="1:27" x14ac:dyDescent="0.2">
      <c r="B22" s="43" t="s">
        <v>135</v>
      </c>
      <c r="C22" s="41">
        <f>'Ni_MHP-2021'!B18*'Final-2021'!$C$4+'Ni_Class1-2021'!B18*'Final-2021'!$C$5</f>
        <v>2.6918171465485728E-4</v>
      </c>
      <c r="D22">
        <f>'Co_SO4-2021'!B18*'Final-2021'!$E$4</f>
        <v>4.051268739883182E-5</v>
      </c>
      <c r="E22" s="41">
        <f>'Li_brine-2021'!B18*'Final-2021'!$G$4+'Li_ore-2021'!B18*'Final-2021'!$G$5</f>
        <v>3.0789028995144515E-5</v>
      </c>
      <c r="F22" s="42">
        <f>'Al-2021'!B18*$I$4</f>
        <v>3.4941601909337948E-7</v>
      </c>
      <c r="G22" s="42">
        <f t="shared" si="0"/>
        <v>3.4083284706792698E-4</v>
      </c>
      <c r="I22" s="43" t="s">
        <v>135</v>
      </c>
      <c r="J22" s="41">
        <f>'Ni_MHP-2021'!D18*'Final-2021'!$C$4+'Ni_Class1-2021'!D18*'Final-2021'!$C$5</f>
        <v>1.7140499774844672E-4</v>
      </c>
      <c r="K22">
        <f>'Co_SO4-2021'!D18*'Final-2021'!$E$4</f>
        <v>3.5598387689161855E-5</v>
      </c>
      <c r="L22" s="41">
        <f>'Li_brine-2021'!D18*'Final-2021'!$G$4+'Li_ore-2021'!D18*'Final-2021'!$G$5</f>
        <v>2.3233842560498736E-5</v>
      </c>
      <c r="M22" s="42">
        <f>'Al-2021'!D18*$I$4</f>
        <v>3.4603433399651005E-7</v>
      </c>
      <c r="N22" s="42">
        <f t="shared" si="1"/>
        <v>2.3058326233210382E-4</v>
      </c>
      <c r="Q22" s="72" t="s">
        <v>135</v>
      </c>
      <c r="R22" s="41">
        <f>'Ni_MHP-2021'!C18*'Final-2021'!$C$4+'Ni_Class1-2021'!C18*'Final-2021'!$C$5</f>
        <v>9.7776716906410532E-5</v>
      </c>
      <c r="S22">
        <f>'Co_SO4-2021'!C18*'Final-2021'!$E$4</f>
        <v>4.9142997096699669E-6</v>
      </c>
      <c r="T22" s="41">
        <f>'Li_brine-2021'!C18*'Final-2021'!$G$4+'Li_ore-2021'!C18*'Final-2021'!$G$5</f>
        <v>7.5551864346457769E-6</v>
      </c>
      <c r="U22" s="42">
        <f>'Al-2021'!C18*$I$4</f>
        <v>3.3816850968694202E-9</v>
      </c>
      <c r="V22" s="42">
        <f t="shared" si="2"/>
        <v>1.1024958473582314E-4</v>
      </c>
      <c r="X22" s="107">
        <f t="shared" si="3"/>
        <v>2.0914660393925359</v>
      </c>
    </row>
    <row r="23" spans="1:27" x14ac:dyDescent="0.2">
      <c r="B23" s="43" t="s">
        <v>136</v>
      </c>
      <c r="C23" s="41">
        <f>'Ni_MHP-2021'!B19*'Final-2021'!$C$4+'Ni_Class1-2021'!B19*'Final-2021'!$C$5</f>
        <v>10.373202896679224</v>
      </c>
      <c r="D23">
        <f>'Co_SO4-2021'!B19*'Final-2021'!$E$4</f>
        <v>1.6974901559330406</v>
      </c>
      <c r="E23" s="41">
        <f>'Li_brine-2021'!B19*'Final-2021'!$G$4+'Li_ore-2021'!B19*'Final-2021'!$G$5</f>
        <v>4.4303485069555375</v>
      </c>
      <c r="F23" s="42">
        <f>'Al-2021'!B19*$I$4</f>
        <v>1.3906027958260072E-2</v>
      </c>
      <c r="G23" s="42">
        <f t="shared" si="0"/>
        <v>16.514947587526063</v>
      </c>
      <c r="I23" s="43" t="s">
        <v>136</v>
      </c>
      <c r="J23" s="41">
        <f>'Ni_MHP-2021'!D19*'Final-2021'!$C$4+'Ni_Class1-2021'!D19*'Final-2021'!$C$5</f>
        <v>8.426694493099081</v>
      </c>
      <c r="K23">
        <f>'Co_SO4-2021'!D19*'Final-2021'!$E$4</f>
        <v>1.4965106301369275</v>
      </c>
      <c r="L23" s="41">
        <f>'Li_brine-2021'!D19*'Final-2021'!$G$4+'Li_ore-2021'!D19*'Final-2021'!$G$5</f>
        <v>3.8507697170472079</v>
      </c>
      <c r="M23" s="42">
        <f>'Al-2021'!D19*$I$4</f>
        <v>1.3756716651533369E-2</v>
      </c>
      <c r="N23" s="42">
        <f t="shared" si="1"/>
        <v>13.78773155693475</v>
      </c>
      <c r="O23" s="133"/>
      <c r="Q23" s="72" t="s">
        <v>136</v>
      </c>
      <c r="R23" s="41">
        <f>'Ni_MHP-2021'!C19*'Final-2021'!$C$4+'Ni_Class1-2021'!C19*'Final-2021'!$C$5</f>
        <v>1.9465084035801441</v>
      </c>
      <c r="S23">
        <f>'Co_SO4-2021'!C19*'Final-2021'!$E$4</f>
        <v>0.20097952579611311</v>
      </c>
      <c r="T23" s="41">
        <f>'Li_brine-2021'!C19*'Final-2021'!$G$4+'Li_ore-2021'!C19*'Final-2021'!$G$5</f>
        <v>0.57957878990832934</v>
      </c>
      <c r="U23" s="42">
        <f>'Al-2021'!C19*$I$4</f>
        <v>1.4931130672670245E-4</v>
      </c>
      <c r="V23" s="42">
        <f t="shared" si="2"/>
        <v>2.7272160305913129</v>
      </c>
      <c r="X23" s="107">
        <f t="shared" si="3"/>
        <v>5.0556066707870242</v>
      </c>
    </row>
    <row r="24" spans="1:27" x14ac:dyDescent="0.2">
      <c r="B24" s="53" t="s">
        <v>122</v>
      </c>
      <c r="C24" s="56"/>
      <c r="D24" s="56"/>
      <c r="E24" s="56"/>
      <c r="F24" s="78"/>
      <c r="G24" s="55"/>
      <c r="I24" s="53" t="s">
        <v>122</v>
      </c>
      <c r="J24" s="56"/>
      <c r="K24" s="56"/>
      <c r="L24" s="56"/>
      <c r="M24" s="78"/>
      <c r="N24" s="55"/>
      <c r="O24" s="133"/>
      <c r="Q24" s="53" t="s">
        <v>122</v>
      </c>
      <c r="R24" s="56"/>
      <c r="S24" s="56"/>
      <c r="T24" s="56"/>
      <c r="U24" s="78"/>
      <c r="V24" s="55"/>
      <c r="X24" s="106"/>
    </row>
    <row r="25" spans="1:27" x14ac:dyDescent="0.2">
      <c r="B25" s="43" t="s">
        <v>125</v>
      </c>
      <c r="C25" s="41">
        <f>'Ni_MHP-2021'!B21*'Final-2021'!$C$4+'Ni_Class1-2021'!B21*'Final-2021'!$C$5</f>
        <v>153.58959589354049</v>
      </c>
      <c r="D25">
        <f>'Co_SO4-2021'!B21*'Final-2021'!$E$4</f>
        <v>27.313501817631465</v>
      </c>
      <c r="E25" s="41">
        <f>'Li_brine-2021'!B21*'Final-2021'!$G$4+'Li_ore-2021'!B21*'Final-2021'!$G$5</f>
        <v>49.859074712811356</v>
      </c>
      <c r="F25" s="42">
        <f>'Al-2021'!B21*$I$4</f>
        <v>0.21527274680300157</v>
      </c>
      <c r="G25" s="42">
        <f>SUM(C25:F25)</f>
        <v>230.97744517078632</v>
      </c>
      <c r="I25" s="43" t="s">
        <v>125</v>
      </c>
      <c r="J25" s="41">
        <f>'Ni_MHP-2021'!D21*'Final-2021'!$C$4+'Ni_Class1-2021'!D21*'Final-2021'!$C$5</f>
        <v>127.53432401354678</v>
      </c>
      <c r="K25">
        <f>'Co_SO4-2021'!D21*'Final-2021'!$E$4</f>
        <v>24.555366730107558</v>
      </c>
      <c r="L25" s="41">
        <f>'Li_brine-2021'!D21*'Final-2021'!$G$4+'Li_ore-2021'!D21*'Final-2021'!$G$5</f>
        <v>41.612805742535592</v>
      </c>
      <c r="M25" s="42">
        <f>'Al-2021'!D21*$I$4</f>
        <v>0.21325983900724596</v>
      </c>
      <c r="N25" s="42">
        <f>SUM(J25:M25)</f>
        <v>193.91575632519715</v>
      </c>
      <c r="O25" s="133"/>
      <c r="Q25" s="72" t="s">
        <v>125</v>
      </c>
      <c r="R25" s="41">
        <f>'Ni_MHP-2021'!C21*'Final-2021'!$C$4+'Ni_Class1-2021'!C21*'Final-2021'!$C$5</f>
        <v>26.055271879993722</v>
      </c>
      <c r="S25">
        <f>'Co_SO4-2021'!C21*'Final-2021'!$E$4</f>
        <v>2.7581350875239083</v>
      </c>
      <c r="T25" s="41">
        <f>'Li_brine-2021'!C21*'Final-2021'!$G$4+'Li_ore-2021'!C21*'Final-2021'!$G$5</f>
        <v>8.2462689702757661</v>
      </c>
      <c r="U25" s="42">
        <f>'Al-2021'!C21*$I$4</f>
        <v>2.0129077957556072E-3</v>
      </c>
      <c r="V25" s="42">
        <f>SUM(R25:U25)</f>
        <v>37.061688845589153</v>
      </c>
      <c r="X25" s="107">
        <f>N25/V25</f>
        <v>5.2322428460589645</v>
      </c>
    </row>
    <row r="26" spans="1:27" x14ac:dyDescent="0.2">
      <c r="B26" s="44" t="s">
        <v>123</v>
      </c>
      <c r="C26" s="56"/>
      <c r="D26" s="56"/>
      <c r="E26" s="56"/>
      <c r="F26" s="78"/>
      <c r="G26" s="55"/>
      <c r="I26" s="44" t="s">
        <v>123</v>
      </c>
      <c r="J26" s="56"/>
      <c r="K26" s="56"/>
      <c r="L26" s="56"/>
      <c r="M26" s="78"/>
      <c r="N26" s="55"/>
      <c r="O26" s="133"/>
      <c r="Q26" s="53" t="s">
        <v>123</v>
      </c>
      <c r="R26" s="56"/>
      <c r="S26" s="56"/>
      <c r="T26" s="56"/>
      <c r="U26" s="78"/>
      <c r="V26" s="55"/>
      <c r="X26" s="106"/>
    </row>
    <row r="27" spans="1:27" ht="16" thickBot="1" x14ac:dyDescent="0.25">
      <c r="B27" s="61" t="s">
        <v>86</v>
      </c>
      <c r="C27" s="52">
        <f>'Ni_MHP-2021'!B31*'Final-2021'!$C$4+'Ni_Class1-2021'!B31*'Final-2021'!$C$5</f>
        <v>51709.886957495473</v>
      </c>
      <c r="D27" s="45">
        <f>'Co_SO4-2021'!B31*'Final-2021'!$E$4</f>
        <v>20557.384733991836</v>
      </c>
      <c r="E27" s="52">
        <f>'Li_brine-2021'!B31*'Final-2021'!$G$4+'Li_ore-2021'!B31*'Final-2021'!$G$5</f>
        <v>18953.591712078778</v>
      </c>
      <c r="F27" s="34">
        <f>'Al-2021'!B31*$I$4</f>
        <v>95.323571253924953</v>
      </c>
      <c r="G27" s="34">
        <f>SUM(C27:F27)</f>
        <v>91316.186974820026</v>
      </c>
      <c r="I27" s="61" t="s">
        <v>86</v>
      </c>
      <c r="J27" s="52">
        <f>'Ni_MHP-2021'!D31*'Final-2021'!$C$4+'Ni_Class1-2021'!D31*'Final-2021'!$C$5</f>
        <v>43941.141747638467</v>
      </c>
      <c r="K27" s="45">
        <f>'Co_SO4-2021'!D31*'Final-2021'!$E$4</f>
        <v>19690.882886833551</v>
      </c>
      <c r="L27" s="52">
        <f>'Li_brine-2021'!D31*'Final-2021'!$G$4+'Li_ore-2021'!D31*'Final-2021'!$G$5</f>
        <v>13605.163638571235</v>
      </c>
      <c r="M27" s="34">
        <f>'Al-2021'!D31*$I$4</f>
        <v>79.539277353976757</v>
      </c>
      <c r="N27" s="34">
        <f>SUM(J27:M27)</f>
        <v>77316.727550397234</v>
      </c>
      <c r="O27" s="133"/>
      <c r="Q27" s="113" t="s">
        <v>86</v>
      </c>
      <c r="R27" s="52">
        <f>'Ni_MHP-2021'!C31*'Final-2021'!$C$4+'Ni_Class1-2021'!C31*'Final-2021'!$C$5</f>
        <v>7768.7452098570129</v>
      </c>
      <c r="S27" s="45">
        <f>'Co_SO4-2021'!C31*'Final-2021'!$E$4</f>
        <v>866.50184715828357</v>
      </c>
      <c r="T27" s="52">
        <f>'Li_brine-2021'!C31*'Final-2021'!$G$4+'Li_ore-2021'!C31*'Final-2021'!$G$5</f>
        <v>5348.4280735075445</v>
      </c>
      <c r="U27" s="34">
        <f>'Al-2021'!C31*$I$4</f>
        <v>15.784293899948201</v>
      </c>
      <c r="V27" s="34">
        <f>SUM(R27:U27)</f>
        <v>13999.459424422788</v>
      </c>
      <c r="X27" s="108">
        <f>N27/V27</f>
        <v>5.5228366472146888</v>
      </c>
    </row>
    <row r="29" spans="1:27" s="117" customFormat="1" ht="14.5" customHeight="1" x14ac:dyDescent="0.2">
      <c r="B29" s="116"/>
    </row>
    <row r="30" spans="1:27" ht="25" thickBot="1" x14ac:dyDescent="0.35">
      <c r="A30" s="170" t="s">
        <v>259</v>
      </c>
    </row>
    <row r="31" spans="1:27" x14ac:dyDescent="0.2">
      <c r="B31" s="31" t="s">
        <v>155</v>
      </c>
      <c r="C31" s="100" t="s">
        <v>160</v>
      </c>
      <c r="D31" s="100"/>
      <c r="E31" s="100"/>
      <c r="F31" s="100"/>
      <c r="G31" s="100"/>
      <c r="H31" s="103"/>
      <c r="I31" s="32"/>
      <c r="K31" s="31" t="s">
        <v>155</v>
      </c>
      <c r="L31" s="100" t="s">
        <v>160</v>
      </c>
      <c r="M31" s="100"/>
      <c r="N31" s="100"/>
      <c r="O31" s="100"/>
      <c r="P31" s="100"/>
      <c r="Q31" s="103"/>
      <c r="R31" s="32"/>
      <c r="T31" s="31" t="s">
        <v>155</v>
      </c>
      <c r="U31" s="100" t="s">
        <v>160</v>
      </c>
      <c r="V31" s="100"/>
      <c r="W31" s="100"/>
      <c r="X31" s="100"/>
      <c r="Y31" s="100"/>
      <c r="Z31" s="103"/>
      <c r="AA31" s="32"/>
    </row>
    <row r="32" spans="1:27" ht="16" thickBot="1" x14ac:dyDescent="0.25">
      <c r="B32" s="101" t="s">
        <v>157</v>
      </c>
      <c r="C32" s="84" t="s">
        <v>165</v>
      </c>
      <c r="D32" s="84"/>
      <c r="E32" s="84"/>
      <c r="F32" s="84"/>
      <c r="G32" s="84"/>
      <c r="H32" s="104"/>
      <c r="I32" s="102"/>
      <c r="K32" s="101" t="s">
        <v>157</v>
      </c>
      <c r="L32" s="84" t="s">
        <v>158</v>
      </c>
      <c r="M32" s="84"/>
      <c r="N32" s="84"/>
      <c r="O32" s="84"/>
      <c r="P32" s="84"/>
      <c r="Q32" s="104"/>
      <c r="R32" s="102"/>
      <c r="T32" s="101" t="s">
        <v>157</v>
      </c>
      <c r="U32" s="114" t="s">
        <v>159</v>
      </c>
      <c r="V32" s="84"/>
      <c r="W32" s="84"/>
      <c r="X32" s="84"/>
      <c r="Y32" s="84"/>
      <c r="Z32" s="104"/>
      <c r="AA32" s="102"/>
    </row>
    <row r="33" spans="2:27" x14ac:dyDescent="0.2">
      <c r="B33" s="112"/>
      <c r="C33" s="98" t="s">
        <v>16</v>
      </c>
      <c r="D33" s="99" t="s">
        <v>23</v>
      </c>
      <c r="E33" s="99" t="s">
        <v>14</v>
      </c>
      <c r="F33" s="99" t="s">
        <v>20</v>
      </c>
      <c r="G33" s="99" t="s">
        <v>38</v>
      </c>
      <c r="H33" s="93" t="s">
        <v>19</v>
      </c>
      <c r="I33" s="93" t="s">
        <v>42</v>
      </c>
      <c r="K33" s="86"/>
      <c r="L33" s="99" t="s">
        <v>16</v>
      </c>
      <c r="M33" s="99" t="s">
        <v>23</v>
      </c>
      <c r="N33" s="99" t="s">
        <v>14</v>
      </c>
      <c r="O33" s="99" t="s">
        <v>20</v>
      </c>
      <c r="P33" s="99" t="s">
        <v>38</v>
      </c>
      <c r="Q33" s="93" t="s">
        <v>19</v>
      </c>
      <c r="R33" s="93" t="s">
        <v>42</v>
      </c>
      <c r="T33" s="86"/>
      <c r="U33" s="99" t="s">
        <v>16</v>
      </c>
      <c r="V33" s="99" t="s">
        <v>23</v>
      </c>
      <c r="W33" s="99" t="s">
        <v>14</v>
      </c>
      <c r="X33" s="99" t="s">
        <v>20</v>
      </c>
      <c r="Y33" s="99" t="s">
        <v>38</v>
      </c>
      <c r="Z33" s="93" t="s">
        <v>19</v>
      </c>
      <c r="AA33" s="93" t="s">
        <v>42</v>
      </c>
    </row>
    <row r="34" spans="2:27" x14ac:dyDescent="0.2">
      <c r="B34" s="72" t="s">
        <v>121</v>
      </c>
      <c r="C34" s="126"/>
      <c r="D34" s="56"/>
      <c r="E34" s="56"/>
      <c r="F34" s="56"/>
      <c r="G34" s="56"/>
      <c r="H34" s="55"/>
      <c r="I34" s="55"/>
      <c r="K34" s="43" t="s">
        <v>121</v>
      </c>
      <c r="L34" s="56"/>
      <c r="M34" s="56"/>
      <c r="N34" s="56"/>
      <c r="O34" s="56"/>
      <c r="P34" s="56"/>
      <c r="Q34" s="55"/>
      <c r="R34" s="55"/>
      <c r="T34" s="43" t="s">
        <v>121</v>
      </c>
      <c r="U34" s="56"/>
      <c r="V34" s="56"/>
      <c r="W34" s="56"/>
      <c r="X34" s="56"/>
      <c r="Y34" s="56"/>
      <c r="Z34" s="55"/>
      <c r="AA34" s="55"/>
    </row>
    <row r="35" spans="2:27" x14ac:dyDescent="0.2">
      <c r="B35" s="72" t="s">
        <v>126</v>
      </c>
      <c r="C35" s="47">
        <f>C13/'Ni_MHP-2021'!$B$4</f>
        <v>4.937621608424262E-3</v>
      </c>
      <c r="D35" s="41">
        <f>D13/'Co_SO4-2021'!$B$4</f>
        <v>4.1626570104223506E-3</v>
      </c>
      <c r="E35" s="41">
        <f>E13/'Li_brine-2021'!$B$4</f>
        <v>9.6548376050545164E-3</v>
      </c>
      <c r="F35" s="41">
        <f>F13/'Al-2021'!$B$4</f>
        <v>1.5068591301663938E-4</v>
      </c>
      <c r="G35" s="41">
        <f>'Cu-2021'!B9</f>
        <v>2.9861604854577621E-4</v>
      </c>
      <c r="H35" s="42">
        <f>'Mn-2021'!B9</f>
        <v>1.9610334315300456E-4</v>
      </c>
      <c r="I35" s="42">
        <f>SUM(F35:H35)</f>
        <v>6.4540530471542015E-4</v>
      </c>
      <c r="K35" s="43" t="s">
        <v>126</v>
      </c>
      <c r="L35" s="41">
        <f>J13/'Ni_MHP-2021'!$B$4</f>
        <v>4.2763744465432376E-3</v>
      </c>
      <c r="M35" s="41">
        <f>K13/'Co_SO4-2021'!$B$4</f>
        <v>3.4072432855481519E-3</v>
      </c>
      <c r="N35" s="41">
        <f>L13/'Li_brine-2021'!$B$4</f>
        <v>8.054438276641037E-3</v>
      </c>
      <c r="O35" s="41">
        <f>M13/'Al-2021'!$B$4</f>
        <v>1.478961843504908E-4</v>
      </c>
      <c r="P35" s="41">
        <f>'Cu-2021'!D9</f>
        <v>2.6617294157200571E-4</v>
      </c>
      <c r="Q35" s="42">
        <f>'Mn-2021'!D9</f>
        <v>3.2410160395353137E-5</v>
      </c>
      <c r="R35" s="42">
        <f>SUM(O35:Q35)</f>
        <v>4.4647928631784959E-4</v>
      </c>
      <c r="T35" s="43" t="s">
        <v>126</v>
      </c>
      <c r="U35" s="41">
        <f>R13/'Ni_MHP-2021'!$B$4</f>
        <v>6.6124716188102422E-4</v>
      </c>
      <c r="V35" s="41">
        <f>S13/'Co_SO4-2021'!$B$4</f>
        <v>7.5541372487419867E-4</v>
      </c>
      <c r="W35" s="41">
        <f>T13/'Li_brine-2021'!$B$4</f>
        <v>1.6003993284134793E-3</v>
      </c>
      <c r="X35" s="41">
        <f>U13/'Al-2021'!$B$4</f>
        <v>2.7897286661485808E-6</v>
      </c>
      <c r="Y35" s="41">
        <f>'Cu-2021'!C9</f>
        <v>3.2443106973770514E-5</v>
      </c>
      <c r="Z35" s="42">
        <f>'Mn-2021'!C9</f>
        <v>1.6369318275765143E-4</v>
      </c>
      <c r="AA35" s="42">
        <f>SUM(X35:Z35)</f>
        <v>1.9892601839757051E-4</v>
      </c>
    </row>
    <row r="36" spans="2:27" x14ac:dyDescent="0.2">
      <c r="B36" s="72" t="s">
        <v>127</v>
      </c>
      <c r="C36" s="47">
        <f>C14/'Ni_MHP-2021'!$B$4</f>
        <v>2.5977765373058889E-2</v>
      </c>
      <c r="D36" s="41">
        <f>D14/'Co_SO4-2021'!$B$4</f>
        <v>1.3525135446463511E-2</v>
      </c>
      <c r="E36" s="41">
        <f>E14/'Li_brine-2021'!$B$4</f>
        <v>4.408983442788407E-2</v>
      </c>
      <c r="F36" s="41">
        <f>F14/'Al-2021'!$B$4</f>
        <v>6.3823806610559036E-4</v>
      </c>
      <c r="G36" s="41">
        <f>'Cu-2021'!B10</f>
        <v>2.0386139541548856E-3</v>
      </c>
      <c r="H36" s="42">
        <f>'Mn-2021'!B10</f>
        <v>9.3225718204947156E-4</v>
      </c>
      <c r="I36" s="42">
        <f t="shared" ref="I36:I47" si="4">SUM(F36:H36)</f>
        <v>3.6091092023099475E-3</v>
      </c>
      <c r="K36" s="43" t="s">
        <v>127</v>
      </c>
      <c r="L36" s="41">
        <f>J14/'Ni_MHP-2021'!$B$4</f>
        <v>2.3300409404751053E-2</v>
      </c>
      <c r="M36" s="41">
        <f>K14/'Co_SO4-2021'!$B$4</f>
        <v>1.1218218996125377E-2</v>
      </c>
      <c r="N36" s="41">
        <f>L14/'Li_brine-2021'!$B$4</f>
        <v>3.9556762236015057E-2</v>
      </c>
      <c r="O36" s="41">
        <f>M14/'Al-2021'!$B$4</f>
        <v>6.3021721038156501E-4</v>
      </c>
      <c r="P36" s="41">
        <f>'Cu-2021'!D10</f>
        <v>1.7797913325286463E-3</v>
      </c>
      <c r="Q36" s="42">
        <f>'Mn-2021'!D10</f>
        <v>7.3226223645176942E-5</v>
      </c>
      <c r="R36" s="42">
        <f t="shared" ref="R36:R47" si="5">SUM(O36:Q36)</f>
        <v>2.4832347665553886E-3</v>
      </c>
      <c r="T36" s="43" t="s">
        <v>127</v>
      </c>
      <c r="U36" s="41">
        <f>R14/'Ni_MHP-2021'!$B$4</f>
        <v>2.6773559683078412E-3</v>
      </c>
      <c r="V36" s="41">
        <f>S14/'Co_SO4-2021'!$B$4</f>
        <v>2.306916450338134E-3</v>
      </c>
      <c r="W36" s="41">
        <f>T14/'Li_brine-2021'!$B$4</f>
        <v>4.5330721918690059E-3</v>
      </c>
      <c r="X36" s="41">
        <f>U14/'Al-2021'!$B$4</f>
        <v>8.0208557240254199E-6</v>
      </c>
      <c r="Y36" s="41">
        <f>'Cu-2021'!C10</f>
        <v>2.5882262162623944E-4</v>
      </c>
      <c r="Z36" s="42">
        <f>'Mn-2021'!C10</f>
        <v>8.5903095840429461E-4</v>
      </c>
      <c r="AA36" s="42">
        <f t="shared" ref="AA36:AA45" si="6">SUM(X36:Z36)</f>
        <v>1.1258744357545594E-3</v>
      </c>
    </row>
    <row r="37" spans="2:27" x14ac:dyDescent="0.2">
      <c r="B37" s="72" t="s">
        <v>128</v>
      </c>
      <c r="C37" s="47">
        <f>C15/'Ni_MHP-2021'!$B$4</f>
        <v>4.7973845981075319E-2</v>
      </c>
      <c r="D37" s="41">
        <f>D15/'Co_SO4-2021'!$B$4</f>
        <v>2.4316208932025993E-2</v>
      </c>
      <c r="E37" s="41">
        <f>E15/'Li_brine-2021'!$B$4</f>
        <v>6.7502256812228448E-2</v>
      </c>
      <c r="F37" s="41">
        <f>F15/'Al-2021'!$B$4</f>
        <v>1.1774886048600893E-3</v>
      </c>
      <c r="G37" s="41">
        <f>'Cu-2021'!B11</f>
        <v>2.4708300952947853E-3</v>
      </c>
      <c r="H37" s="42">
        <f>'Mn-2021'!B11</f>
        <v>1.6833347102589743E-3</v>
      </c>
      <c r="I37" s="42">
        <f t="shared" si="4"/>
        <v>5.3316534104138492E-3</v>
      </c>
      <c r="K37" s="43" t="s">
        <v>128</v>
      </c>
      <c r="L37" s="41">
        <f>J15/'Ni_MHP-2021'!$B$4</f>
        <v>3.4615789303144677E-2</v>
      </c>
      <c r="M37" s="41">
        <f>K15/'Co_SO4-2021'!$B$4</f>
        <v>1.9035698341573107E-2</v>
      </c>
      <c r="N37" s="41">
        <f>L15/'Li_brine-2021'!$B$4</f>
        <v>5.0480339224965601E-2</v>
      </c>
      <c r="O37" s="41">
        <f>M15/'Al-2021'!$B$4</f>
        <v>1.1468123921802059E-3</v>
      </c>
      <c r="P37" s="41">
        <f>'Cu-2021'!D11</f>
        <v>2.2250147434095579E-3</v>
      </c>
      <c r="Q37" s="42">
        <f>'Mn-2021'!D11</f>
        <v>5.7088245410394519E-4</v>
      </c>
      <c r="R37" s="42">
        <f t="shared" si="5"/>
        <v>3.9427095896937088E-3</v>
      </c>
      <c r="T37" s="43" t="s">
        <v>128</v>
      </c>
      <c r="U37" s="41">
        <f>R15/'Ni_MHP-2021'!$B$4</f>
        <v>1.3358056677930644E-2</v>
      </c>
      <c r="V37" s="41">
        <f>S15/'Co_SO4-2021'!$B$4</f>
        <v>5.2805105904528849E-3</v>
      </c>
      <c r="W37" s="41">
        <f>T15/'Li_brine-2021'!$B$4</f>
        <v>1.702191758726284E-2</v>
      </c>
      <c r="X37" s="41">
        <f>U15/'Al-2021'!$B$4</f>
        <v>3.0676212679883378E-5</v>
      </c>
      <c r="Y37" s="41">
        <f>'Cu-2021'!C11</f>
        <v>2.4581535188522742E-4</v>
      </c>
      <c r="Z37" s="42">
        <f>'Mn-2021'!C11</f>
        <v>1.1124522561550291E-3</v>
      </c>
      <c r="AA37" s="42">
        <f t="shared" si="6"/>
        <v>1.38894382072014E-3</v>
      </c>
    </row>
    <row r="38" spans="2:27" x14ac:dyDescent="0.2">
      <c r="B38" s="72" t="s">
        <v>129</v>
      </c>
      <c r="C38" s="47">
        <f>C16/'Ni_MHP-2021'!$B$4</f>
        <v>1.3814202923825576E-2</v>
      </c>
      <c r="D38" s="41">
        <f>D16/'Co_SO4-2021'!$B$4</f>
        <v>0.12521238777096183</v>
      </c>
      <c r="E38" s="41">
        <f>E16/'Li_brine-2021'!$B$4</f>
        <v>1.5058296883271725E-2</v>
      </c>
      <c r="F38" s="41">
        <f>F16/'Al-2021'!$B$4</f>
        <v>1.0552423155144762E-3</v>
      </c>
      <c r="G38" s="41">
        <f>'Cu-2021'!B12</f>
        <v>2.9277380027227084E-4</v>
      </c>
      <c r="H38" s="42">
        <f>'Mn-2021'!B12</f>
        <v>5.3284390837517251E-3</v>
      </c>
      <c r="I38" s="42">
        <f t="shared" si="4"/>
        <v>6.6764551995384721E-3</v>
      </c>
      <c r="K38" s="43" t="s">
        <v>129</v>
      </c>
      <c r="L38" s="41">
        <f>J16/'Ni_MHP-2021'!$B$4</f>
        <v>1.2750567311937331E-2</v>
      </c>
      <c r="M38" s="41">
        <f>K16/'Co_SO4-2021'!$B$4</f>
        <v>6.3325672271918085E-2</v>
      </c>
      <c r="N38" s="41">
        <f>L16/'Li_brine-2021'!$B$4</f>
        <v>1.4270522659641471E-2</v>
      </c>
      <c r="O38" s="41">
        <f>M16/'Al-2021'!$B$4</f>
        <v>8.8471480458781856E-4</v>
      </c>
      <c r="P38" s="41">
        <f>'Cu-2021'!D12</f>
        <v>2.0882399951498317E-4</v>
      </c>
      <c r="Q38" s="42">
        <f>'Mn-2021'!D12</f>
        <v>4.0763471831333636E-5</v>
      </c>
      <c r="R38" s="42">
        <f t="shared" si="5"/>
        <v>1.1343022759341354E-3</v>
      </c>
      <c r="T38" s="43" t="s">
        <v>129</v>
      </c>
      <c r="U38" s="41">
        <f>R16/'Ni_MHP-2021'!$B$4</f>
        <v>1.0636356118882422E-3</v>
      </c>
      <c r="V38" s="41">
        <f>S16/'Co_SO4-2021'!$B$4</f>
        <v>6.1886715499043746E-2</v>
      </c>
      <c r="W38" s="41">
        <f>T16/'Li_brine-2021'!$B$4</f>
        <v>7.8777422363025774E-4</v>
      </c>
      <c r="X38" s="41">
        <f>U16/'Al-2021'!$B$4</f>
        <v>1.7052751092665774E-4</v>
      </c>
      <c r="Y38" s="41">
        <f>'Cu-2021'!C12</f>
        <v>8.3949800757287659E-5</v>
      </c>
      <c r="Z38" s="42">
        <f>'Mn-2021'!C12</f>
        <v>5.2876756119203915E-3</v>
      </c>
      <c r="AA38" s="42">
        <f t="shared" si="6"/>
        <v>5.542152923604337E-3</v>
      </c>
    </row>
    <row r="39" spans="2:27" x14ac:dyDescent="0.2">
      <c r="B39" s="72" t="s">
        <v>130</v>
      </c>
      <c r="C39" s="47">
        <f>C17/'Ni_MHP-2021'!$B$4</f>
        <v>7.9337817007579907E-3</v>
      </c>
      <c r="D39" s="41">
        <f>D17/'Co_SO4-2021'!$B$4</f>
        <v>1.4265667972905197E-2</v>
      </c>
      <c r="E39" s="41">
        <f>E17/'Li_brine-2021'!$B$4</f>
        <v>1.013953714409766E-2</v>
      </c>
      <c r="F39" s="41">
        <f>F17/'Al-2021'!$B$4</f>
        <v>5.3208551728699228E-4</v>
      </c>
      <c r="G39" s="41">
        <f>'Cu-2021'!B13</f>
        <v>1.8188131417516825E-4</v>
      </c>
      <c r="H39" s="42">
        <f>'Mn-2021'!B13</f>
        <v>2.6858823265741194E-3</v>
      </c>
      <c r="I39" s="42">
        <f t="shared" si="4"/>
        <v>3.3998491580362802E-3</v>
      </c>
      <c r="K39" s="43" t="s">
        <v>130</v>
      </c>
      <c r="L39" s="41">
        <f>J17/'Ni_MHP-2021'!$B$4</f>
        <v>7.1225579268228683E-3</v>
      </c>
      <c r="M39" s="41">
        <f>K17/'Co_SO4-2021'!$B$4</f>
        <v>7.6023082392235337E-3</v>
      </c>
      <c r="N39" s="41">
        <f>L17/'Li_brine-2021'!$B$4</f>
        <v>9.4768537274091905E-3</v>
      </c>
      <c r="O39" s="41">
        <f>M17/'Al-2021'!$B$4</f>
        <v>4.4568527918781731E-4</v>
      </c>
      <c r="P39" s="41">
        <f>'Cu-2021'!D13</f>
        <v>1.4025275991115375E-4</v>
      </c>
      <c r="Q39" s="42">
        <f>'Mn-2021'!D13</f>
        <v>3.5926694591667963E-5</v>
      </c>
      <c r="R39" s="42">
        <f t="shared" si="5"/>
        <v>6.2186473369063903E-4</v>
      </c>
      <c r="T39" s="43" t="s">
        <v>130</v>
      </c>
      <c r="U39" s="41">
        <f>R17/'Ni_MHP-2021'!$B$4</f>
        <v>8.1122377393512239E-4</v>
      </c>
      <c r="V39" s="41">
        <f>S17/'Co_SO4-2021'!$B$4</f>
        <v>6.6633597336816638E-3</v>
      </c>
      <c r="W39" s="41">
        <f>T17/'Li_brine-2021'!$B$4</f>
        <v>6.6268341668847047E-4</v>
      </c>
      <c r="X39" s="41">
        <f>U17/'Al-2021'!$B$4</f>
        <v>8.6400238099174938E-5</v>
      </c>
      <c r="Y39" s="41">
        <f>'Cu-2021'!C13</f>
        <v>4.1628554264014509E-5</v>
      </c>
      <c r="Z39" s="42">
        <f>'Mn-2021'!C13</f>
        <v>2.6499556319824515E-3</v>
      </c>
      <c r="AA39" s="42">
        <f t="shared" si="6"/>
        <v>2.7779844243456409E-3</v>
      </c>
    </row>
    <row r="40" spans="2:27" x14ac:dyDescent="0.2">
      <c r="B40" s="72" t="s">
        <v>131</v>
      </c>
      <c r="C40" s="47">
        <f>C18/'Ni_MHP-2021'!$B$4</f>
        <v>1.4243447921816008</v>
      </c>
      <c r="D40" s="41">
        <f>D18/'Co_SO4-2021'!$B$4</f>
        <v>6.4284131682071463E-2</v>
      </c>
      <c r="E40" s="41">
        <f>E18/'Li_brine-2021'!$B$4</f>
        <v>6.3629896724490681E-2</v>
      </c>
      <c r="F40" s="41">
        <f>F18/'Al-2021'!$B$4</f>
        <v>1.4192254060638129E-3</v>
      </c>
      <c r="G40" s="41">
        <f>'Cu-2021'!B14</f>
        <v>0.14038217122196686</v>
      </c>
      <c r="H40" s="42">
        <f>'Mn-2021'!B14</f>
        <v>4.5743317954445636E-3</v>
      </c>
      <c r="I40" s="42">
        <f t="shared" si="4"/>
        <v>0.14637572842347524</v>
      </c>
      <c r="K40" s="43" t="s">
        <v>131</v>
      </c>
      <c r="L40" s="41">
        <f>J18/'Ni_MHP-2021'!$B$4</f>
        <v>1.4162960114803389</v>
      </c>
      <c r="M40" s="41">
        <f>K18/'Co_SO4-2021'!$B$4</f>
        <v>6.4159791001835359E-2</v>
      </c>
      <c r="N40" s="41">
        <f>L18/'Li_brine-2021'!$B$4</f>
        <v>6.2969108683447114E-2</v>
      </c>
      <c r="O40" s="41">
        <f>M18/'Al-2021'!$B$4</f>
        <v>1.4134954832806981E-3</v>
      </c>
      <c r="P40" s="41">
        <f>'Cu-2021'!D14</f>
        <v>0.14028238628284198</v>
      </c>
      <c r="Q40" s="42">
        <f>'Mn-2021'!D14</f>
        <v>3.8405233660723848E-3</v>
      </c>
      <c r="R40" s="42">
        <f t="shared" si="5"/>
        <v>0.14553640513219507</v>
      </c>
      <c r="T40" s="43" t="s">
        <v>131</v>
      </c>
      <c r="U40" s="41">
        <f>R18/'Ni_MHP-2021'!$B$4</f>
        <v>8.0487807012619636E-3</v>
      </c>
      <c r="V40" s="41">
        <f>S18/'Co_SO4-2021'!$B$4</f>
        <v>1.2434068023611501E-4</v>
      </c>
      <c r="W40" s="41">
        <f>T18/'Li_brine-2021'!$B$4</f>
        <v>6.6078804104357375E-4</v>
      </c>
      <c r="X40" s="41">
        <f>U18/'Al-2021'!$B$4</f>
        <v>5.7299227831148011E-6</v>
      </c>
      <c r="Y40" s="41">
        <f>'Cu-2021'!C14</f>
        <v>9.978493912487531E-5</v>
      </c>
      <c r="Z40" s="42">
        <f>'Mn-2021'!C14</f>
        <v>7.3380842937217873E-4</v>
      </c>
      <c r="AA40" s="42">
        <f t="shared" si="6"/>
        <v>8.3932329128016882E-4</v>
      </c>
    </row>
    <row r="41" spans="2:27" x14ac:dyDescent="0.2">
      <c r="B41" s="72" t="s">
        <v>132</v>
      </c>
      <c r="C41" s="47">
        <f>C19/'Ni_MHP-2021'!$B$4</f>
        <v>2.8738443546721921E-4</v>
      </c>
      <c r="D41" s="41">
        <f>D19/'Co_SO4-2021'!$B$4</f>
        <v>5.4277793393850209E-4</v>
      </c>
      <c r="E41" s="41">
        <f>E19/'Li_brine-2021'!$B$4</f>
        <v>8.1457789559201074E-4</v>
      </c>
      <c r="F41" s="41">
        <f>F19/'Al-2021'!$B$4</f>
        <v>1.0017140935972268E-5</v>
      </c>
      <c r="G41" s="41">
        <f>'Cu-2021'!B15</f>
        <v>3.8754719268947349E-5</v>
      </c>
      <c r="H41" s="42">
        <f>'Mn-2021'!B15</f>
        <v>9.4837550576901409E-6</v>
      </c>
      <c r="I41" s="42">
        <f t="shared" si="4"/>
        <v>5.8255615262609758E-5</v>
      </c>
      <c r="K41" s="43" t="s">
        <v>132</v>
      </c>
      <c r="L41" s="41">
        <f>J19/'Ni_MHP-2021'!$B$4</f>
        <v>2.1197835163186442E-4</v>
      </c>
      <c r="M41" s="41">
        <f>K19/'Co_SO4-2021'!$B$4</f>
        <v>3.2077249954529677E-4</v>
      </c>
      <c r="N41" s="41">
        <f>L19/'Li_brine-2021'!$B$4</f>
        <v>5.7588331700046929E-4</v>
      </c>
      <c r="O41" s="41">
        <f>M19/'Al-2021'!$B$4</f>
        <v>9.4775597039192685E-6</v>
      </c>
      <c r="P41" s="41">
        <f>'Cu-2021'!D15</f>
        <v>3.7993132602501144E-5</v>
      </c>
      <c r="Q41" s="42">
        <f>'Mn-2021'!D15</f>
        <v>4.9394779807984379E-6</v>
      </c>
      <c r="R41" s="42">
        <f t="shared" si="5"/>
        <v>5.241017028721885E-5</v>
      </c>
      <c r="T41" s="43" t="s">
        <v>132</v>
      </c>
      <c r="U41" s="41">
        <f>R19/'Ni_MHP-2021'!$B$4</f>
        <v>7.5406083835354745E-5</v>
      </c>
      <c r="V41" s="41">
        <f>S19/'Co_SO4-2021'!$B$4</f>
        <v>2.2200543439320535E-4</v>
      </c>
      <c r="W41" s="41">
        <f>T19/'Li_brine-2021'!$B$4</f>
        <v>2.3869457859154137E-4</v>
      </c>
      <c r="X41" s="41">
        <f>U19/'Al-2021'!$B$4</f>
        <v>5.3958123205299916E-7</v>
      </c>
      <c r="Y41" s="41">
        <f>'Cu-2021'!C15</f>
        <v>7.6158666644620442E-7</v>
      </c>
      <c r="Z41" s="42">
        <f>'Mn-2021'!C15</f>
        <v>4.544277076891703E-6</v>
      </c>
      <c r="AA41" s="42">
        <f t="shared" si="6"/>
        <v>5.8454449753909067E-6</v>
      </c>
    </row>
    <row r="42" spans="2:27" x14ac:dyDescent="0.2">
      <c r="B42" s="72" t="s">
        <v>133</v>
      </c>
      <c r="C42" s="47">
        <f>C20/'Ni_MHP-2021'!$B$4</f>
        <v>6.03847487324424E-4</v>
      </c>
      <c r="D42" s="41">
        <f>D20/'Co_SO4-2021'!$B$4</f>
        <v>4.0179081444247875E-4</v>
      </c>
      <c r="E42" s="41">
        <f>E20/'Li_brine-2021'!$B$4</f>
        <v>1.2894133520013563E-3</v>
      </c>
      <c r="F42" s="41">
        <f>F20/'Al-2021'!$B$4</f>
        <v>1.8966914135485046E-5</v>
      </c>
      <c r="G42" s="41">
        <f>'Cu-2021'!B16</f>
        <v>4.1659639434073537E-5</v>
      </c>
      <c r="H42" s="42">
        <f>'Mn-2021'!B16</f>
        <v>3.5676940029975798E-5</v>
      </c>
      <c r="I42" s="42">
        <f t="shared" si="4"/>
        <v>9.6303493599534377E-5</v>
      </c>
      <c r="K42" s="43" t="s">
        <v>133</v>
      </c>
      <c r="L42" s="41">
        <f>J20/'Ni_MHP-2021'!$B$4</f>
        <v>4.6012378595034598E-4</v>
      </c>
      <c r="M42" s="41">
        <f>K20/'Co_SO4-2021'!$B$4</f>
        <v>3.35046986006162E-4</v>
      </c>
      <c r="N42" s="41">
        <f>L20/'Li_brine-2021'!$B$4</f>
        <v>1.135748120117485E-3</v>
      </c>
      <c r="O42" s="41">
        <f>M20/'Al-2021'!$B$4</f>
        <v>1.8765962841096363E-5</v>
      </c>
      <c r="P42" s="41">
        <f>'Cu-2021'!D16</f>
        <v>3.8617702012268723E-5</v>
      </c>
      <c r="Q42" s="42">
        <f>'Mn-2021'!D16</f>
        <v>1.4594691095083795E-5</v>
      </c>
      <c r="R42" s="42">
        <f t="shared" si="5"/>
        <v>7.1978355948448878E-5</v>
      </c>
      <c r="T42" s="43" t="s">
        <v>133</v>
      </c>
      <c r="U42" s="41">
        <f>R20/'Ni_MHP-2021'!$B$4</f>
        <v>1.4372370137407796E-4</v>
      </c>
      <c r="V42" s="41">
        <f>S20/'Co_SO4-2021'!$B$4</f>
        <v>6.6743828436316747E-5</v>
      </c>
      <c r="W42" s="41">
        <f>T20/'Li_brine-2021'!$B$4</f>
        <v>1.536652318838716E-4</v>
      </c>
      <c r="X42" s="41">
        <f>U20/'Al-2021'!$B$4</f>
        <v>2.0095129438868589E-7</v>
      </c>
      <c r="Y42" s="41">
        <f>'Cu-2021'!C16</f>
        <v>3.041937421804814E-6</v>
      </c>
      <c r="Z42" s="42">
        <f>'Mn-2021'!C16</f>
        <v>2.1082248934892003E-5</v>
      </c>
      <c r="AA42" s="42">
        <f t="shared" si="6"/>
        <v>2.4325137651085502E-5</v>
      </c>
    </row>
    <row r="43" spans="2:27" x14ac:dyDescent="0.2">
      <c r="B43" s="72" t="s">
        <v>134</v>
      </c>
      <c r="C43" s="47">
        <f>C21/'Ni_MHP-2021'!$B$4</f>
        <v>3.9562066793961084E-2</v>
      </c>
      <c r="D43" s="41">
        <f>D21/'Co_SO4-2021'!$B$4</f>
        <v>4.0111112948296099E-2</v>
      </c>
      <c r="E43" s="41">
        <f>E21/'Li_brine-2021'!$B$4</f>
        <v>8.832768929086271E-2</v>
      </c>
      <c r="F43" s="41">
        <f>F21/'Al-2021'!$B$4</f>
        <v>2.4294934329822477E-3</v>
      </c>
      <c r="G43" s="41">
        <f>'Cu-2021'!B17</f>
        <v>5.1279507487447442E-3</v>
      </c>
      <c r="H43" s="42">
        <f>'Mn-2021'!B17</f>
        <v>2.8706976925312782E-3</v>
      </c>
      <c r="I43" s="42">
        <f t="shared" si="4"/>
        <v>1.042814187425827E-2</v>
      </c>
      <c r="K43" s="43" t="s">
        <v>134</v>
      </c>
      <c r="L43" s="41">
        <f>J21/'Ni_MHP-2021'!$B$4</f>
        <v>3.4255535329583364E-2</v>
      </c>
      <c r="M43" s="41">
        <f>K21/'Co_SO4-2021'!$B$4</f>
        <v>3.7435473470130126E-2</v>
      </c>
      <c r="N43" s="41">
        <f>L21/'Li_brine-2021'!$B$4</f>
        <v>7.8090900894030119E-2</v>
      </c>
      <c r="O43" s="41">
        <f>M21/'Al-2021'!$B$4</f>
        <v>2.4166006933536164E-3</v>
      </c>
      <c r="P43" s="41">
        <f>'Cu-2021'!D17</f>
        <v>4.6764441651923269E-3</v>
      </c>
      <c r="Q43" s="42">
        <f>'Mn-2021'!D17</f>
        <v>1.1392812513322768E-4</v>
      </c>
      <c r="R43" s="42">
        <f t="shared" si="5"/>
        <v>7.206972983679171E-3</v>
      </c>
      <c r="T43" s="43" t="s">
        <v>134</v>
      </c>
      <c r="U43" s="41">
        <f>R21/'Ni_MHP-2021'!$B$4</f>
        <v>5.3065314643777287E-3</v>
      </c>
      <c r="V43" s="41">
        <f>S21/'Co_SO4-2021'!$B$4</f>
        <v>2.6756394781659743E-3</v>
      </c>
      <c r="W43" s="41">
        <f>T21/'Li_brine-2021'!$B$4</f>
        <v>1.0236788396832589E-2</v>
      </c>
      <c r="X43" s="41">
        <f>U21/'Al-2021'!$B$4</f>
        <v>1.2892739628631425E-5</v>
      </c>
      <c r="Y43" s="41">
        <f>'Cu-2021'!C17</f>
        <v>4.5150658355241772E-4</v>
      </c>
      <c r="Z43" s="42">
        <f>'Mn-2021'!C17</f>
        <v>2.7567695673980505E-3</v>
      </c>
      <c r="AA43" s="42">
        <f t="shared" si="6"/>
        <v>3.2211688905790996E-3</v>
      </c>
    </row>
    <row r="44" spans="2:27" x14ac:dyDescent="0.2">
      <c r="B44" s="72" t="s">
        <v>135</v>
      </c>
      <c r="C44" s="47">
        <f>C22/'Ni_MHP-2021'!$B$4</f>
        <v>5.5060102040209327E-4</v>
      </c>
      <c r="D44" s="41">
        <f>D22/'Co_SO4-2021'!$B$4</f>
        <v>4.4015840208998171E-4</v>
      </c>
      <c r="E44" s="41">
        <f>E22/'Li_brine-2021'!$B$4</f>
        <v>4.2856298070198724E-4</v>
      </c>
      <c r="F44" s="41">
        <f>F22/'Al-2021'!$B$4</f>
        <v>2.4875190837591011E-5</v>
      </c>
      <c r="G44" s="41">
        <f>'Cu-2021'!B18</f>
        <v>4.5582654034182673E-5</v>
      </c>
      <c r="H44" s="42">
        <f>'Mn-2021'!B18</f>
        <v>2.5226994477142408E-5</v>
      </c>
      <c r="I44" s="42">
        <f t="shared" si="4"/>
        <v>9.5684839348916082E-5</v>
      </c>
      <c r="K44" s="43" t="s">
        <v>135</v>
      </c>
      <c r="L44" s="41">
        <f>J22/'Ni_MHP-2021'!$B$4</f>
        <v>3.5060244260395304E-4</v>
      </c>
      <c r="M44" s="41">
        <f>K22/'Co_SO4-2021'!$B$4</f>
        <v>3.867659848873163E-4</v>
      </c>
      <c r="N44" s="41">
        <f>L22/'Li_brine-2021'!$B$4</f>
        <v>3.2339976757494668E-4</v>
      </c>
      <c r="O44" s="41">
        <f>M22/'Al-2021'!$B$4</f>
        <v>2.4634446116282789E-5</v>
      </c>
      <c r="P44" s="41">
        <f>'Cu-2021'!D18</f>
        <v>4.2258635228757095E-5</v>
      </c>
      <c r="Q44" s="42">
        <f>'Mn-2021'!D18</f>
        <v>1.7803986890727192E-6</v>
      </c>
      <c r="R44" s="42">
        <f t="shared" si="5"/>
        <v>6.867348003411261E-5</v>
      </c>
      <c r="T44" s="43" t="s">
        <v>135</v>
      </c>
      <c r="U44" s="41">
        <f>R22/'Ni_MHP-2021'!$B$4</f>
        <v>1.999985777981402E-4</v>
      </c>
      <c r="V44" s="41">
        <f>S22/'Co_SO4-2021'!$B$4</f>
        <v>5.3392417202665393E-5</v>
      </c>
      <c r="W44" s="41">
        <f>T22/'Li_brine-2021'!$B$4</f>
        <v>1.0516321312704055E-4</v>
      </c>
      <c r="X44" s="41">
        <f>U22/'Al-2021'!$B$4</f>
        <v>2.4074472130822274E-7</v>
      </c>
      <c r="Y44" s="41">
        <f>'Cu-2021'!C18</f>
        <v>3.324018805425575E-6</v>
      </c>
      <c r="Z44" s="42">
        <f>'Mn-2021'!C18</f>
        <v>2.3446595788069689E-5</v>
      </c>
      <c r="AA44" s="42">
        <f t="shared" si="6"/>
        <v>2.7011359314803486E-5</v>
      </c>
    </row>
    <row r="45" spans="2:27" x14ac:dyDescent="0.2">
      <c r="B45" s="72" t="s">
        <v>136</v>
      </c>
      <c r="C45" s="47">
        <f>C23/'Ni_MHP-2021'!$B$4</f>
        <v>21.217994346580216</v>
      </c>
      <c r="D45" s="41">
        <f>D23/'Co_SO4-2021'!$B$4</f>
        <v>18.442729983410221</v>
      </c>
      <c r="E45" s="41">
        <f>E23/'Li_brine-2021'!$B$4</f>
        <v>61.667529755124455</v>
      </c>
      <c r="F45" s="41">
        <f>F23/'Al-2021'!$B$4</f>
        <v>0.98998065444203776</v>
      </c>
      <c r="G45" s="41">
        <f>'Cu-2021'!B19</f>
        <v>2.2411083737054738</v>
      </c>
      <c r="H45" s="42">
        <f>'Mn-2021'!B19</f>
        <v>2.2179443628190625</v>
      </c>
      <c r="I45" s="42">
        <f t="shared" si="4"/>
        <v>5.4490333909665747</v>
      </c>
      <c r="K45" s="43" t="s">
        <v>136</v>
      </c>
      <c r="L45" s="41">
        <f>J23/'Ni_MHP-2021'!$B$4</f>
        <v>17.236484998492941</v>
      </c>
      <c r="M45" s="41">
        <f>K23/'Co_SO4-2021'!$B$4</f>
        <v>16.259146701058771</v>
      </c>
      <c r="N45" s="41">
        <f>L23/'Li_brine-2021'!$B$4</f>
        <v>53.600175185614141</v>
      </c>
      <c r="O45" s="41">
        <f>M23/'Al-2021'!$B$4</f>
        <v>0.97935106951724293</v>
      </c>
      <c r="P45" s="41">
        <f>'Cu-2021'!D19</f>
        <v>1.9896249386839511</v>
      </c>
      <c r="Q45" s="42">
        <f>'Mn-2021'!D19</f>
        <v>0.87509532982138261</v>
      </c>
      <c r="R45" s="42">
        <f t="shared" si="5"/>
        <v>3.8440713380225766</v>
      </c>
      <c r="T45" s="43" t="s">
        <v>136</v>
      </c>
      <c r="U45" s="41">
        <f>R23/'Ni_MHP-2021'!$B$4</f>
        <v>3.9815093480872799</v>
      </c>
      <c r="V45" s="41">
        <f>S23/'Co_SO4-2021'!$B$4</f>
        <v>2.1835832823514498</v>
      </c>
      <c r="W45" s="41">
        <f>T23/'Li_brine-2021'!$B$4</f>
        <v>8.0673545695103073</v>
      </c>
      <c r="X45" s="41">
        <f>U23/'Al-2021'!$B$4</f>
        <v>1.0629584924794832E-2</v>
      </c>
      <c r="Y45" s="41">
        <f>'Cu-2021'!C19</f>
        <v>0.25148343502152265</v>
      </c>
      <c r="Z45" s="42">
        <f>'Mn-2021'!C19</f>
        <v>1.3428490329976799</v>
      </c>
      <c r="AA45" s="42">
        <f t="shared" si="6"/>
        <v>1.6049620529439974</v>
      </c>
    </row>
    <row r="46" spans="2:27" x14ac:dyDescent="0.2">
      <c r="B46" s="53" t="s">
        <v>122</v>
      </c>
      <c r="C46" s="126"/>
      <c r="D46" s="56"/>
      <c r="E46" s="56"/>
      <c r="F46" s="56"/>
      <c r="G46" s="56"/>
      <c r="H46" s="78"/>
      <c r="I46" s="55"/>
      <c r="K46" s="53" t="s">
        <v>122</v>
      </c>
      <c r="L46" s="56"/>
      <c r="M46" s="56"/>
      <c r="N46" s="56"/>
      <c r="O46" s="56"/>
      <c r="P46" s="56"/>
      <c r="Q46" s="78"/>
      <c r="R46" s="55"/>
      <c r="T46" s="53" t="s">
        <v>122</v>
      </c>
      <c r="U46" s="56"/>
      <c r="V46" s="56"/>
      <c r="W46" s="56"/>
      <c r="X46" s="56"/>
      <c r="Y46" s="56"/>
      <c r="Z46" s="78"/>
      <c r="AA46" s="55"/>
    </row>
    <row r="47" spans="2:27" x14ac:dyDescent="0.2">
      <c r="B47" s="72" t="s">
        <v>125</v>
      </c>
      <c r="C47" s="47">
        <f>C25/'Ni_MHP-2021'!$B$4</f>
        <v>314.16171165474293</v>
      </c>
      <c r="D47" s="41">
        <f>D25/'Co_SO4-2021'!$B$4</f>
        <v>296.75314296422454</v>
      </c>
      <c r="E47" s="41">
        <f>E25/'Li_brine-2021'!$B$4</f>
        <v>694.00544191683491</v>
      </c>
      <c r="F47" s="41">
        <f>F25/'Al-2021'!$B$4</f>
        <v>15.325429763499177</v>
      </c>
      <c r="G47" s="41">
        <f>'Cu-2021'!B21</f>
        <v>36.312328797323588</v>
      </c>
      <c r="H47" s="42">
        <f>'Mn-2021'!B21</f>
        <v>24.189604619704198</v>
      </c>
      <c r="I47" s="42">
        <f t="shared" si="4"/>
        <v>75.827363180526959</v>
      </c>
      <c r="K47" s="43" t="s">
        <v>125</v>
      </c>
      <c r="L47" s="41">
        <f>J25/'Ni_MHP-2021'!$B$4</f>
        <v>260.86663809310477</v>
      </c>
      <c r="M47" s="41">
        <f>K25/'Co_SO4-2021'!$B$4</f>
        <v>266.78681856512179</v>
      </c>
      <c r="N47" s="41">
        <f>L25/'Li_brine-2021'!$B$4</f>
        <v>579.2228156076709</v>
      </c>
      <c r="O47" s="41">
        <f>M25/'Al-2021'!$B$4</f>
        <v>15.182129334149044</v>
      </c>
      <c r="P47" s="41">
        <f>'Cu-2021'!D21</f>
        <v>32.252517402734831</v>
      </c>
      <c r="Q47" s="42">
        <f>'Mn-2021'!D21</f>
        <v>1.0785522985128182</v>
      </c>
      <c r="R47" s="42">
        <f t="shared" si="5"/>
        <v>48.513199035396696</v>
      </c>
      <c r="T47" s="43" t="s">
        <v>125</v>
      </c>
      <c r="U47" s="41">
        <f>R25/'Ni_MHP-2021'!$B$4</f>
        <v>53.295073561638162</v>
      </c>
      <c r="V47" s="41">
        <f>S25/'Co_SO4-2021'!$B$4</f>
        <v>29.966324399102721</v>
      </c>
      <c r="W47" s="41">
        <f>T25/'Li_brine-2021'!$B$4</f>
        <v>114.78262630916404</v>
      </c>
      <c r="X47" s="41">
        <f>U25/'Al-2021'!$B$4</f>
        <v>0.14330042935013257</v>
      </c>
      <c r="Y47" s="41">
        <f>'Cu-2021'!C21</f>
        <v>4.0598113945887553</v>
      </c>
      <c r="Z47" s="42">
        <f>'Mn-2021'!C21</f>
        <v>23.11105232119138</v>
      </c>
      <c r="AA47" s="42">
        <f t="shared" ref="AA47" si="7">SUM(X47:Z47)</f>
        <v>27.314164145130267</v>
      </c>
    </row>
    <row r="48" spans="2:27" x14ac:dyDescent="0.2">
      <c r="B48" s="53" t="s">
        <v>123</v>
      </c>
      <c r="C48" s="126"/>
      <c r="D48" s="56"/>
      <c r="E48" s="56"/>
      <c r="F48" s="56"/>
      <c r="G48" s="56"/>
      <c r="H48" s="78"/>
      <c r="I48" s="55"/>
      <c r="K48" s="44" t="s">
        <v>123</v>
      </c>
      <c r="L48" s="56"/>
      <c r="M48" s="56"/>
      <c r="N48" s="56"/>
      <c r="O48" s="56"/>
      <c r="P48" s="56"/>
      <c r="Q48" s="78"/>
      <c r="R48" s="55"/>
      <c r="T48" s="44" t="s">
        <v>123</v>
      </c>
      <c r="U48" s="56"/>
      <c r="V48" s="56"/>
      <c r="W48" s="56"/>
      <c r="X48" s="56"/>
      <c r="Y48" s="56"/>
      <c r="Z48" s="78"/>
      <c r="AA48" s="55"/>
    </row>
    <row r="49" spans="1:27" ht="16" thickBot="1" x14ac:dyDescent="0.25">
      <c r="B49" s="113" t="s">
        <v>86</v>
      </c>
      <c r="C49" s="69">
        <f>C27/'Ni_MHP-2021'!$B$4</f>
        <v>105770.61878136806</v>
      </c>
      <c r="D49" s="52">
        <f>D27/'Co_SO4-2021'!$B$4</f>
        <v>223349.92311380812</v>
      </c>
      <c r="E49" s="52">
        <f>E27/'Li_brine-2021'!$B$4</f>
        <v>263821.49824919598</v>
      </c>
      <c r="F49" s="52">
        <f>F27/'Al-2021'!$B$4</f>
        <v>6786.1571785247779</v>
      </c>
      <c r="G49" s="52">
        <f>'Cu-2021'!B31</f>
        <v>6204.136973164239</v>
      </c>
      <c r="H49" s="34">
        <f>'Mn-2021'!B31</f>
        <v>7303.842667424964</v>
      </c>
      <c r="I49" s="34">
        <f>SUM(F49:H49)</f>
        <v>20294.136819113981</v>
      </c>
      <c r="K49" s="61" t="s">
        <v>86</v>
      </c>
      <c r="L49" s="52">
        <f>J27/'Ni_MHP-2021'!$B$4</f>
        <v>89879.94416672831</v>
      </c>
      <c r="M49" s="52">
        <f>K27/'Co_SO4-2021'!$B$4</f>
        <v>213935.63606100189</v>
      </c>
      <c r="N49" s="52">
        <f>L27/'Li_brine-2021'!$B$4</f>
        <v>189374.90632796148</v>
      </c>
      <c r="O49" s="52">
        <f>M27/'Al-2021'!$B$4</f>
        <v>5662.4613502207385</v>
      </c>
      <c r="P49" s="52">
        <f>'Cu-2021'!D31</f>
        <v>5257.0313662593626</v>
      </c>
      <c r="Q49" s="34">
        <f>'Mn-2021'!D31</f>
        <v>574.23404294373904</v>
      </c>
      <c r="R49" s="34">
        <f>SUM(O49:Q49)</f>
        <v>11493.72675942384</v>
      </c>
      <c r="T49" s="61" t="s">
        <v>86</v>
      </c>
      <c r="U49" s="52">
        <f>R27/'Ni_MHP-2021'!$B$4</f>
        <v>15890.674614639767</v>
      </c>
      <c r="V49" s="52">
        <f>S27/'Co_SO4-2021'!$B$4</f>
        <v>9414.2870528062085</v>
      </c>
      <c r="W49" s="52">
        <f>T27/'Li_brine-2021'!$B$4</f>
        <v>74446.591921234503</v>
      </c>
      <c r="X49" s="52">
        <f>U27/'Al-2021'!$B$4</f>
        <v>1123.6958283040397</v>
      </c>
      <c r="Y49" s="52">
        <f>'Cu-2021'!C31</f>
        <v>947.10560690487614</v>
      </c>
      <c r="Z49" s="34">
        <f>'Mn-2021'!C31</f>
        <v>6729.608624481225</v>
      </c>
      <c r="AA49" s="34">
        <f>SUM(X49:Z49)</f>
        <v>8800.4100596901408</v>
      </c>
    </row>
    <row r="51" spans="1:27" s="117" customFormat="1" ht="15" customHeight="1" x14ac:dyDescent="0.2">
      <c r="B51" s="116"/>
    </row>
    <row r="52" spans="1:27" ht="24" x14ac:dyDescent="0.3">
      <c r="A52" s="170" t="s">
        <v>257</v>
      </c>
    </row>
    <row r="53" spans="1:27" ht="16" thickBot="1" x14ac:dyDescent="0.25"/>
    <row r="54" spans="1:27" x14ac:dyDescent="0.2">
      <c r="B54" s="31" t="s">
        <v>155</v>
      </c>
      <c r="C54" s="100" t="s">
        <v>213</v>
      </c>
      <c r="D54" s="100"/>
      <c r="E54" s="131"/>
      <c r="I54" s="31" t="s">
        <v>155</v>
      </c>
      <c r="J54" s="100" t="s">
        <v>213</v>
      </c>
      <c r="K54" s="100"/>
      <c r="L54" s="131"/>
      <c r="Q54" s="31" t="s">
        <v>155</v>
      </c>
      <c r="R54" s="100" t="s">
        <v>213</v>
      </c>
      <c r="S54" s="100"/>
      <c r="T54" s="131"/>
    </row>
    <row r="55" spans="1:27" ht="16" thickBot="1" x14ac:dyDescent="0.25">
      <c r="B55" s="101" t="s">
        <v>157</v>
      </c>
      <c r="C55" s="84" t="s">
        <v>165</v>
      </c>
      <c r="D55" s="84"/>
      <c r="E55" s="132"/>
      <c r="I55" s="101" t="s">
        <v>157</v>
      </c>
      <c r="J55" s="84" t="s">
        <v>158</v>
      </c>
      <c r="K55" s="84"/>
      <c r="L55" s="132"/>
      <c r="Q55" s="101" t="s">
        <v>157</v>
      </c>
      <c r="R55" s="114" t="s">
        <v>159</v>
      </c>
      <c r="S55" s="84"/>
      <c r="T55" s="132"/>
    </row>
    <row r="56" spans="1:27" x14ac:dyDescent="0.2">
      <c r="B56" s="86"/>
      <c r="C56" s="99" t="s">
        <v>23</v>
      </c>
      <c r="D56" s="99" t="s">
        <v>14</v>
      </c>
      <c r="E56" s="93" t="s">
        <v>42</v>
      </c>
      <c r="I56" s="86"/>
      <c r="J56" s="99" t="s">
        <v>23</v>
      </c>
      <c r="K56" s="99" t="s">
        <v>14</v>
      </c>
      <c r="L56" s="93" t="s">
        <v>42</v>
      </c>
      <c r="Q56" s="86"/>
      <c r="R56" s="99" t="s">
        <v>23</v>
      </c>
      <c r="S56" s="99" t="s">
        <v>14</v>
      </c>
      <c r="T56" s="93" t="s">
        <v>42</v>
      </c>
    </row>
    <row r="57" spans="1:27" x14ac:dyDescent="0.2">
      <c r="B57" s="43" t="s">
        <v>121</v>
      </c>
      <c r="C57" s="56"/>
      <c r="D57" s="56"/>
      <c r="E57" s="55"/>
      <c r="I57" s="43" t="s">
        <v>121</v>
      </c>
      <c r="J57" s="56"/>
      <c r="K57" s="56"/>
      <c r="L57" s="55"/>
      <c r="Q57" s="43" t="s">
        <v>121</v>
      </c>
      <c r="R57" s="56"/>
      <c r="S57" s="56"/>
      <c r="T57" s="55"/>
    </row>
    <row r="58" spans="1:27" x14ac:dyDescent="0.2">
      <c r="B58" s="43" t="s">
        <v>126</v>
      </c>
      <c r="C58">
        <f>'Co_SO4-2021'!E9*'Final-2021'!$E$4</f>
        <v>2.5065941778828881E-3</v>
      </c>
      <c r="D58" s="41">
        <f>'Li_brine-2021'!E9*'Final-2021'!$G$4+'Li_ore-2021'!E9*'Final-2021'!$G$5</f>
        <v>6.8443800696715222E-4</v>
      </c>
      <c r="E58" s="42">
        <f t="shared" ref="E58:E68" si="8">SUM(C58:D58)</f>
        <v>3.1910321848500406E-3</v>
      </c>
      <c r="I58" s="43" t="s">
        <v>126</v>
      </c>
      <c r="J58">
        <f>'Co_SO4-2021'!G9*'Final-2021'!$E$4</f>
        <v>2.0517126827413095E-3</v>
      </c>
      <c r="K58" s="41">
        <f>'Li_brine-2021'!G9*'Final-2021'!$G$4+'Li_ore-2021'!G9*'Final-2021'!$G$5</f>
        <v>5.7098460966532308E-4</v>
      </c>
      <c r="L58" s="42">
        <f t="shared" ref="L58:L68" si="9">SUM(J58:K58)</f>
        <v>2.6226972924066326E-3</v>
      </c>
      <c r="Q58" s="43" t="s">
        <v>126</v>
      </c>
      <c r="R58">
        <f>'Co_SO4-2021'!F9*'Final-2021'!$E$4</f>
        <v>4.5488149514157859E-4</v>
      </c>
      <c r="S58" s="41">
        <f>'Li_brine-2021'!F9*'Final-2021'!$G$4+'Li_ore-2021'!F9*'Final-2021'!$G$5</f>
        <v>1.1345339730182917E-4</v>
      </c>
      <c r="T58" s="42">
        <f t="shared" ref="T58:T68" si="10">SUM(R58:S58)</f>
        <v>5.6833489244340779E-4</v>
      </c>
    </row>
    <row r="59" spans="1:27" x14ac:dyDescent="0.2">
      <c r="B59" s="43" t="s">
        <v>127</v>
      </c>
      <c r="C59">
        <f>'Co_SO4-2021'!E10*'Final-2021'!$E$4</f>
        <v>8.1443236087671688E-3</v>
      </c>
      <c r="D59" s="41">
        <f>'Li_brine-2021'!E10*'Final-2021'!$G$4+'Li_ore-2021'!E10*'Final-2021'!$G$5</f>
        <v>3.1255583612855922E-3</v>
      </c>
      <c r="E59" s="42">
        <f t="shared" si="8"/>
        <v>1.1269881970052761E-2</v>
      </c>
      <c r="I59" s="43" t="s">
        <v>127</v>
      </c>
      <c r="J59">
        <f>'Co_SO4-2021'!G10*'Final-2021'!$E$4</f>
        <v>6.7551860149654827E-3</v>
      </c>
      <c r="K59" s="41">
        <f>'Li_brine-2021'!G10*'Final-2021'!$G$4+'Li_ore-2021'!G10*'Final-2021'!$G$5</f>
        <v>2.8042057893048105E-3</v>
      </c>
      <c r="L59" s="42">
        <f t="shared" si="9"/>
        <v>9.5593918042702931E-3</v>
      </c>
      <c r="Q59" s="43" t="s">
        <v>127</v>
      </c>
      <c r="R59">
        <f>'Co_SO4-2021'!F10*'Final-2021'!$E$4</f>
        <v>1.3891375938016863E-3</v>
      </c>
      <c r="S59" s="41">
        <f>'Li_brine-2021'!F10*'Final-2021'!$G$4+'Li_ore-2021'!F10*'Final-2021'!$G$5</f>
        <v>3.2135257198078208E-4</v>
      </c>
      <c r="T59" s="42">
        <f t="shared" si="10"/>
        <v>1.7104901657824683E-3</v>
      </c>
    </row>
    <row r="60" spans="1:27" x14ac:dyDescent="0.2">
      <c r="B60" s="43" t="s">
        <v>128</v>
      </c>
      <c r="C60">
        <f>'Co_SO4-2021'!E11*'Final-2021'!$E$4</f>
        <v>1.4642298797280934E-2</v>
      </c>
      <c r="D60" s="41">
        <f>'Li_brine-2021'!E11*'Final-2021'!$G$4+'Li_ore-2021'!E11*'Final-2021'!$G$5</f>
        <v>4.7852809139077839E-3</v>
      </c>
      <c r="E60" s="42">
        <f t="shared" si="8"/>
        <v>1.9427579711188719E-2</v>
      </c>
      <c r="I60" s="43" t="s">
        <v>128</v>
      </c>
      <c r="J60">
        <f>'Co_SO4-2021'!G11*'Final-2021'!$E$4</f>
        <v>1.1462575589450468E-2</v>
      </c>
      <c r="K60" s="41">
        <f>'Li_brine-2021'!G11*'Final-2021'!$G$4+'Li_ore-2021'!G11*'Final-2021'!$G$5</f>
        <v>3.5785855944457522E-3</v>
      </c>
      <c r="L60" s="42">
        <f t="shared" si="9"/>
        <v>1.504116118389622E-2</v>
      </c>
      <c r="Q60" s="43" t="s">
        <v>128</v>
      </c>
      <c r="R60">
        <f>'Co_SO4-2021'!F11*'Final-2021'!$E$4</f>
        <v>3.1797232078304657E-3</v>
      </c>
      <c r="S60" s="41">
        <f>'Li_brine-2021'!F11*'Final-2021'!$G$4+'Li_ore-2021'!F11*'Final-2021'!$G$5</f>
        <v>1.2066953194620315E-3</v>
      </c>
      <c r="T60" s="42">
        <f t="shared" si="10"/>
        <v>4.3864185272924974E-3</v>
      </c>
    </row>
    <row r="61" spans="1:27" x14ac:dyDescent="0.2">
      <c r="B61" s="43" t="s">
        <v>129</v>
      </c>
      <c r="C61">
        <f>'Co_SO4-2021'!E12*'Final-2021'!$E$4</f>
        <v>7.5398151084675361E-2</v>
      </c>
      <c r="D61" s="41">
        <f>'Li_brine-2021'!E12*'Final-2021'!$G$4+'Li_ore-2021'!E12*'Final-2021'!$G$5</f>
        <v>1.067492911709931E-3</v>
      </c>
      <c r="E61" s="42">
        <f t="shared" si="8"/>
        <v>7.6465643996385294E-2</v>
      </c>
      <c r="I61" s="43" t="s">
        <v>129</v>
      </c>
      <c r="J61">
        <f>'Co_SO4-2021'!G12*'Final-2021'!$E$4</f>
        <v>3.8132318139563581E-2</v>
      </c>
      <c r="K61" s="41">
        <f>'Li_brine-2021'!G12*'Final-2021'!$G$4+'Li_ore-2021'!G12*'Final-2021'!$G$5</f>
        <v>1.0116470609957445E-3</v>
      </c>
      <c r="L61" s="42">
        <f t="shared" si="9"/>
        <v>3.9143965200559329E-2</v>
      </c>
      <c r="Q61" s="43" t="s">
        <v>129</v>
      </c>
      <c r="R61">
        <f>'Co_SO4-2021'!F12*'Final-2021'!$E$4</f>
        <v>3.7265832945111779E-2</v>
      </c>
      <c r="S61" s="41">
        <f>'Li_brine-2021'!F12*'Final-2021'!$G$4+'Li_ore-2021'!F12*'Final-2021'!$G$5</f>
        <v>5.5845850714186587E-5</v>
      </c>
      <c r="T61" s="42">
        <f t="shared" si="10"/>
        <v>3.7321678795825965E-2</v>
      </c>
    </row>
    <row r="62" spans="1:27" x14ac:dyDescent="0.2">
      <c r="B62" s="43" t="s">
        <v>130</v>
      </c>
      <c r="C62">
        <f>'Co_SO4-2021'!E13*'Final-2021'!$E$4</f>
        <v>8.5902442106001071E-3</v>
      </c>
      <c r="D62" s="41">
        <f>'Li_brine-2021'!E13*'Final-2021'!$G$4+'Li_ore-2021'!E13*'Final-2021'!$G$5</f>
        <v>7.1879868707915245E-4</v>
      </c>
      <c r="E62" s="42">
        <f t="shared" si="8"/>
        <v>9.3090428976792591E-3</v>
      </c>
      <c r="I62" s="43" t="s">
        <v>130</v>
      </c>
      <c r="J62">
        <f>'Co_SO4-2021'!G13*'Final-2021'!$E$4</f>
        <v>4.5778216949407926E-3</v>
      </c>
      <c r="K62" s="41">
        <f>'Li_brine-2021'!G13*'Final-2021'!$G$4+'Li_ore-2021'!G13*'Final-2021'!$G$5</f>
        <v>6.7182060878076771E-4</v>
      </c>
      <c r="L62" s="42">
        <f t="shared" si="9"/>
        <v>5.2496423037215606E-3</v>
      </c>
      <c r="Q62" s="43" t="s">
        <v>130</v>
      </c>
      <c r="R62">
        <f>'Co_SO4-2021'!F13*'Final-2021'!$E$4</f>
        <v>4.0124225156593146E-3</v>
      </c>
      <c r="S62" s="41">
        <f>'Li_brine-2021'!F13*'Final-2021'!$G$4+'Li_ore-2021'!F13*'Final-2021'!$G$5</f>
        <v>4.6978078298384665E-5</v>
      </c>
      <c r="T62" s="42">
        <f t="shared" si="10"/>
        <v>4.0594005939576993E-3</v>
      </c>
    </row>
    <row r="63" spans="1:27" x14ac:dyDescent="0.2">
      <c r="B63" s="43" t="s">
        <v>131</v>
      </c>
      <c r="C63">
        <f>'Co_SO4-2021'!E14*'Final-2021'!$E$4</f>
        <v>3.8709466045627493E-2</v>
      </c>
      <c r="D63" s="41">
        <f>'Li_brine-2021'!E14*'Final-2021'!$G$4+'Li_ore-2021'!E14*'Final-2021'!$G$5</f>
        <v>4.5107666725369248E-3</v>
      </c>
      <c r="E63" s="42">
        <f t="shared" si="8"/>
        <v>4.3220232718164414E-2</v>
      </c>
      <c r="I63" s="43" t="s">
        <v>131</v>
      </c>
      <c r="J63">
        <f>'Co_SO4-2021'!G14*'Final-2021'!$E$4</f>
        <v>3.8634592803759742E-2</v>
      </c>
      <c r="K63" s="41">
        <f>'Li_brine-2021'!G14*'Final-2021'!$G$4+'Li_ore-2021'!G14*'Final-2021'!$G$5</f>
        <v>4.4639229587076189E-3</v>
      </c>
      <c r="L63" s="42">
        <f t="shared" si="9"/>
        <v>4.3098515762467357E-2</v>
      </c>
      <c r="Q63" s="43" t="s">
        <v>131</v>
      </c>
      <c r="R63">
        <f>'Co_SO4-2021'!F14*'Final-2021'!$E$4</f>
        <v>7.487324186775144E-5</v>
      </c>
      <c r="S63" s="41">
        <f>'Li_brine-2021'!F14*'Final-2021'!$G$4+'Li_ore-2021'!F14*'Final-2021'!$G$5</f>
        <v>4.6843713829305641E-5</v>
      </c>
      <c r="T63" s="42">
        <f t="shared" si="10"/>
        <v>1.2171695569705708E-4</v>
      </c>
    </row>
    <row r="64" spans="1:27" x14ac:dyDescent="0.2">
      <c r="B64" s="43" t="s">
        <v>132</v>
      </c>
      <c r="C64">
        <f>'Co_SO4-2021'!E15*'Final-2021'!$E$4</f>
        <v>3.2684028630922704E-4</v>
      </c>
      <c r="D64" s="41">
        <f>'Li_brine-2021'!E15*'Final-2021'!$G$4+'Li_ore-2021'!E15*'Final-2021'!$G$5</f>
        <v>5.7745981256755155E-5</v>
      </c>
      <c r="E64" s="42">
        <f t="shared" si="8"/>
        <v>3.845862675659822E-4</v>
      </c>
      <c r="I64" s="43" t="s">
        <v>132</v>
      </c>
      <c r="J64">
        <f>'Co_SO4-2021'!G15*'Final-2021'!$E$4</f>
        <v>1.931570335418056E-4</v>
      </c>
      <c r="K64" s="41">
        <f>'Li_brine-2021'!G15*'Final-2021'!$G$4+'Li_ore-2021'!G15*'Final-2021'!$G$5</f>
        <v>4.0824760172774379E-5</v>
      </c>
      <c r="L64" s="42">
        <f t="shared" si="9"/>
        <v>2.3398179371457998E-4</v>
      </c>
      <c r="Q64" s="43" t="s">
        <v>132</v>
      </c>
      <c r="R64">
        <f>'Co_SO4-2021'!F15*'Final-2021'!$E$4</f>
        <v>1.3368325276742144E-4</v>
      </c>
      <c r="S64" s="41">
        <f>'Li_brine-2021'!F15*'Final-2021'!$G$4+'Li_ore-2021'!F15*'Final-2021'!$G$5</f>
        <v>1.6921221083980773E-5</v>
      </c>
      <c r="T64" s="42">
        <f t="shared" si="10"/>
        <v>1.5060447385140222E-4</v>
      </c>
    </row>
    <row r="65" spans="2:20" x14ac:dyDescent="0.2">
      <c r="B65" s="43" t="s">
        <v>133</v>
      </c>
      <c r="C65">
        <f>'Co_SO4-2021'!E16*'Final-2021'!$E$4</f>
        <v>2.41943190055468E-4</v>
      </c>
      <c r="D65" s="41">
        <f>'Li_brine-2021'!E16*'Final-2021'!$G$4+'Li_ore-2021'!E16*'Final-2021'!$G$5</f>
        <v>9.1407389839330251E-5</v>
      </c>
      <c r="E65" s="42">
        <f t="shared" si="8"/>
        <v>3.3335057989479825E-4</v>
      </c>
      <c r="I65" s="43" t="s">
        <v>133</v>
      </c>
      <c r="J65">
        <f>'Co_SO4-2021'!G16*'Final-2021'!$E$4</f>
        <v>2.0175258791140343E-4</v>
      </c>
      <c r="K65" s="41">
        <f>'Li_brine-2021'!G16*'Final-2021'!$G$4+'Li_ore-2021'!G16*'Final-2021'!$G$5</f>
        <v>8.0513956997364946E-5</v>
      </c>
      <c r="L65" s="42">
        <f t="shared" si="9"/>
        <v>2.8226654490876837E-4</v>
      </c>
      <c r="Q65" s="43" t="s">
        <v>133</v>
      </c>
      <c r="R65">
        <f>'Co_SO4-2021'!F16*'Final-2021'!$E$4</f>
        <v>4.0190602144064563E-5</v>
      </c>
      <c r="S65" s="41">
        <f>'Li_brine-2021'!F16*'Final-2021'!$G$4+'Li_ore-2021'!F16*'Final-2021'!$G$5</f>
        <v>1.0893432841965294E-5</v>
      </c>
      <c r="T65" s="42">
        <f t="shared" si="10"/>
        <v>5.1084034986029855E-5</v>
      </c>
    </row>
    <row r="66" spans="2:20" x14ac:dyDescent="0.2">
      <c r="B66" s="43" t="s">
        <v>134</v>
      </c>
      <c r="C66">
        <f>'Co_SO4-2021'!E17*'Final-2021'!$E$4</f>
        <v>2.4153390955071921E-2</v>
      </c>
      <c r="D66" s="41">
        <f>'Li_brine-2021'!E17*'Final-2021'!$G$4+'Li_ore-2021'!E17*'Final-2021'!$G$5</f>
        <v>6.261609991928041E-3</v>
      </c>
      <c r="E66" s="42">
        <f t="shared" si="8"/>
        <v>3.0415000946999962E-2</v>
      </c>
      <c r="I66" s="43" t="s">
        <v>134</v>
      </c>
      <c r="J66">
        <f>'Co_SO4-2021'!G17*'Final-2021'!$E$4</f>
        <v>2.2542222338178364E-2</v>
      </c>
      <c r="K66" s="41">
        <f>'Li_brine-2021'!G17*'Final-2021'!$G$4+'Li_ore-2021'!G17*'Final-2021'!$G$5</f>
        <v>5.5359170973728238E-3</v>
      </c>
      <c r="L66" s="42">
        <f t="shared" si="9"/>
        <v>2.8078139435551187E-2</v>
      </c>
      <c r="Q66" s="43" t="s">
        <v>134</v>
      </c>
      <c r="R66">
        <f>'Co_SO4-2021'!F17*'Final-2021'!$E$4</f>
        <v>1.6111686168935554E-3</v>
      </c>
      <c r="S66" s="41">
        <f>'Li_brine-2021'!F17*'Final-2021'!$G$4+'Li_ore-2021'!F17*'Final-2021'!$G$5</f>
        <v>7.2569289455521658E-4</v>
      </c>
      <c r="T66" s="42">
        <f t="shared" si="10"/>
        <v>2.3368615114487722E-3</v>
      </c>
    </row>
    <row r="67" spans="2:20" x14ac:dyDescent="0.2">
      <c r="B67" s="43" t="s">
        <v>135</v>
      </c>
      <c r="C67">
        <f>'Co_SO4-2021'!E18*'Final-2021'!$E$4</f>
        <v>2.6504669619970461E-4</v>
      </c>
      <c r="D67" s="41">
        <f>'Li_brine-2021'!E18*'Final-2021'!$G$4+'Li_ore-2021'!E18*'Final-2021'!$G$5</f>
        <v>3.0381121295919925E-5</v>
      </c>
      <c r="E67" s="42">
        <f t="shared" si="8"/>
        <v>2.9542781749562454E-4</v>
      </c>
      <c r="I67" s="43" t="s">
        <v>135</v>
      </c>
      <c r="J67">
        <f>'Co_SO4-2021'!G18*'Final-2021'!$E$4</f>
        <v>2.3289580753215228E-4</v>
      </c>
      <c r="K67" s="41">
        <f>'Li_brine-2021'!G18*'Final-2021'!$G$4+'Li_ore-2021'!G18*'Final-2021'!$G$5</f>
        <v>2.2926029564366448E-5</v>
      </c>
      <c r="L67" s="42">
        <f t="shared" si="9"/>
        <v>2.5582183709651872E-4</v>
      </c>
      <c r="Q67" s="43" t="s">
        <v>135</v>
      </c>
      <c r="R67">
        <f>'Co_SO4-2021'!F18*'Final-2021'!$E$4</f>
        <v>3.2150888667552335E-5</v>
      </c>
      <c r="S67" s="41">
        <f>'Li_brine-2021'!F18*'Final-2021'!$G$4+'Li_ore-2021'!F18*'Final-2021'!$G$5</f>
        <v>7.4550917315534773E-6</v>
      </c>
      <c r="T67" s="42">
        <f t="shared" si="10"/>
        <v>3.9605980399105809E-5</v>
      </c>
    </row>
    <row r="68" spans="2:20" x14ac:dyDescent="0.2">
      <c r="B68" s="43" t="s">
        <v>136</v>
      </c>
      <c r="C68">
        <f>'Co_SO4-2021'!E19*'Final-2021'!$E$4</f>
        <v>11.10551253320576</v>
      </c>
      <c r="D68" s="41">
        <f>'Li_brine-2021'!E19*'Final-2021'!$G$4+'Li_ore-2021'!E19*'Final-2021'!$G$5</f>
        <v>4.3716531428854228</v>
      </c>
      <c r="E68" s="42">
        <f t="shared" si="8"/>
        <v>15.477165676091182</v>
      </c>
      <c r="I68" s="43" t="s">
        <v>136</v>
      </c>
      <c r="J68">
        <f>'Co_SO4-2021'!G19*'Final-2021'!$E$4</f>
        <v>9.7906414956063355</v>
      </c>
      <c r="K68" s="41">
        <f>'Li_brine-2021'!G19*'Final-2021'!$G$4+'Li_ore-2021'!G19*'Final-2021'!$G$5</f>
        <v>3.7997528884303597</v>
      </c>
      <c r="L68" s="42">
        <f t="shared" si="9"/>
        <v>13.590394384036696</v>
      </c>
      <c r="Q68" s="43" t="s">
        <v>136</v>
      </c>
      <c r="R68">
        <f>'Co_SO4-2021'!F19*'Final-2021'!$E$4</f>
        <v>1.3148710375994235</v>
      </c>
      <c r="S68" s="41">
        <f>'Li_brine-2021'!F19*'Final-2021'!$G$4+'Li_ore-2021'!F19*'Final-2021'!$G$5</f>
        <v>0.57190025445506243</v>
      </c>
      <c r="T68" s="42">
        <f t="shared" si="10"/>
        <v>1.8867712920544859</v>
      </c>
    </row>
    <row r="69" spans="2:20" x14ac:dyDescent="0.2">
      <c r="B69" s="53" t="s">
        <v>122</v>
      </c>
      <c r="C69" s="56"/>
      <c r="D69" s="56"/>
      <c r="E69" s="55"/>
      <c r="I69" s="53" t="s">
        <v>122</v>
      </c>
      <c r="J69" s="56"/>
      <c r="K69" s="56"/>
      <c r="L69" s="55"/>
      <c r="Q69" s="53" t="s">
        <v>122</v>
      </c>
      <c r="R69" s="56"/>
      <c r="S69" s="56"/>
      <c r="T69" s="55"/>
    </row>
    <row r="70" spans="2:20" x14ac:dyDescent="0.2">
      <c r="B70" s="43" t="s">
        <v>125</v>
      </c>
      <c r="C70">
        <f>'Co_SO4-2021'!E21*'Final-2021'!$E$4</f>
        <v>178.69348797178517</v>
      </c>
      <c r="D70" s="41">
        <f>'Li_brine-2021'!E21*'Final-2021'!$G$4+'Li_ore-2021'!E21*'Final-2021'!$G$5</f>
        <v>49.198517978307748</v>
      </c>
      <c r="E70" s="42">
        <f>SUM(C70:D70)</f>
        <v>227.89200595009294</v>
      </c>
      <c r="I70" s="43" t="s">
        <v>125</v>
      </c>
      <c r="J70">
        <f>'Co_SO4-2021'!G21*'Final-2021'!$E$4</f>
        <v>160.64890392768214</v>
      </c>
      <c r="K70" s="41">
        <f>'Li_brine-2021'!G21*'Final-2021'!$G$4+'Li_ore-2021'!G21*'Final-2021'!$G$5</f>
        <v>41.061499501231452</v>
      </c>
      <c r="L70" s="42">
        <f>SUM(J70:K70)</f>
        <v>201.71040342891359</v>
      </c>
      <c r="Q70" s="43" t="s">
        <v>125</v>
      </c>
      <c r="R70">
        <f>'Co_SO4-2021'!F21*'Final-2021'!$E$4</f>
        <v>18.04458404410304</v>
      </c>
      <c r="S70" s="41">
        <f>'Li_brine-2021'!F21*'Final-2021'!$G$4+'Li_ore-2021'!F21*'Final-2021'!$G$5</f>
        <v>8.1370184770762961</v>
      </c>
      <c r="T70" s="42">
        <f>SUM(R70:S70)</f>
        <v>26.181602521179336</v>
      </c>
    </row>
    <row r="71" spans="2:20" x14ac:dyDescent="0.2">
      <c r="B71" s="44" t="s">
        <v>123</v>
      </c>
      <c r="C71" s="56"/>
      <c r="D71" s="56"/>
      <c r="E71" s="55"/>
      <c r="I71" s="44" t="s">
        <v>123</v>
      </c>
      <c r="J71" s="56"/>
      <c r="K71" s="56"/>
      <c r="L71" s="55"/>
      <c r="Q71" s="44" t="s">
        <v>123</v>
      </c>
      <c r="R71" s="56"/>
      <c r="S71" s="56"/>
      <c r="T71" s="55"/>
    </row>
    <row r="72" spans="2:20" ht="16" thickBot="1" x14ac:dyDescent="0.25">
      <c r="B72" s="61" t="s">
        <v>86</v>
      </c>
      <c r="C72" s="45">
        <f>'Co_SO4-2021'!E31*'Final-2021'!$E$4</f>
        <v>134492.85288361026</v>
      </c>
      <c r="D72" s="52">
        <f>'Li_brine-2021'!E21*'Final-2021'!$G$4+'Li_ore-2021'!E21*'Final-2021'!$G$5</f>
        <v>49.198517978307748</v>
      </c>
      <c r="E72" s="34">
        <f>SUM(C72:D72)</f>
        <v>134542.05140158857</v>
      </c>
      <c r="I72" s="61" t="s">
        <v>86</v>
      </c>
      <c r="J72" s="45">
        <f>'Co_SO4-2021'!G31*'Final-2021'!$E$4</f>
        <v>128823.92626861442</v>
      </c>
      <c r="K72" s="52">
        <f>'Li_brine-2021'!G31*'Final-2021'!$G$4+'Li_ore-2021'!G31*'Final-2021'!$G$5</f>
        <v>13424.91596014465</v>
      </c>
      <c r="L72" s="34">
        <f>SUM(J72:K72)</f>
        <v>142248.84222875908</v>
      </c>
      <c r="Q72" s="61" t="s">
        <v>86</v>
      </c>
      <c r="R72" s="45">
        <f>'Co_SO4-2021'!F31*'Final-2021'!$E$4</f>
        <v>5668.9266149958439</v>
      </c>
      <c r="S72" s="52">
        <f>'Li_brine-2021'!F31*'Final-2021'!$G$4+'Li_ore-2021'!F31*'Final-2021'!$G$5</f>
        <v>5277.5695547060368</v>
      </c>
      <c r="T72" s="34">
        <f>SUM(R72:S72)</f>
        <v>10946.496169701881</v>
      </c>
    </row>
  </sheetData>
  <mergeCells count="5">
    <mergeCell ref="B3:C3"/>
    <mergeCell ref="D3:E3"/>
    <mergeCell ref="F3:G3"/>
    <mergeCell ref="H3:I3"/>
    <mergeCell ref="B2:I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5C730-BB40-4E90-B94A-9976AB4E0FA1}">
  <sheetPr>
    <tabColor theme="7" tint="0.59999389629810485"/>
  </sheetPr>
  <dimension ref="A1:W46"/>
  <sheetViews>
    <sheetView zoomScale="90" zoomScaleNormal="90" workbookViewId="0">
      <pane xSplit="1" topLeftCell="B1" activePane="topRight" state="frozen"/>
      <selection activeCell="A2" sqref="A2"/>
      <selection pane="topRight" activeCell="F39" sqref="F39"/>
    </sheetView>
  </sheetViews>
  <sheetFormatPr baseColWidth="10" defaultColWidth="8.83203125" defaultRowHeight="15" x14ac:dyDescent="0.2"/>
  <cols>
    <col min="1" max="1" width="28.33203125" customWidth="1"/>
    <col min="2" max="17" width="12.83203125" customWidth="1"/>
    <col min="18" max="18" width="20.1640625" customWidth="1"/>
    <col min="19" max="20" width="12.83203125" customWidth="1"/>
    <col min="21" max="21" width="22.1640625" customWidth="1"/>
    <col min="22" max="23" width="12.83203125" customWidth="1"/>
  </cols>
  <sheetData>
    <row r="1" spans="1:23" ht="16" thickBot="1" x14ac:dyDescent="0.25"/>
    <row r="2" spans="1:23" ht="19" x14ac:dyDescent="0.25">
      <c r="A2" s="240" t="s">
        <v>195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2"/>
    </row>
    <row r="3" spans="1:23" ht="64" x14ac:dyDescent="0.2">
      <c r="A3" s="96"/>
      <c r="B3" s="70" t="s">
        <v>59</v>
      </c>
      <c r="C3" s="70" t="s">
        <v>152</v>
      </c>
      <c r="D3" s="70" t="s">
        <v>196</v>
      </c>
      <c r="E3" s="70" t="s">
        <v>200</v>
      </c>
      <c r="F3" s="70" t="s">
        <v>60</v>
      </c>
      <c r="G3" s="70" t="s">
        <v>61</v>
      </c>
      <c r="H3" s="70" t="s">
        <v>97</v>
      </c>
      <c r="I3" s="70" t="s">
        <v>62</v>
      </c>
      <c r="J3" s="70" t="s">
        <v>63</v>
      </c>
      <c r="K3" s="70" t="s">
        <v>64</v>
      </c>
      <c r="L3" s="70" t="s">
        <v>65</v>
      </c>
      <c r="M3" s="70" t="s">
        <v>66</v>
      </c>
      <c r="N3" s="70" t="s">
        <v>100</v>
      </c>
      <c r="O3" s="70" t="s">
        <v>197</v>
      </c>
      <c r="P3" s="70" t="s">
        <v>67</v>
      </c>
      <c r="Q3" s="70" t="s">
        <v>198</v>
      </c>
      <c r="R3" s="70" t="s">
        <v>199</v>
      </c>
      <c r="S3" s="70" t="s">
        <v>101</v>
      </c>
      <c r="T3" s="70" t="s">
        <v>98</v>
      </c>
      <c r="U3" s="70" t="s">
        <v>201</v>
      </c>
      <c r="V3" s="70" t="s">
        <v>99</v>
      </c>
      <c r="W3" s="71" t="s">
        <v>144</v>
      </c>
    </row>
    <row r="4" spans="1:23" x14ac:dyDescent="0.2">
      <c r="A4" s="44" t="s">
        <v>266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2"/>
    </row>
    <row r="5" spans="1:23" x14ac:dyDescent="0.2">
      <c r="A5" s="43" t="s">
        <v>126</v>
      </c>
      <c r="B5" s="135">
        <v>2.2931375629006213E-3</v>
      </c>
      <c r="C5" s="135">
        <v>2.6011232549039065E-3</v>
      </c>
      <c r="D5" s="135">
        <v>9.9028202626807099E-5</v>
      </c>
      <c r="E5" s="135">
        <f>D5</f>
        <v>9.9028202626807099E-5</v>
      </c>
      <c r="F5" s="135">
        <v>2.2178497219420514E-6</v>
      </c>
      <c r="G5" s="135">
        <v>4.3532465814580267E-6</v>
      </c>
      <c r="H5" s="135">
        <v>2.4628934561307784E-3</v>
      </c>
      <c r="I5" s="135">
        <v>2.7249127796425207E-4</v>
      </c>
      <c r="J5" s="135">
        <v>2.4979469457718103E-6</v>
      </c>
      <c r="K5" s="135">
        <v>5.090802868213209E-3</v>
      </c>
      <c r="L5" s="135">
        <v>1.4214300280538149E-6</v>
      </c>
      <c r="M5" s="135">
        <v>8.5108219381934222E-5</v>
      </c>
      <c r="N5" s="135">
        <v>2.6334209670574363E-4</v>
      </c>
      <c r="O5" s="135">
        <v>2.8573003301421429E-3</v>
      </c>
      <c r="P5" s="135">
        <v>1.2232345111526314E-3</v>
      </c>
      <c r="Q5" s="135">
        <v>6.2038062798657392E-3</v>
      </c>
      <c r="R5" s="135">
        <v>1.1579777002485713E-3</v>
      </c>
      <c r="S5" s="135">
        <v>1.3569448348462552E-4</v>
      </c>
      <c r="T5" s="135">
        <v>2.3290618782277048E-5</v>
      </c>
      <c r="U5" s="135">
        <v>2.8549854770526409E-4</v>
      </c>
      <c r="V5" s="135">
        <v>1.4737898003163634E-3</v>
      </c>
      <c r="W5" s="136">
        <v>3.2132365504279723E-4</v>
      </c>
    </row>
    <row r="6" spans="1:23" x14ac:dyDescent="0.2">
      <c r="A6" s="43" t="s">
        <v>127</v>
      </c>
      <c r="B6" s="135">
        <v>2.4268478865942448E-3</v>
      </c>
      <c r="C6" s="135">
        <v>1.8821960239642412E-2</v>
      </c>
      <c r="D6" s="135">
        <v>4.6109668920892656E-4</v>
      </c>
      <c r="E6" s="135">
        <f t="shared" ref="E6:E15" si="0">D6</f>
        <v>4.6109668920892656E-4</v>
      </c>
      <c r="F6" s="135">
        <v>4.8059657071049453E-6</v>
      </c>
      <c r="G6" s="135">
        <v>1.6243434360136028E-5</v>
      </c>
      <c r="H6" s="135">
        <v>6.4088361249359292E-4</v>
      </c>
      <c r="I6" s="135">
        <v>1.0902958051555085E-3</v>
      </c>
      <c r="J6" s="135">
        <v>8.7853083990586266E-6</v>
      </c>
      <c r="K6" s="135">
        <v>5.1968451859323072E-3</v>
      </c>
      <c r="L6" s="135">
        <v>5.3039898146464065E-6</v>
      </c>
      <c r="M6" s="135">
        <v>4.9769341424296036E-4</v>
      </c>
      <c r="N6" s="135">
        <v>9.8337163864040968E-4</v>
      </c>
      <c r="O6" s="135">
        <v>7.3099753633492619E-3</v>
      </c>
      <c r="P6" s="135">
        <v>1.0244878387539477E-3</v>
      </c>
      <c r="Q6" s="135">
        <v>7.0837811471750533E-3</v>
      </c>
      <c r="R6" s="135">
        <v>1.7891609759861551E-3</v>
      </c>
      <c r="S6" s="135">
        <v>3.5196790070382556E-4</v>
      </c>
      <c r="T6" s="135">
        <v>1.2467137353461535E-4</v>
      </c>
      <c r="U6" s="135">
        <v>5.0596074670546803E-4</v>
      </c>
      <c r="V6" s="135">
        <v>1.5139139205344004E-3</v>
      </c>
      <c r="W6" s="136">
        <v>9.0158016281133399E-4</v>
      </c>
    </row>
    <row r="7" spans="1:23" x14ac:dyDescent="0.2">
      <c r="A7" s="43" t="s">
        <v>128</v>
      </c>
      <c r="B7" s="135">
        <v>2.3020662819601295E-3</v>
      </c>
      <c r="C7" s="135">
        <v>2.3997310361172199E-3</v>
      </c>
      <c r="D7" s="135">
        <v>2.5970447042224026E-4</v>
      </c>
      <c r="E7" s="135">
        <f t="shared" si="0"/>
        <v>2.5970447042224026E-4</v>
      </c>
      <c r="F7" s="135">
        <v>6.1996174980847351E-6</v>
      </c>
      <c r="G7" s="135">
        <v>2.6866956574458353E-5</v>
      </c>
      <c r="H7" s="135">
        <v>1.0076224805304322E-3</v>
      </c>
      <c r="I7" s="135">
        <v>1.7793504081306461E-3</v>
      </c>
      <c r="J7" s="135">
        <v>1.5734828067042557E-5</v>
      </c>
      <c r="K7" s="135">
        <v>1.5486367168769325E-3</v>
      </c>
      <c r="L7" s="135">
        <v>8.7728522848151155E-6</v>
      </c>
      <c r="M7" s="135">
        <v>2.8351438791426225E-4</v>
      </c>
      <c r="N7" s="135">
        <v>1.5653918440009481E-3</v>
      </c>
      <c r="O7" s="135">
        <v>9.5658548146188502E-3</v>
      </c>
      <c r="P7" s="135">
        <v>4.1058879941797983E-3</v>
      </c>
      <c r="Q7" s="135">
        <v>6.6356917277071385E-3</v>
      </c>
      <c r="R7" s="135">
        <v>2.3216874176711475E-3</v>
      </c>
      <c r="S7" s="135">
        <v>5.3462083257549452E-4</v>
      </c>
      <c r="T7" s="135">
        <v>1.9246349972717804E-4</v>
      </c>
      <c r="U7" s="135">
        <v>5.7022547771402746E-4</v>
      </c>
      <c r="V7" s="135">
        <v>1.4508617316203421E-3</v>
      </c>
      <c r="W7" s="136">
        <v>4.4223614808445904E-3</v>
      </c>
    </row>
    <row r="8" spans="1:23" x14ac:dyDescent="0.2">
      <c r="A8" s="43" t="s">
        <v>129</v>
      </c>
      <c r="B8" s="135">
        <v>1.2649018667636701E-3</v>
      </c>
      <c r="C8" s="135">
        <v>1.4283745873223215E-3</v>
      </c>
      <c r="D8" s="135">
        <v>1.3834002987262798E-4</v>
      </c>
      <c r="E8" s="135">
        <f t="shared" si="0"/>
        <v>1.3834002987262798E-4</v>
      </c>
      <c r="F8" s="135">
        <v>2.8192706008146076E-6</v>
      </c>
      <c r="G8" s="135">
        <v>3.2866504626950404E-6</v>
      </c>
      <c r="H8" s="135">
        <v>1.2376747851871449E-3</v>
      </c>
      <c r="I8" s="135">
        <v>1.782436878916649E-4</v>
      </c>
      <c r="J8" s="135">
        <v>2.3267580482481525E-6</v>
      </c>
      <c r="K8" s="135">
        <v>5.4517986959660937E-5</v>
      </c>
      <c r="L8" s="135">
        <v>1.0732099847329928E-6</v>
      </c>
      <c r="M8" s="135">
        <v>1.6611826694665368E-4</v>
      </c>
      <c r="N8" s="135">
        <v>1.5707931678764529E-4</v>
      </c>
      <c r="O8" s="135">
        <v>7.8815236142572905E-4</v>
      </c>
      <c r="P8" s="135">
        <v>6.5631596642360714E-4</v>
      </c>
      <c r="Q8" s="135">
        <v>1.3077817644692098E-3</v>
      </c>
      <c r="R8" s="135">
        <v>3.1305632258028955E-4</v>
      </c>
      <c r="S8" s="135">
        <v>6.2738250742682037E-5</v>
      </c>
      <c r="T8" s="135">
        <v>1.6889168141007625E-5</v>
      </c>
      <c r="U8" s="135">
        <v>1.6513831247209777E-5</v>
      </c>
      <c r="V8" s="135">
        <v>2.7157856446039123E-5</v>
      </c>
      <c r="W8" s="136">
        <v>1.0408020414799629E-3</v>
      </c>
    </row>
    <row r="9" spans="1:23" x14ac:dyDescent="0.2">
      <c r="A9" s="43" t="s">
        <v>130</v>
      </c>
      <c r="B9" s="135">
        <v>1.0229446033609463E-3</v>
      </c>
      <c r="C9" s="135">
        <v>6.9004668287063833E-4</v>
      </c>
      <c r="D9" s="135">
        <v>1.0493317239592807E-4</v>
      </c>
      <c r="E9" s="135">
        <f t="shared" si="0"/>
        <v>1.0493317239592807E-4</v>
      </c>
      <c r="F9" s="135">
        <v>4.2835805265739628E-7</v>
      </c>
      <c r="G9" s="135">
        <v>2.0380627986573856E-6</v>
      </c>
      <c r="H9" s="135">
        <v>5.5060434200300936E-4</v>
      </c>
      <c r="I9" s="135">
        <v>1.1882912526110993E-4</v>
      </c>
      <c r="J9" s="135">
        <v>1.3318121441602321E-6</v>
      </c>
      <c r="K9" s="135">
        <v>5.0554407314935772E-5</v>
      </c>
      <c r="L9" s="135">
        <v>6.6546514768211554E-7</v>
      </c>
      <c r="M9" s="135">
        <v>1.0613755738906619E-4</v>
      </c>
      <c r="N9" s="135">
        <v>1.0672101059872022E-4</v>
      </c>
      <c r="O9" s="135">
        <v>3.0258436812777994E-4</v>
      </c>
      <c r="P9" s="135">
        <v>3.6773094793234018E-4</v>
      </c>
      <c r="Q9" s="135">
        <v>1.0693518962504893E-3</v>
      </c>
      <c r="R9" s="135">
        <v>3.0269459922728005E-4</v>
      </c>
      <c r="S9" s="135">
        <v>4.7552373551149995E-5</v>
      </c>
      <c r="T9" s="135">
        <v>1.1980356818069084E-5</v>
      </c>
      <c r="U9" s="135">
        <v>1.4805028742759195E-5</v>
      </c>
      <c r="V9" s="135">
        <v>2.4979138764419605E-5</v>
      </c>
      <c r="W9" s="136">
        <v>8.1879660708675749E-4</v>
      </c>
    </row>
    <row r="10" spans="1:23" x14ac:dyDescent="0.2">
      <c r="A10" s="43" t="s">
        <v>131</v>
      </c>
      <c r="B10" s="135">
        <v>7.464850058146906E-4</v>
      </c>
      <c r="C10" s="135">
        <v>9.1858882146419966E-3</v>
      </c>
      <c r="D10" s="135">
        <v>1.3778887437512747E-4</v>
      </c>
      <c r="E10" s="135">
        <f t="shared" si="0"/>
        <v>1.3778887437512747E-4</v>
      </c>
      <c r="F10" s="135">
        <v>1.4194458682628132E-6</v>
      </c>
      <c r="G10" s="135">
        <v>6.1322883425100727E-2</v>
      </c>
      <c r="H10" s="135">
        <v>4.3034221244839807E-3</v>
      </c>
      <c r="I10" s="135">
        <v>9.5338877957638196E-4</v>
      </c>
      <c r="J10" s="135">
        <v>1.3417880586649911E-5</v>
      </c>
      <c r="K10" s="135">
        <v>4.4830988166691469E-4</v>
      </c>
      <c r="L10" s="135">
        <v>2.0058753176033558E-3</v>
      </c>
      <c r="M10" s="135">
        <v>1.792357677871658E-4</v>
      </c>
      <c r="N10" s="135">
        <v>8.628890468867983E-4</v>
      </c>
      <c r="O10" s="135">
        <v>1.3060180668772081E-3</v>
      </c>
      <c r="P10" s="135">
        <v>7.5352877307274706E-3</v>
      </c>
      <c r="Q10" s="135">
        <v>5.5844177317746655E-3</v>
      </c>
      <c r="R10" s="135">
        <v>1.4903244652413787E-3</v>
      </c>
      <c r="S10" s="135">
        <v>3.0192298153077928E-4</v>
      </c>
      <c r="T10" s="135">
        <v>1.0372085076362595E-4</v>
      </c>
      <c r="U10" s="135">
        <v>4.800564383229441E-4</v>
      </c>
      <c r="V10" s="135">
        <v>2.1473018182619863E-4</v>
      </c>
      <c r="W10" s="136">
        <v>1.0944515176066623E-2</v>
      </c>
    </row>
    <row r="11" spans="1:23" x14ac:dyDescent="0.2">
      <c r="A11" s="43" t="s">
        <v>132</v>
      </c>
      <c r="B11" s="135">
        <v>1.3944234086762898E-5</v>
      </c>
      <c r="C11" s="135">
        <v>8.2767021059651553E-6</v>
      </c>
      <c r="D11" s="135">
        <v>8.6017736183909576E-6</v>
      </c>
      <c r="E11" s="135">
        <f t="shared" si="0"/>
        <v>8.6017736183909576E-6</v>
      </c>
      <c r="F11" s="135">
        <v>1.044223614808446E-7</v>
      </c>
      <c r="G11" s="135">
        <v>1.6005555647414807E-7</v>
      </c>
      <c r="H11" s="135">
        <v>2.7535728655125476E-6</v>
      </c>
      <c r="I11" s="135">
        <v>1.2348528690399425E-5</v>
      </c>
      <c r="J11" s="135">
        <v>7.6095063300208896E-8</v>
      </c>
      <c r="K11" s="135">
        <v>9.2376968314070465E-6</v>
      </c>
      <c r="L11" s="135">
        <v>5.2280957026405855E-8</v>
      </c>
      <c r="M11" s="135">
        <v>4.6969471496993448E-6</v>
      </c>
      <c r="N11" s="135">
        <v>1.1121105397465789E-5</v>
      </c>
      <c r="O11" s="135">
        <v>3.4764022773745158E-5</v>
      </c>
      <c r="P11" s="135">
        <v>2.8276261181567159E-5</v>
      </c>
      <c r="Q11" s="135">
        <v>5.5026593252754401E-5</v>
      </c>
      <c r="R11" s="135">
        <v>3.7781599122560451E-5</v>
      </c>
      <c r="S11" s="135">
        <v>5.1843890716887959E-6</v>
      </c>
      <c r="T11" s="135">
        <v>2.3301752123326557E-6</v>
      </c>
      <c r="U11" s="135">
        <v>4.0023809917492025E-6</v>
      </c>
      <c r="V11" s="135">
        <v>4.1751131246658617E-6</v>
      </c>
      <c r="W11" s="136">
        <v>4.4964478028186098E-5</v>
      </c>
    </row>
    <row r="12" spans="1:23" x14ac:dyDescent="0.2">
      <c r="A12" s="43" t="s">
        <v>133</v>
      </c>
      <c r="B12" s="135">
        <v>3.5980422956728781E-5</v>
      </c>
      <c r="C12" s="135">
        <v>2.4165082094611355E-5</v>
      </c>
      <c r="D12" s="135">
        <v>1.6415946030853686E-5</v>
      </c>
      <c r="E12" s="135">
        <f t="shared" si="0"/>
        <v>1.6415946030853686E-5</v>
      </c>
      <c r="F12" s="135">
        <v>7.6454085991280721E-8</v>
      </c>
      <c r="G12" s="135">
        <v>6.2897865374758185E-7</v>
      </c>
      <c r="H12" s="135">
        <v>6.912812711850395E-6</v>
      </c>
      <c r="I12" s="135">
        <v>3.7063223047118285E-5</v>
      </c>
      <c r="J12" s="135">
        <v>3.7699036029034878E-7</v>
      </c>
      <c r="K12" s="135">
        <v>2.0500890116128463E-5</v>
      </c>
      <c r="L12" s="135">
        <v>2.0536053836868996E-7</v>
      </c>
      <c r="M12" s="135">
        <v>8.4262857079867934E-6</v>
      </c>
      <c r="N12" s="135">
        <v>3.3576944063228564E-5</v>
      </c>
      <c r="O12" s="135">
        <v>5.2938375303824477E-5</v>
      </c>
      <c r="P12" s="135">
        <v>2.8370949696037748E-5</v>
      </c>
      <c r="Q12" s="135">
        <v>1.3723771887762696E-4</v>
      </c>
      <c r="R12" s="135">
        <v>8.2976129455403252E-5</v>
      </c>
      <c r="S12" s="135">
        <v>1.3752652435831725E-5</v>
      </c>
      <c r="T12" s="135">
        <v>3.4685317768702086E-6</v>
      </c>
      <c r="U12" s="135">
        <v>5.5423094517656271E-6</v>
      </c>
      <c r="V12" s="135">
        <v>1.0132001741651373E-5</v>
      </c>
      <c r="W12" s="136">
        <v>9.843515931149656E-5</v>
      </c>
    </row>
    <row r="13" spans="1:23" x14ac:dyDescent="0.2">
      <c r="A13" s="43" t="s">
        <v>134</v>
      </c>
      <c r="B13" s="135">
        <v>3.4708466299597104E-3</v>
      </c>
      <c r="C13" s="135">
        <v>4.0164905724852156E-3</v>
      </c>
      <c r="D13" s="135">
        <v>6.7725987532862646E-4</v>
      </c>
      <c r="E13" s="135">
        <f t="shared" si="0"/>
        <v>6.7725987532862646E-4</v>
      </c>
      <c r="F13" s="135">
        <v>2.6513886362759527E-6</v>
      </c>
      <c r="G13" s="135">
        <v>7.9205564465902769E-5</v>
      </c>
      <c r="H13" s="135">
        <v>3.7027728633079256E-3</v>
      </c>
      <c r="I13" s="135">
        <v>4.8100442577864496E-3</v>
      </c>
      <c r="J13" s="135">
        <v>4.667339076373618E-5</v>
      </c>
      <c r="K13" s="135">
        <v>7.2252076478336834E-3</v>
      </c>
      <c r="L13" s="135">
        <v>2.5863081951310924E-5</v>
      </c>
      <c r="M13" s="135">
        <v>7.372255934566819E-4</v>
      </c>
      <c r="N13" s="135">
        <v>4.657043491680308E-3</v>
      </c>
      <c r="O13" s="135">
        <v>5.557521343496641E-3</v>
      </c>
      <c r="P13" s="135">
        <v>4.8004541521299406E-3</v>
      </c>
      <c r="Q13" s="135">
        <v>1.0503701009165718E-2</v>
      </c>
      <c r="R13" s="135">
        <v>2.1301498591797707E-2</v>
      </c>
      <c r="S13" s="135">
        <v>2.455067048066271E-3</v>
      </c>
      <c r="T13" s="135">
        <v>3.928636386183634E-4</v>
      </c>
      <c r="U13" s="135">
        <v>6.4216229324779404E-3</v>
      </c>
      <c r="V13" s="135">
        <v>2.102658222964445E-3</v>
      </c>
      <c r="W13" s="136">
        <v>2.1017763741684441E-3</v>
      </c>
    </row>
    <row r="14" spans="1:23" x14ac:dyDescent="0.2">
      <c r="A14" s="43" t="s">
        <v>135</v>
      </c>
      <c r="B14" s="135">
        <v>3.7710059138984882E-3</v>
      </c>
      <c r="C14" s="135">
        <v>2.2259076153155093E-5</v>
      </c>
      <c r="D14" s="135">
        <v>1.2134239432971227E-6</v>
      </c>
      <c r="E14" s="135">
        <f t="shared" si="0"/>
        <v>1.2134239432971227E-6</v>
      </c>
      <c r="F14" s="135">
        <v>4.0030864707860027E-8</v>
      </c>
      <c r="G14" s="135">
        <v>7.1672260894966297E-7</v>
      </c>
      <c r="H14" s="135">
        <v>3.9966489745751972E-6</v>
      </c>
      <c r="I14" s="135">
        <v>4.3942084580322645E-5</v>
      </c>
      <c r="J14" s="135">
        <v>4.2218511108539061E-7</v>
      </c>
      <c r="K14" s="135">
        <v>4.8147841950649545E-5</v>
      </c>
      <c r="L14" s="135">
        <v>2.3402062423871648E-7</v>
      </c>
      <c r="M14" s="135">
        <v>9.9979607246592496E-7</v>
      </c>
      <c r="N14" s="135">
        <v>3.8639748232168749E-5</v>
      </c>
      <c r="O14" s="135">
        <v>1.8413002860497034E-3</v>
      </c>
      <c r="P14" s="135">
        <v>6.0466057088686439E-5</v>
      </c>
      <c r="Q14" s="135">
        <v>2.0064264731008562E-3</v>
      </c>
      <c r="R14" s="135">
        <v>6.5138863627595259E-5</v>
      </c>
      <c r="S14" s="135">
        <v>1.4518427884058929E-5</v>
      </c>
      <c r="T14" s="135">
        <v>3.4560756626266971E-6</v>
      </c>
      <c r="U14" s="135">
        <v>1.3944234086762897E-6</v>
      </c>
      <c r="V14" s="135">
        <v>4.7684871332749111E-3</v>
      </c>
      <c r="W14" s="136">
        <v>2.3833506947315049E-5</v>
      </c>
    </row>
    <row r="15" spans="1:23" x14ac:dyDescent="0.2">
      <c r="A15" s="43" t="s">
        <v>136</v>
      </c>
      <c r="B15" s="135">
        <v>1.1445849523526075</v>
      </c>
      <c r="C15" s="135">
        <v>2.2528504108864236</v>
      </c>
      <c r="D15" s="135">
        <v>1.2589219398468892</v>
      </c>
      <c r="E15" s="135">
        <f t="shared" si="0"/>
        <v>1.2589219398468892</v>
      </c>
      <c r="F15" s="135">
        <v>2.0571327788709032E-3</v>
      </c>
      <c r="G15" s="135">
        <v>3.2788240546305331E-2</v>
      </c>
      <c r="H15" s="135">
        <v>0.27766001421981185</v>
      </c>
      <c r="I15" s="135">
        <v>1.8433935746292103</v>
      </c>
      <c r="J15" s="135">
        <v>2.119755066496911E-2</v>
      </c>
      <c r="K15" s="135">
        <v>2.2903462909990799</v>
      </c>
      <c r="L15" s="135">
        <v>1.0706416001146404E-2</v>
      </c>
      <c r="M15" s="135">
        <v>0.6571869023407575</v>
      </c>
      <c r="N15" s="135">
        <v>1.815991005142281</v>
      </c>
      <c r="O15" s="135">
        <v>2.3859410153386578</v>
      </c>
      <c r="P15" s="135">
        <v>3.1144504152956678</v>
      </c>
      <c r="Q15" s="135">
        <v>3.0257655274282533</v>
      </c>
      <c r="R15" s="135">
        <v>8.8161934996720621</v>
      </c>
      <c r="S15" s="135">
        <v>0.99121755760952845</v>
      </c>
      <c r="T15" s="135">
        <v>0.17255774731725063</v>
      </c>
      <c r="U15" s="135">
        <v>0.19519645937708405</v>
      </c>
      <c r="V15" s="135">
        <v>0.67471926894734813</v>
      </c>
      <c r="W15" s="136">
        <v>0.99014600109128792</v>
      </c>
    </row>
    <row r="16" spans="1:23" x14ac:dyDescent="0.2">
      <c r="A16" s="44" t="s">
        <v>267</v>
      </c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8"/>
    </row>
    <row r="17" spans="1:23" x14ac:dyDescent="0.2">
      <c r="A17" s="43" t="s">
        <v>142</v>
      </c>
      <c r="B17" s="135">
        <v>20.22740675826871</v>
      </c>
      <c r="C17" s="135">
        <v>28.231286892971116</v>
      </c>
      <c r="D17" s="135">
        <v>4.9482740565595771</v>
      </c>
      <c r="E17" s="135">
        <f>D17</f>
        <v>4.9482740565595771</v>
      </c>
      <c r="F17" s="135">
        <v>2.7557774875025493E-2</v>
      </c>
      <c r="G17" s="135">
        <v>0.58422482735054049</v>
      </c>
      <c r="H17" s="135">
        <v>30.883447146943571</v>
      </c>
      <c r="I17" s="135">
        <v>32.004497428859608</v>
      </c>
      <c r="J17" s="135">
        <v>0.37809267128534974</v>
      </c>
      <c r="K17" s="135">
        <v>41.069903051747993</v>
      </c>
      <c r="L17" s="135">
        <v>0.1906998021351764</v>
      </c>
      <c r="M17" s="135">
        <v>5.5787959457001604</v>
      </c>
      <c r="N17" s="135">
        <v>31.620893202599252</v>
      </c>
      <c r="O17" s="135">
        <v>96.873294862679614</v>
      </c>
      <c r="P17" s="135">
        <v>53.399251530834398</v>
      </c>
      <c r="Q17" s="135">
        <v>63.218637874303482</v>
      </c>
      <c r="R17" s="135">
        <v>156.2173095895545</v>
      </c>
      <c r="S17" s="135">
        <v>17.488163935691176</v>
      </c>
      <c r="T17" s="135">
        <v>2.7061734927275034</v>
      </c>
      <c r="U17" s="135">
        <v>50.470411217116691</v>
      </c>
      <c r="V17" s="135">
        <v>12.044952242376143</v>
      </c>
      <c r="W17" s="136">
        <v>15.852334419109665</v>
      </c>
    </row>
    <row r="18" spans="1:23" x14ac:dyDescent="0.2">
      <c r="A18" s="43" t="s">
        <v>89</v>
      </c>
      <c r="B18" s="135">
        <v>20.001433004293503</v>
      </c>
      <c r="C18" s="135">
        <v>26.315470383659342</v>
      </c>
      <c r="D18" s="135">
        <v>4.8446568230294815</v>
      </c>
      <c r="E18" s="135">
        <f t="shared" ref="E18:E25" si="1">D18</f>
        <v>4.8446568230294815</v>
      </c>
      <c r="F18" s="135">
        <v>2.6455463880024472E-2</v>
      </c>
      <c r="G18" s="135">
        <v>0.48281221581044664</v>
      </c>
      <c r="H18" s="135">
        <v>30.791955334358484</v>
      </c>
      <c r="I18" s="135">
        <v>28.446237536996314</v>
      </c>
      <c r="J18" s="135">
        <v>0.29652165765527427</v>
      </c>
      <c r="K18" s="135">
        <v>40.839520053792782</v>
      </c>
      <c r="L18" s="135">
        <v>0.15763047228514582</v>
      </c>
      <c r="M18" s="135">
        <v>5.5721820797301547</v>
      </c>
      <c r="N18" s="135">
        <v>28.448442158986317</v>
      </c>
      <c r="O18" s="135">
        <v>33.371363062660869</v>
      </c>
      <c r="P18" s="135">
        <v>53.111548361139128</v>
      </c>
      <c r="Q18" s="135">
        <v>62.230967222782567</v>
      </c>
      <c r="R18" s="135">
        <v>156.13794319791444</v>
      </c>
      <c r="S18" s="135">
        <v>16.577655053820337</v>
      </c>
      <c r="T18" s="135">
        <v>2.5463383984523555</v>
      </c>
      <c r="U18" s="135">
        <v>50.44726268622167</v>
      </c>
      <c r="V18" s="135">
        <v>11.963381228746067</v>
      </c>
      <c r="W18" s="136">
        <v>14.705930984308603</v>
      </c>
    </row>
    <row r="19" spans="1:23" x14ac:dyDescent="0.2">
      <c r="A19" s="43" t="s">
        <v>91</v>
      </c>
      <c r="B19" s="135">
        <v>0.31636325556529266</v>
      </c>
      <c r="C19" s="135">
        <v>18.510006228057122</v>
      </c>
      <c r="D19" s="135">
        <v>4.085164547473779</v>
      </c>
      <c r="E19" s="135">
        <f t="shared" si="1"/>
        <v>4.085164547473779</v>
      </c>
      <c r="F19" s="135">
        <v>4.3717654061740446E-3</v>
      </c>
      <c r="G19" s="135">
        <v>0.14219811835513155</v>
      </c>
      <c r="H19" s="135">
        <v>29.617994124682397</v>
      </c>
      <c r="I19" s="135">
        <v>5.6460369163952233</v>
      </c>
      <c r="J19" s="135">
        <v>0.11353803248510502</v>
      </c>
      <c r="K19" s="135">
        <v>0.3240794325302998</v>
      </c>
      <c r="L19" s="135">
        <v>4.629706179004283E-2</v>
      </c>
      <c r="M19" s="135">
        <v>4.9284324586495591</v>
      </c>
      <c r="N19" s="135">
        <v>5.088267552924707</v>
      </c>
      <c r="O19" s="135">
        <v>2.6940480717824919</v>
      </c>
      <c r="P19" s="135">
        <v>0.39021809223036097</v>
      </c>
      <c r="Q19" s="135">
        <v>1.3811956767362776</v>
      </c>
      <c r="R19" s="135">
        <v>0.11133341049510299</v>
      </c>
      <c r="S19" s="135">
        <v>1.2742715102211788</v>
      </c>
      <c r="T19" s="135">
        <v>0.5280069666054884</v>
      </c>
      <c r="U19" s="135">
        <v>3.3069329850030589E-2</v>
      </c>
      <c r="V19" s="135">
        <v>0.11353803248510502</v>
      </c>
      <c r="W19" s="136">
        <v>1.6049648087214847</v>
      </c>
    </row>
    <row r="20" spans="1:23" x14ac:dyDescent="0.2">
      <c r="A20" s="43" t="s">
        <v>90</v>
      </c>
      <c r="B20" s="135">
        <v>18.89691738730248</v>
      </c>
      <c r="C20" s="135">
        <v>7.9167975660973235</v>
      </c>
      <c r="D20" s="135">
        <v>0.52139310063548228</v>
      </c>
      <c r="E20" s="135">
        <f t="shared" si="1"/>
        <v>0.52139310063548228</v>
      </c>
      <c r="F20" s="135">
        <v>2.5738961733273811E-3</v>
      </c>
      <c r="G20" s="135">
        <v>0.334000231485309</v>
      </c>
      <c r="H20" s="135">
        <v>0.77712925147571887</v>
      </c>
      <c r="I20" s="135">
        <v>21.713321979530086</v>
      </c>
      <c r="J20" s="135">
        <v>0.17857438119016519</v>
      </c>
      <c r="K20" s="135">
        <v>40.355605526987333</v>
      </c>
      <c r="L20" s="135">
        <v>0.10912878850510095</v>
      </c>
      <c r="M20" s="135">
        <v>5.6217860745052008E-2</v>
      </c>
      <c r="N20" s="135">
        <v>22.49486047498581</v>
      </c>
      <c r="O20" s="135">
        <v>27.630527400695559</v>
      </c>
      <c r="P20" s="135">
        <v>6.0726312714606179</v>
      </c>
      <c r="Q20" s="135">
        <v>55.208143873631073</v>
      </c>
      <c r="R20" s="135">
        <v>155.45781731399882</v>
      </c>
      <c r="S20" s="135">
        <v>14.948439403208829</v>
      </c>
      <c r="T20" s="135">
        <v>1.5377238380264224</v>
      </c>
      <c r="U20" s="135">
        <v>50.229005109211464</v>
      </c>
      <c r="V20" s="135">
        <v>11.666859571090793</v>
      </c>
      <c r="W20" s="136">
        <v>8.1240320331575155</v>
      </c>
    </row>
    <row r="21" spans="1:23" x14ac:dyDescent="0.2">
      <c r="A21" s="43" t="s">
        <v>92</v>
      </c>
      <c r="B21" s="135">
        <v>0.78815236142572909</v>
      </c>
      <c r="C21" s="135">
        <v>-0.11133341049510299</v>
      </c>
      <c r="D21" s="135">
        <v>0.23699686392521924</v>
      </c>
      <c r="E21" s="135">
        <f>D21</f>
        <v>0.23699686392521924</v>
      </c>
      <c r="F21" s="135">
        <v>1.9841597910018355E-2</v>
      </c>
      <c r="G21" s="135">
        <v>6.6370145009011393E-3</v>
      </c>
      <c r="H21" s="135">
        <v>0.3968319582003671</v>
      </c>
      <c r="I21" s="135">
        <v>1.0868786410710054</v>
      </c>
      <c r="J21" s="135">
        <v>4.9802410754146067E-3</v>
      </c>
      <c r="K21" s="135">
        <v>0.15873278328014684</v>
      </c>
      <c r="L21" s="135">
        <v>2.1671434161720047E-3</v>
      </c>
      <c r="M21" s="135">
        <v>0.58863407133054457</v>
      </c>
      <c r="N21" s="135">
        <v>0.86531413107580046</v>
      </c>
      <c r="O21" s="135">
        <v>3.0467875901828183</v>
      </c>
      <c r="P21" s="135">
        <v>46.647596686453149</v>
      </c>
      <c r="Q21" s="135">
        <v>5.6405253614202175</v>
      </c>
      <c r="R21" s="135">
        <v>0.56879247342052619</v>
      </c>
      <c r="S21" s="135">
        <v>0.35494414039032834</v>
      </c>
      <c r="T21" s="135">
        <v>0.4806075938204446</v>
      </c>
      <c r="U21" s="135">
        <v>0.1840859361651703</v>
      </c>
      <c r="V21" s="135">
        <v>0.18298362517016928</v>
      </c>
      <c r="W21" s="136">
        <v>4.9780364534246049</v>
      </c>
    </row>
    <row r="22" spans="1:23" x14ac:dyDescent="0.2">
      <c r="A22" s="43" t="s">
        <v>93</v>
      </c>
      <c r="B22" s="135">
        <v>0.22597375397520905</v>
      </c>
      <c r="C22" s="135">
        <v>1.9158165093117723</v>
      </c>
      <c r="D22" s="135">
        <v>0.10361723353009585</v>
      </c>
      <c r="E22" s="135">
        <f t="shared" si="1"/>
        <v>0.10361723353009585</v>
      </c>
      <c r="F22" s="135">
        <v>2.3883728236247297E-4</v>
      </c>
      <c r="G22" s="135">
        <v>0.10141261154009382</v>
      </c>
      <c r="H22" s="135">
        <v>9.259412358008566E-2</v>
      </c>
      <c r="I22" s="135">
        <v>3.5582598918632917</v>
      </c>
      <c r="J22" s="135">
        <v>8.1571013630075462E-2</v>
      </c>
      <c r="K22" s="135">
        <v>0.23148530895021413</v>
      </c>
      <c r="L22" s="135">
        <v>3.3069329850030589E-2</v>
      </c>
      <c r="M22" s="135">
        <v>6.5234764684160345E-3</v>
      </c>
      <c r="N22" s="135">
        <v>3.1735533546079355</v>
      </c>
      <c r="O22" s="135">
        <v>63.501931800018745</v>
      </c>
      <c r="P22" s="135">
        <v>0.28880548069026718</v>
      </c>
      <c r="Q22" s="135">
        <v>0.9876706515209136</v>
      </c>
      <c r="R22" s="135">
        <v>7.9366391640073419E-2</v>
      </c>
      <c r="S22" s="135">
        <v>0.9094065708758412</v>
      </c>
      <c r="T22" s="135">
        <v>0.16093740527014888</v>
      </c>
      <c r="U22" s="135">
        <v>2.4250841890022433E-2</v>
      </c>
      <c r="V22" s="135">
        <v>8.1571013630075462E-2</v>
      </c>
      <c r="W22" s="136">
        <v>1.1464034348010606</v>
      </c>
    </row>
    <row r="23" spans="1:23" x14ac:dyDescent="0.2">
      <c r="A23" s="43" t="s">
        <v>95</v>
      </c>
      <c r="B23" s="135">
        <v>0.11464034348010604</v>
      </c>
      <c r="C23" s="135">
        <v>0.96782905361089533</v>
      </c>
      <c r="D23" s="135">
        <v>5.1808616765047923E-2</v>
      </c>
      <c r="E23" s="135">
        <f t="shared" si="1"/>
        <v>5.1808616765047923E-2</v>
      </c>
      <c r="F23" s="135">
        <v>1.2043949139370692E-4</v>
      </c>
      <c r="G23" s="135">
        <v>5.1808616765047923E-2</v>
      </c>
      <c r="H23" s="135">
        <v>4.629706179004283E-2</v>
      </c>
      <c r="I23" s="135">
        <v>1.7978692328466632</v>
      </c>
      <c r="J23" s="135">
        <v>4.0785506815037731E-2</v>
      </c>
      <c r="K23" s="135">
        <v>0.11684496547010809</v>
      </c>
      <c r="L23" s="135">
        <v>1.6534664925015295E-2</v>
      </c>
      <c r="M23" s="135">
        <v>3.2892960090830426E-3</v>
      </c>
      <c r="N23" s="135">
        <v>1.6027601867314827</v>
      </c>
      <c r="O23" s="135">
        <v>62.832829026053126</v>
      </c>
      <c r="P23" s="135">
        <v>0.14550505134013461</v>
      </c>
      <c r="Q23" s="135">
        <v>0.49934688073546191</v>
      </c>
      <c r="R23" s="135">
        <v>3.968319582003671E-2</v>
      </c>
      <c r="S23" s="135">
        <v>0.4596636849154252</v>
      </c>
      <c r="T23" s="135">
        <v>8.1571013630075462E-2</v>
      </c>
      <c r="U23" s="135">
        <v>1.2125420945011216E-2</v>
      </c>
      <c r="V23" s="135">
        <v>4.0785506815037731E-2</v>
      </c>
      <c r="W23" s="136">
        <v>0.5798155833705364</v>
      </c>
    </row>
    <row r="24" spans="1:23" x14ac:dyDescent="0.2">
      <c r="A24" s="43" t="s">
        <v>94</v>
      </c>
      <c r="B24" s="135">
        <v>0.11133341049510299</v>
      </c>
      <c r="C24" s="135">
        <v>0.94798745570087695</v>
      </c>
      <c r="D24" s="135">
        <v>5.0706305770046908E-2</v>
      </c>
      <c r="E24" s="135">
        <f t="shared" si="1"/>
        <v>5.0706305770046908E-2</v>
      </c>
      <c r="F24" s="135">
        <v>1.1839779096876601E-4</v>
      </c>
      <c r="G24" s="135">
        <v>5.0706305770046908E-2</v>
      </c>
      <c r="H24" s="135">
        <v>4.5194750795041809E-2</v>
      </c>
      <c r="I24" s="135">
        <v>1.7603906590166285</v>
      </c>
      <c r="J24" s="135">
        <v>3.968319582003671E-2</v>
      </c>
      <c r="K24" s="135">
        <v>0.11464034348010604</v>
      </c>
      <c r="L24" s="135">
        <v>1.6534664925015295E-2</v>
      </c>
      <c r="M24" s="135">
        <v>3.2341804593329919E-3</v>
      </c>
      <c r="N24" s="135">
        <v>1.569690856881452</v>
      </c>
      <c r="O24" s="135">
        <v>0.66910277396561901</v>
      </c>
      <c r="P24" s="135">
        <v>0.14330042935013257</v>
      </c>
      <c r="Q24" s="135">
        <v>0.48832377078545175</v>
      </c>
      <c r="R24" s="135">
        <v>3.968319582003671E-2</v>
      </c>
      <c r="S24" s="135">
        <v>0.44974288596041606</v>
      </c>
      <c r="T24" s="135">
        <v>7.9366391640073419E-2</v>
      </c>
      <c r="U24" s="135">
        <v>1.2125420945011216E-2</v>
      </c>
      <c r="V24" s="135">
        <v>4.0785506815037731E-2</v>
      </c>
      <c r="W24" s="136">
        <v>0.56769016242552517</v>
      </c>
    </row>
    <row r="25" spans="1:23" x14ac:dyDescent="0.2">
      <c r="A25" s="43" t="s">
        <v>96</v>
      </c>
      <c r="B25" s="135">
        <v>8.1063950572374983E-3</v>
      </c>
      <c r="C25" s="135">
        <v>6.8343281690063221E-2</v>
      </c>
      <c r="D25" s="135">
        <v>3.7004580102184235E-3</v>
      </c>
      <c r="E25" s="135">
        <f t="shared" si="1"/>
        <v>3.7004580102184235E-3</v>
      </c>
      <c r="F25" s="135">
        <v>8.5839434073535165E-6</v>
      </c>
      <c r="G25" s="135">
        <v>3.6409332164883679E-3</v>
      </c>
      <c r="H25" s="135">
        <v>3.3102399179880623E-3</v>
      </c>
      <c r="I25" s="135">
        <v>0.1278680754201183</v>
      </c>
      <c r="J25" s="135">
        <v>2.90789640481269E-3</v>
      </c>
      <c r="K25" s="135">
        <v>8.30260641434768E-3</v>
      </c>
      <c r="L25" s="135">
        <v>1.1882912526110993E-3</v>
      </c>
      <c r="M25" s="135">
        <v>2.3449153149578093E-4</v>
      </c>
      <c r="N25" s="135">
        <v>0.11353803248510502</v>
      </c>
      <c r="O25" s="135">
        <v>62.196795581937536</v>
      </c>
      <c r="P25" s="135">
        <v>1.0381564950919605E-2</v>
      </c>
      <c r="Q25" s="135">
        <v>3.5273951840032632E-2</v>
      </c>
      <c r="R25" s="135">
        <v>2.8538831660576401E-3</v>
      </c>
      <c r="S25" s="135">
        <v>3.3069329850030589E-2</v>
      </c>
      <c r="T25" s="135">
        <v>5.7661888148503341E-3</v>
      </c>
      <c r="U25" s="135">
        <v>8.612672167198532E-4</v>
      </c>
      <c r="V25" s="135">
        <v>2.9167148927726982E-3</v>
      </c>
      <c r="W25" s="136">
        <v>4.0785506815037731E-2</v>
      </c>
    </row>
    <row r="26" spans="1:23" x14ac:dyDescent="0.2">
      <c r="A26" s="44" t="s">
        <v>268</v>
      </c>
      <c r="B26" s="137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8"/>
    </row>
    <row r="27" spans="1:23" ht="16" thickBot="1" x14ac:dyDescent="0.25">
      <c r="A27" s="61" t="s">
        <v>86</v>
      </c>
      <c r="B27" s="139">
        <v>5794.6284385213603</v>
      </c>
      <c r="C27" s="139">
        <v>3287.0913870930408</v>
      </c>
      <c r="D27" s="139">
        <v>4660.1299624663106</v>
      </c>
      <c r="E27" s="139">
        <f>D27*(1+18/56)</f>
        <v>6158.0288789733386</v>
      </c>
      <c r="F27" s="139">
        <v>103.84243478452576</v>
      </c>
      <c r="G27" s="139">
        <v>894.30491024432729</v>
      </c>
      <c r="H27" s="139">
        <v>465.1752398904303</v>
      </c>
      <c r="I27" s="139">
        <v>13878.205658162338</v>
      </c>
      <c r="J27" s="139">
        <v>121.47467164911237</v>
      </c>
      <c r="K27" s="139">
        <v>1823.5530790301868</v>
      </c>
      <c r="L27" s="139">
        <v>292.00218257577012</v>
      </c>
      <c r="M27" s="139">
        <v>105.62724846640984</v>
      </c>
      <c r="N27" s="139">
        <v>5200.9237366138113</v>
      </c>
      <c r="O27" s="139">
        <v>75970.171464475279</v>
      </c>
      <c r="P27" s="139">
        <v>4200.7969708493856</v>
      </c>
      <c r="Q27" s="139">
        <v>19296.946047388352</v>
      </c>
      <c r="R27" s="139">
        <v>10673.456902395874</v>
      </c>
      <c r="S27" s="139">
        <v>2099.461521078942</v>
      </c>
      <c r="T27" s="139">
        <v>2077.7459944774218</v>
      </c>
      <c r="U27" s="139">
        <v>510.36999068547215</v>
      </c>
      <c r="V27" s="139">
        <v>5062.9144000396836</v>
      </c>
      <c r="W27" s="140">
        <v>36632.109216973389</v>
      </c>
    </row>
    <row r="28" spans="1:23" x14ac:dyDescent="0.2">
      <c r="B28" s="141"/>
      <c r="C28" s="141"/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O28" s="141"/>
      <c r="P28" s="141"/>
      <c r="Q28" s="141"/>
      <c r="R28" s="141"/>
      <c r="S28" s="141"/>
      <c r="T28" s="141"/>
      <c r="U28" s="141"/>
      <c r="V28" s="141"/>
      <c r="W28" s="141"/>
    </row>
    <row r="30" spans="1:23" ht="16" thickBot="1" x14ac:dyDescent="0.25">
      <c r="A30" s="63"/>
    </row>
    <row r="31" spans="1:23" ht="19" x14ac:dyDescent="0.25">
      <c r="A31" s="243" t="s">
        <v>275</v>
      </c>
      <c r="B31" s="244"/>
      <c r="C31" s="244"/>
      <c r="D31" s="245"/>
    </row>
    <row r="32" spans="1:23" ht="16" x14ac:dyDescent="0.2">
      <c r="A32" s="96"/>
      <c r="B32" s="70" t="s">
        <v>276</v>
      </c>
      <c r="C32" s="70" t="s">
        <v>277</v>
      </c>
      <c r="D32" s="71" t="s">
        <v>278</v>
      </c>
    </row>
    <row r="33" spans="1:4" x14ac:dyDescent="0.2">
      <c r="A33" s="44" t="s">
        <v>121</v>
      </c>
      <c r="B33" s="91"/>
      <c r="C33" s="91"/>
      <c r="D33" s="92"/>
    </row>
    <row r="34" spans="1:4" x14ac:dyDescent="0.2">
      <c r="A34" s="43" t="s">
        <v>127</v>
      </c>
      <c r="B34">
        <v>8.6520569995020488E-3</v>
      </c>
      <c r="C34">
        <v>4.3536673627274434E-4</v>
      </c>
      <c r="D34" s="42">
        <v>4.5936045942986089E-3</v>
      </c>
    </row>
    <row r="35" spans="1:4" x14ac:dyDescent="0.2">
      <c r="A35" s="43" t="s">
        <v>128</v>
      </c>
      <c r="B35">
        <v>5.8157551657164203E-3</v>
      </c>
      <c r="C35">
        <v>9.3629862136592704E-4</v>
      </c>
      <c r="D35" s="42">
        <v>5.88347602013513E-3</v>
      </c>
    </row>
    <row r="36" spans="1:4" x14ac:dyDescent="0.2">
      <c r="A36" s="43" t="s">
        <v>129</v>
      </c>
      <c r="B36">
        <v>1.4566870440838899E-3</v>
      </c>
      <c r="C36">
        <v>1.3821311074490198E-4</v>
      </c>
      <c r="D36" s="42">
        <v>1.4808657959505202E-3</v>
      </c>
    </row>
    <row r="37" spans="1:4" x14ac:dyDescent="0.2">
      <c r="A37" s="43" t="s">
        <v>130</v>
      </c>
      <c r="B37">
        <v>1.13979980907632E-3</v>
      </c>
      <c r="C37">
        <v>9.8234004906191889E-5</v>
      </c>
      <c r="D37" s="42">
        <v>1.45581217817604E-3</v>
      </c>
    </row>
    <row r="38" spans="1:4" x14ac:dyDescent="0.2">
      <c r="A38" s="43" t="s">
        <v>131</v>
      </c>
      <c r="B38">
        <v>1.5127868664432999E-6</v>
      </c>
      <c r="C38">
        <v>7.2259936700866407E-8</v>
      </c>
      <c r="D38" s="42">
        <v>8.2129160944036801E-7</v>
      </c>
    </row>
    <row r="39" spans="1:4" x14ac:dyDescent="0.2">
      <c r="A39" s="43" t="s">
        <v>134</v>
      </c>
      <c r="B39">
        <v>9.0738566684800265E-3</v>
      </c>
      <c r="C39">
        <v>1.678624938493945E-3</v>
      </c>
      <c r="D39" s="42">
        <v>1.022529400228925E-2</v>
      </c>
    </row>
    <row r="40" spans="1:4" x14ac:dyDescent="0.2">
      <c r="A40" s="43" t="s">
        <v>135</v>
      </c>
      <c r="B40">
        <v>3.1530013314779798E-4</v>
      </c>
      <c r="C40">
        <v>7.4527208866802898E-6</v>
      </c>
      <c r="D40" s="42">
        <v>8.7176693808195906E-5</v>
      </c>
    </row>
    <row r="41" spans="1:4" x14ac:dyDescent="0.2">
      <c r="A41" s="43" t="s">
        <v>279</v>
      </c>
      <c r="B41">
        <v>2.7680412613263461</v>
      </c>
      <c r="C41">
        <v>0.2936021368342871</v>
      </c>
      <c r="D41" s="42">
        <v>2.5766340287869309</v>
      </c>
    </row>
    <row r="42" spans="1:4" x14ac:dyDescent="0.2">
      <c r="A42" s="43" t="s">
        <v>280</v>
      </c>
      <c r="B42">
        <v>2.8632743130473699</v>
      </c>
      <c r="C42">
        <v>0.30785896763422499</v>
      </c>
      <c r="D42" s="42">
        <v>1.9031855833720199</v>
      </c>
    </row>
    <row r="43" spans="1:4" x14ac:dyDescent="0.2">
      <c r="A43" s="44" t="s">
        <v>281</v>
      </c>
      <c r="B43" s="91"/>
      <c r="C43" s="91"/>
      <c r="D43" s="92"/>
    </row>
    <row r="44" spans="1:4" x14ac:dyDescent="0.2">
      <c r="A44" s="43" t="s">
        <v>142</v>
      </c>
      <c r="B44">
        <v>63.368352635833403</v>
      </c>
      <c r="C44">
        <v>20.811002487377099</v>
      </c>
      <c r="D44" s="42">
        <v>41.314971113503098</v>
      </c>
    </row>
    <row r="45" spans="1:4" x14ac:dyDescent="0.2">
      <c r="A45" s="44" t="s">
        <v>282</v>
      </c>
      <c r="B45" s="91"/>
      <c r="C45" s="91"/>
      <c r="D45" s="92"/>
    </row>
    <row r="46" spans="1:4" ht="16" thickBot="1" x14ac:dyDescent="0.25">
      <c r="A46" s="61" t="s">
        <v>86</v>
      </c>
      <c r="B46" s="45">
        <v>0.25042402907044303</v>
      </c>
      <c r="C46" s="45">
        <v>8.3355327357690339E-3</v>
      </c>
      <c r="D46" s="34">
        <v>8.371632462994591E-2</v>
      </c>
    </row>
  </sheetData>
  <mergeCells count="2">
    <mergeCell ref="A2:W2"/>
    <mergeCell ref="A31:D3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868E2-602C-E041-BEFB-8FC991BE8C82}">
  <dimension ref="B2:AF45"/>
  <sheetViews>
    <sheetView workbookViewId="0">
      <selection sqref="A1:XFD1048576"/>
    </sheetView>
  </sheetViews>
  <sheetFormatPr baseColWidth="10" defaultColWidth="8.83203125" defaultRowHeight="15" x14ac:dyDescent="0.2"/>
  <cols>
    <col min="1" max="1" width="3.1640625" customWidth="1"/>
    <col min="2" max="2" width="21.5" customWidth="1"/>
    <col min="18" max="18" width="7" customWidth="1"/>
  </cols>
  <sheetData>
    <row r="2" spans="2:18" ht="21" x14ac:dyDescent="0.25">
      <c r="B2" s="178" t="s">
        <v>274</v>
      </c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</row>
    <row r="4" spans="2:18" ht="18" x14ac:dyDescent="0.2">
      <c r="B4" s="205" t="s">
        <v>265</v>
      </c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</row>
    <row r="5" spans="2:18" ht="18" x14ac:dyDescent="0.2">
      <c r="B5" s="203" t="s">
        <v>214</v>
      </c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</row>
    <row r="6" spans="2:18" ht="18" x14ac:dyDescent="0.2">
      <c r="B6" s="203" t="s">
        <v>215</v>
      </c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</row>
    <row r="7" spans="2:18" ht="18" x14ac:dyDescent="0.2">
      <c r="B7" s="203" t="s">
        <v>216</v>
      </c>
      <c r="C7" s="203"/>
      <c r="D7" s="203"/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</row>
    <row r="8" spans="2:18" ht="18" x14ac:dyDescent="0.2">
      <c r="B8" s="203" t="s">
        <v>217</v>
      </c>
      <c r="C8" s="203"/>
      <c r="D8" s="203"/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3"/>
    </row>
    <row r="9" spans="2:18" ht="16" x14ac:dyDescent="0.2">
      <c r="B9" s="204" t="s">
        <v>218</v>
      </c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</row>
    <row r="12" spans="2:18" ht="19" x14ac:dyDescent="0.25">
      <c r="B12" s="97" t="s">
        <v>219</v>
      </c>
    </row>
    <row r="14" spans="2:18" ht="16" thickBot="1" x14ac:dyDescent="0.25"/>
    <row r="15" spans="2:18" ht="16" x14ac:dyDescent="0.2">
      <c r="B15" s="143" t="s">
        <v>220</v>
      </c>
      <c r="C15" s="144" t="s">
        <v>221</v>
      </c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6"/>
    </row>
    <row r="16" spans="2:18" x14ac:dyDescent="0.2">
      <c r="B16" s="147" t="s">
        <v>222</v>
      </c>
      <c r="C16" s="35" t="s">
        <v>231</v>
      </c>
      <c r="R16" s="42"/>
    </row>
    <row r="17" spans="2:32" x14ac:dyDescent="0.2">
      <c r="B17" s="148" t="s">
        <v>223</v>
      </c>
      <c r="C17" s="35" t="s">
        <v>273</v>
      </c>
      <c r="R17" s="42"/>
    </row>
    <row r="18" spans="2:32" x14ac:dyDescent="0.2">
      <c r="B18" s="149" t="s">
        <v>224</v>
      </c>
      <c r="C18" s="35" t="s">
        <v>238</v>
      </c>
      <c r="R18" s="42"/>
    </row>
    <row r="19" spans="2:32" x14ac:dyDescent="0.2">
      <c r="B19" s="149" t="s">
        <v>225</v>
      </c>
      <c r="C19" s="35" t="s">
        <v>234</v>
      </c>
      <c r="R19" s="42"/>
    </row>
    <row r="20" spans="2:32" x14ac:dyDescent="0.2">
      <c r="B20" s="149" t="s">
        <v>226</v>
      </c>
      <c r="C20" s="35" t="s">
        <v>237</v>
      </c>
      <c r="R20" s="42"/>
    </row>
    <row r="21" spans="2:32" x14ac:dyDescent="0.2">
      <c r="B21" s="149" t="s">
        <v>227</v>
      </c>
      <c r="C21" s="35" t="s">
        <v>236</v>
      </c>
      <c r="R21" s="42"/>
    </row>
    <row r="22" spans="2:32" x14ac:dyDescent="0.2">
      <c r="B22" s="149" t="s">
        <v>228</v>
      </c>
      <c r="C22" s="35" t="s">
        <v>235</v>
      </c>
      <c r="R22" s="42"/>
    </row>
    <row r="23" spans="2:32" x14ac:dyDescent="0.2">
      <c r="B23" s="149" t="s">
        <v>20</v>
      </c>
      <c r="C23" s="35" t="s">
        <v>239</v>
      </c>
      <c r="R23" s="42"/>
    </row>
    <row r="24" spans="2:32" x14ac:dyDescent="0.2">
      <c r="B24" s="149" t="s">
        <v>38</v>
      </c>
      <c r="C24" s="35" t="s">
        <v>240</v>
      </c>
      <c r="R24" s="42"/>
    </row>
    <row r="25" spans="2:32" x14ac:dyDescent="0.2">
      <c r="B25" s="149" t="s">
        <v>19</v>
      </c>
      <c r="C25" s="35" t="s">
        <v>241</v>
      </c>
      <c r="R25" s="42"/>
    </row>
    <row r="26" spans="2:32" x14ac:dyDescent="0.2">
      <c r="B26" s="166" t="s">
        <v>229</v>
      </c>
      <c r="C26" s="35" t="s">
        <v>242</v>
      </c>
      <c r="R26" s="42"/>
    </row>
    <row r="27" spans="2:32" ht="16" thickBot="1" x14ac:dyDescent="0.25">
      <c r="B27" s="150" t="s">
        <v>264</v>
      </c>
      <c r="C27" s="73" t="s">
        <v>263</v>
      </c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34"/>
    </row>
    <row r="31" spans="2:32" ht="17" thickBot="1" x14ac:dyDescent="0.25">
      <c r="B31" s="155" t="s">
        <v>230</v>
      </c>
    </row>
    <row r="32" spans="2:32" x14ac:dyDescent="0.2">
      <c r="B32" s="171" t="s">
        <v>253</v>
      </c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5"/>
      <c r="S32" s="165"/>
      <c r="T32" s="165"/>
      <c r="U32" s="165"/>
      <c r="V32" s="165"/>
      <c r="W32" s="165"/>
      <c r="X32" s="165"/>
      <c r="Y32" s="165"/>
      <c r="Z32" s="165"/>
      <c r="AA32" s="165"/>
      <c r="AB32" s="165"/>
      <c r="AC32" s="165"/>
      <c r="AD32" s="165"/>
      <c r="AE32" s="165"/>
      <c r="AF32" s="167"/>
    </row>
    <row r="33" spans="2:32" x14ac:dyDescent="0.2">
      <c r="B33" s="201" t="s">
        <v>245</v>
      </c>
      <c r="C33" s="202"/>
      <c r="D33" s="202"/>
      <c r="E33" s="202"/>
      <c r="F33" s="202"/>
      <c r="G33" s="158"/>
      <c r="V33" s="158"/>
      <c r="W33" s="158"/>
      <c r="X33" s="158"/>
      <c r="Y33" s="158"/>
      <c r="Z33" s="158"/>
      <c r="AA33" s="158"/>
      <c r="AB33" s="158"/>
      <c r="AC33" s="158"/>
      <c r="AD33" s="158"/>
      <c r="AE33" s="158"/>
      <c r="AF33" s="58"/>
    </row>
    <row r="34" spans="2:32" x14ac:dyDescent="0.2">
      <c r="B34" s="172" t="s">
        <v>247</v>
      </c>
      <c r="C34" s="158"/>
      <c r="D34" s="158"/>
      <c r="E34" s="158"/>
      <c r="F34" s="39"/>
      <c r="G34" s="173" t="s">
        <v>248</v>
      </c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8"/>
      <c r="W34" s="159"/>
      <c r="X34" s="159"/>
      <c r="Y34" s="159"/>
      <c r="Z34" s="159"/>
      <c r="AA34" s="159"/>
      <c r="AB34" s="159"/>
      <c r="AC34" s="159"/>
      <c r="AD34" s="159"/>
      <c r="AE34" s="159"/>
      <c r="AF34" s="160"/>
    </row>
    <row r="35" spans="2:32" x14ac:dyDescent="0.2">
      <c r="B35" s="161" t="s">
        <v>246</v>
      </c>
      <c r="C35" s="156"/>
      <c r="D35" s="156"/>
      <c r="E35" s="156"/>
      <c r="F35" s="157"/>
      <c r="G35" t="s">
        <v>249</v>
      </c>
      <c r="AF35" s="42"/>
    </row>
    <row r="36" spans="2:32" x14ac:dyDescent="0.2">
      <c r="B36" s="161" t="s">
        <v>233</v>
      </c>
      <c r="C36" s="156"/>
      <c r="D36" s="156"/>
      <c r="E36" s="156"/>
      <c r="F36" s="157"/>
      <c r="G36" t="s">
        <v>252</v>
      </c>
      <c r="AF36" s="42"/>
    </row>
    <row r="37" spans="2:32" x14ac:dyDescent="0.2">
      <c r="B37" s="161" t="s">
        <v>147</v>
      </c>
      <c r="C37" s="156"/>
      <c r="D37" s="156"/>
      <c r="E37" s="156"/>
      <c r="F37" s="157"/>
      <c r="G37" t="s">
        <v>251</v>
      </c>
      <c r="AF37" s="42"/>
    </row>
    <row r="38" spans="2:32" ht="16" thickBot="1" x14ac:dyDescent="0.25">
      <c r="B38" s="162" t="s">
        <v>150</v>
      </c>
      <c r="C38" s="163"/>
      <c r="D38" s="163"/>
      <c r="E38" s="163"/>
      <c r="F38" s="164"/>
      <c r="G38" s="45" t="s">
        <v>250</v>
      </c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34"/>
    </row>
    <row r="39" spans="2:32" x14ac:dyDescent="0.2">
      <c r="B39" s="166" t="s">
        <v>229</v>
      </c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/>
      <c r="O39" s="168"/>
      <c r="P39" s="168"/>
      <c r="Q39" s="168"/>
      <c r="R39" s="168"/>
      <c r="S39" s="168"/>
      <c r="T39" s="168"/>
      <c r="U39" s="168"/>
      <c r="V39" s="168"/>
      <c r="W39" s="168"/>
      <c r="X39" s="168"/>
      <c r="Y39" s="168"/>
      <c r="Z39" s="168"/>
      <c r="AA39" s="168"/>
      <c r="AB39" s="168"/>
      <c r="AC39" s="168"/>
      <c r="AD39" s="168"/>
      <c r="AE39" s="168"/>
      <c r="AF39" s="169"/>
    </row>
    <row r="40" spans="2:32" x14ac:dyDescent="0.2">
      <c r="B40" s="57" t="s">
        <v>255</v>
      </c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  <c r="Y40" s="158"/>
      <c r="Z40" s="158"/>
      <c r="AA40" s="158"/>
      <c r="AB40" s="158"/>
      <c r="AC40" s="158"/>
      <c r="AD40" s="158"/>
      <c r="AE40" s="158"/>
      <c r="AF40" s="58"/>
    </row>
    <row r="41" spans="2:32" x14ac:dyDescent="0.2">
      <c r="B41" s="172" t="s">
        <v>247</v>
      </c>
      <c r="C41" s="158"/>
      <c r="D41" s="158"/>
      <c r="E41" s="158"/>
      <c r="F41" s="39"/>
      <c r="G41" s="174" t="s">
        <v>248</v>
      </c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  <c r="Y41" s="159"/>
      <c r="Z41" s="159"/>
      <c r="AA41" s="159"/>
      <c r="AB41" s="159"/>
      <c r="AC41" s="159"/>
      <c r="AD41" s="159"/>
      <c r="AE41" s="159"/>
      <c r="AF41" s="160"/>
    </row>
    <row r="42" spans="2:32" x14ac:dyDescent="0.2">
      <c r="B42" s="161" t="s">
        <v>254</v>
      </c>
      <c r="C42" s="156"/>
      <c r="D42" s="156"/>
      <c r="E42" s="156"/>
      <c r="F42" s="157"/>
      <c r="G42" t="s">
        <v>258</v>
      </c>
      <c r="AF42" s="42"/>
    </row>
    <row r="43" spans="2:32" x14ac:dyDescent="0.2">
      <c r="B43" s="161" t="s">
        <v>269</v>
      </c>
      <c r="C43" s="156"/>
      <c r="D43" s="156"/>
      <c r="E43" s="156"/>
      <c r="F43" s="157"/>
      <c r="G43" t="s">
        <v>260</v>
      </c>
      <c r="AF43" s="42"/>
    </row>
    <row r="44" spans="2:32" x14ac:dyDescent="0.2">
      <c r="B44" s="161" t="s">
        <v>256</v>
      </c>
      <c r="C44" s="156"/>
      <c r="D44" s="156"/>
      <c r="E44" s="156"/>
      <c r="F44" s="157"/>
      <c r="G44" t="s">
        <v>261</v>
      </c>
      <c r="AF44" s="42"/>
    </row>
    <row r="45" spans="2:32" ht="16" thickBot="1" x14ac:dyDescent="0.25">
      <c r="B45" s="162" t="s">
        <v>257</v>
      </c>
      <c r="C45" s="163"/>
      <c r="D45" s="163"/>
      <c r="E45" s="163"/>
      <c r="F45" s="164"/>
      <c r="G45" s="45" t="s">
        <v>262</v>
      </c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34"/>
    </row>
  </sheetData>
  <mergeCells count="7">
    <mergeCell ref="B33:F33"/>
    <mergeCell ref="B4:R4"/>
    <mergeCell ref="B5:R5"/>
    <mergeCell ref="B6:R6"/>
    <mergeCell ref="B7:R7"/>
    <mergeCell ref="B8:R8"/>
    <mergeCell ref="B9:R9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CD351-9B70-2746-A191-B3A8F351C4B0}">
  <dimension ref="A1:CA65"/>
  <sheetViews>
    <sheetView workbookViewId="0">
      <selection sqref="A1:CA1048576"/>
    </sheetView>
  </sheetViews>
  <sheetFormatPr baseColWidth="10" defaultRowHeight="16" x14ac:dyDescent="0.2"/>
  <cols>
    <col min="1" max="1" width="10.83203125" style="1"/>
    <col min="2" max="2" width="21.83203125" style="1" customWidth="1"/>
    <col min="3" max="6" width="10.83203125" style="1"/>
    <col min="7" max="7" width="11.6640625" style="1" customWidth="1"/>
    <col min="8" max="8" width="6.5" style="1" customWidth="1"/>
    <col min="9" max="9" width="11.6640625" style="1" customWidth="1"/>
    <col min="10" max="10" width="13.1640625" style="1" customWidth="1"/>
    <col min="11" max="11" width="11" style="1" bestFit="1" customWidth="1"/>
    <col min="12" max="12" width="2.33203125" style="1" customWidth="1"/>
    <col min="13" max="13" width="10.83203125" style="1"/>
    <col min="14" max="14" width="15.5" style="1" customWidth="1"/>
    <col min="15" max="15" width="14.83203125" style="1" customWidth="1"/>
    <col min="16" max="16" width="10.83203125" style="1"/>
    <col min="17" max="18" width="2.1640625" style="1" customWidth="1"/>
    <col min="19" max="79" width="10.83203125" style="1"/>
  </cols>
  <sheetData>
    <row r="1" spans="2:22" x14ac:dyDescent="0.2">
      <c r="B1" s="142"/>
    </row>
    <row r="2" spans="2:22" x14ac:dyDescent="0.2">
      <c r="B2" s="1" t="s">
        <v>44</v>
      </c>
      <c r="M2" s="210" t="s">
        <v>0</v>
      </c>
      <c r="N2" s="210"/>
      <c r="O2" s="210"/>
      <c r="P2" s="210"/>
      <c r="S2" s="206" t="s">
        <v>207</v>
      </c>
      <c r="T2" s="207"/>
      <c r="U2" s="207"/>
      <c r="V2" s="208"/>
    </row>
    <row r="3" spans="2:22" x14ac:dyDescent="0.2">
      <c r="B3" s="209" t="s">
        <v>1</v>
      </c>
      <c r="C3" s="209"/>
      <c r="D3" s="209"/>
      <c r="E3" s="209"/>
      <c r="F3" s="209"/>
      <c r="G3" s="209"/>
      <c r="H3" s="2"/>
      <c r="I3" s="2"/>
      <c r="J3" s="2"/>
      <c r="M3" s="1" t="s">
        <v>2</v>
      </c>
      <c r="N3" s="1" t="s">
        <v>3</v>
      </c>
      <c r="S3" s="1" t="s">
        <v>2</v>
      </c>
      <c r="T3" s="1" t="s">
        <v>208</v>
      </c>
    </row>
    <row r="4" spans="2:22" x14ac:dyDescent="0.2">
      <c r="B4" s="3"/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N4" s="4" t="s">
        <v>9</v>
      </c>
      <c r="O4" s="4" t="s">
        <v>10</v>
      </c>
      <c r="P4" s="4" t="s">
        <v>11</v>
      </c>
      <c r="T4" s="4" t="s">
        <v>9</v>
      </c>
      <c r="U4" s="4" t="s">
        <v>10</v>
      </c>
      <c r="V4" s="4" t="s">
        <v>11</v>
      </c>
    </row>
    <row r="5" spans="2:22" x14ac:dyDescent="0.2">
      <c r="B5" s="3" t="s">
        <v>12</v>
      </c>
      <c r="C5" s="5">
        <v>0.34579482413318302</v>
      </c>
      <c r="D5" s="5">
        <v>0.38166128739196642</v>
      </c>
      <c r="E5" s="5">
        <v>0.31538309651365559</v>
      </c>
      <c r="F5" s="5">
        <v>0.35963976584124535</v>
      </c>
      <c r="G5" s="5">
        <v>0.43460186251013871</v>
      </c>
      <c r="H5" s="6"/>
      <c r="I5" s="7" t="s">
        <v>13</v>
      </c>
      <c r="J5" s="7" t="s">
        <v>118</v>
      </c>
      <c r="L5" s="6"/>
      <c r="M5" s="3" t="s">
        <v>14</v>
      </c>
      <c r="N5" s="3">
        <v>1</v>
      </c>
      <c r="O5" s="3">
        <v>6.9</v>
      </c>
      <c r="P5" s="8">
        <f>O5/$O$10</f>
        <v>7.1842483792491849E-2</v>
      </c>
      <c r="Q5" s="6"/>
      <c r="S5" s="3" t="s">
        <v>14</v>
      </c>
      <c r="T5" s="3">
        <v>1</v>
      </c>
      <c r="U5" s="182">
        <f>J6</f>
        <v>6.9379999999999997</v>
      </c>
      <c r="V5" s="8">
        <f>U5/$U$10</f>
        <v>7.0890680399309278E-2</v>
      </c>
    </row>
    <row r="6" spans="2:22" x14ac:dyDescent="0.2">
      <c r="B6" s="3" t="s">
        <v>15</v>
      </c>
      <c r="C6" s="5">
        <v>0.23425365316020708</v>
      </c>
      <c r="D6" s="5">
        <v>0.20169156627544349</v>
      </c>
      <c r="E6" s="5">
        <v>0.24438558696679671</v>
      </c>
      <c r="F6" s="5">
        <v>0.19113257538735198</v>
      </c>
      <c r="G6" s="5">
        <v>0.15584377585107806</v>
      </c>
      <c r="H6" s="6"/>
      <c r="I6" s="5" t="s">
        <v>14</v>
      </c>
      <c r="J6" s="3">
        <v>6.9379999999999997</v>
      </c>
      <c r="L6" s="6"/>
      <c r="M6" s="3" t="s">
        <v>16</v>
      </c>
      <c r="N6" s="3">
        <v>0.8</v>
      </c>
      <c r="O6" s="3">
        <f>$J$7*N6</f>
        <v>46.9544</v>
      </c>
      <c r="P6" s="8">
        <f>(O6)/$O$10</f>
        <v>0.48888706101248969</v>
      </c>
      <c r="Q6" s="6"/>
      <c r="S6" s="3"/>
      <c r="T6" s="3"/>
      <c r="U6" s="3"/>
      <c r="V6" s="8"/>
    </row>
    <row r="7" spans="2:22" x14ac:dyDescent="0.2">
      <c r="B7" s="3" t="s">
        <v>18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6"/>
      <c r="I7" s="5" t="s">
        <v>16</v>
      </c>
      <c r="J7" s="3">
        <v>58.692999999999998</v>
      </c>
      <c r="L7" s="6"/>
      <c r="M7" s="3" t="s">
        <v>20</v>
      </c>
      <c r="N7" s="3">
        <v>0.05</v>
      </c>
      <c r="O7" s="3">
        <f>$J$11*N7</f>
        <v>1.3491</v>
      </c>
      <c r="P7" s="88">
        <f>(O7)/$O$10</f>
        <v>1.4046767374558079E-2</v>
      </c>
      <c r="Q7" s="6"/>
      <c r="S7" s="3" t="s">
        <v>23</v>
      </c>
      <c r="T7" s="3">
        <v>1</v>
      </c>
      <c r="U7" s="3">
        <f>J9*T7</f>
        <v>58.933</v>
      </c>
      <c r="V7" s="8">
        <f>(U7)/$U$10</f>
        <v>0.60216207379251852</v>
      </c>
    </row>
    <row r="8" spans="2:22" x14ac:dyDescent="0.2">
      <c r="B8" s="3" t="s">
        <v>22</v>
      </c>
      <c r="C8" s="5">
        <v>1.1837724026395716E-2</v>
      </c>
      <c r="D8" s="5">
        <v>1.8148134160390732E-2</v>
      </c>
      <c r="E8" s="5">
        <v>2.2151166891221971E-2</v>
      </c>
      <c r="F8" s="5">
        <v>1.1240251861808109E-2</v>
      </c>
      <c r="G8" s="5">
        <v>1.2049910986963605E-2</v>
      </c>
      <c r="H8" s="6"/>
      <c r="I8" s="5" t="s">
        <v>19</v>
      </c>
      <c r="J8" s="3">
        <v>54.938000000000002</v>
      </c>
      <c r="L8" s="6"/>
      <c r="M8" s="3" t="s">
        <v>23</v>
      </c>
      <c r="N8" s="3">
        <v>0.15</v>
      </c>
      <c r="O8" s="3">
        <f>$J$9*N8</f>
        <v>8.83995</v>
      </c>
      <c r="P8" s="8">
        <f>(O8)/$O$10</f>
        <v>9.2041154290063515E-2</v>
      </c>
      <c r="Q8" s="6"/>
      <c r="S8" s="3"/>
      <c r="T8" s="3"/>
      <c r="U8" s="3"/>
      <c r="V8" s="8"/>
    </row>
    <row r="9" spans="2:22" x14ac:dyDescent="0.2">
      <c r="B9" s="3" t="s">
        <v>24</v>
      </c>
      <c r="C9" s="5">
        <v>6.8239547569154929E-2</v>
      </c>
      <c r="D9" s="5">
        <v>7.2103499400766699E-2</v>
      </c>
      <c r="E9" s="5">
        <v>7.2273729804879325E-2</v>
      </c>
      <c r="F9" s="5">
        <v>8.2590566714795435E-2</v>
      </c>
      <c r="G9" s="5">
        <v>8.226626902307177E-2</v>
      </c>
      <c r="H9" s="6"/>
      <c r="I9" s="5" t="s">
        <v>23</v>
      </c>
      <c r="J9" s="3">
        <v>58.933</v>
      </c>
      <c r="L9" s="6"/>
      <c r="M9" s="3" t="s">
        <v>25</v>
      </c>
      <c r="N9" s="3">
        <v>2</v>
      </c>
      <c r="O9" s="3">
        <v>32</v>
      </c>
      <c r="P9" s="8">
        <f>O9/$O$10</f>
        <v>0.33318253353039695</v>
      </c>
      <c r="Q9" s="6"/>
      <c r="S9" s="3" t="s">
        <v>25</v>
      </c>
      <c r="T9" s="3">
        <v>2</v>
      </c>
      <c r="U9" s="3">
        <f>T9*J10</f>
        <v>31.998000000000001</v>
      </c>
      <c r="V9" s="8">
        <f>U9/$U$10</f>
        <v>0.32694724580817214</v>
      </c>
    </row>
    <row r="10" spans="2:22" x14ac:dyDescent="0.2">
      <c r="B10" s="3" t="s">
        <v>26</v>
      </c>
      <c r="C10" s="5">
        <v>0.1800084821882818</v>
      </c>
      <c r="D10" s="5">
        <v>0.17255488299171634</v>
      </c>
      <c r="E10" s="5">
        <v>0.18412068926802197</v>
      </c>
      <c r="F10" s="5">
        <v>0.17516529522157706</v>
      </c>
      <c r="G10" s="5">
        <v>0.16829381452884734</v>
      </c>
      <c r="H10" s="6"/>
      <c r="I10" s="9" t="s">
        <v>25</v>
      </c>
      <c r="J10" s="10">
        <v>15.999000000000001</v>
      </c>
      <c r="L10" s="6"/>
      <c r="M10" s="3" t="s">
        <v>27</v>
      </c>
      <c r="N10" s="3"/>
      <c r="O10" s="3">
        <f>SUM(O5:O9)</f>
        <v>96.043449999999993</v>
      </c>
      <c r="P10" s="11">
        <f>SUM(P5:P9)</f>
        <v>1</v>
      </c>
      <c r="Q10" s="6"/>
      <c r="S10" s="3"/>
      <c r="T10" s="3"/>
      <c r="U10" s="3">
        <f>SUM(U5:U9)</f>
        <v>97.869</v>
      </c>
      <c r="V10" s="11">
        <f>SUM(V5:V9)</f>
        <v>0.99999999999999989</v>
      </c>
    </row>
    <row r="11" spans="2:22" x14ac:dyDescent="0.2">
      <c r="B11" s="3" t="s">
        <v>28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6"/>
      <c r="I11" s="5" t="s">
        <v>20</v>
      </c>
      <c r="J11" s="12">
        <v>26.981999999999999</v>
      </c>
      <c r="L11" s="6"/>
      <c r="Q11" s="6"/>
    </row>
    <row r="12" spans="2:22" x14ac:dyDescent="0.2">
      <c r="B12" s="3" t="s">
        <v>29</v>
      </c>
      <c r="C12" s="5">
        <v>1.3620293134094193E-2</v>
      </c>
      <c r="D12" s="5">
        <v>1.3847745042733589E-2</v>
      </c>
      <c r="E12" s="5">
        <v>1.3895599836990156E-2</v>
      </c>
      <c r="F12" s="5">
        <v>1.7839262977824281E-2</v>
      </c>
      <c r="G12" s="5">
        <v>1.3852249882046652E-2</v>
      </c>
      <c r="H12" s="6"/>
      <c r="I12" s="5" t="s">
        <v>17</v>
      </c>
      <c r="J12" s="12">
        <v>55.844999999999999</v>
      </c>
      <c r="L12" s="6"/>
      <c r="M12" s="3" t="s">
        <v>4</v>
      </c>
      <c r="N12" s="3" t="s">
        <v>30</v>
      </c>
      <c r="Q12" s="6"/>
      <c r="S12" s="3" t="s">
        <v>7</v>
      </c>
      <c r="T12" s="3" t="s">
        <v>30</v>
      </c>
    </row>
    <row r="13" spans="2:22" x14ac:dyDescent="0.2">
      <c r="B13" s="3" t="s">
        <v>31</v>
      </c>
      <c r="C13" s="5">
        <v>3.8022944723585528E-2</v>
      </c>
      <c r="D13" s="5">
        <v>3.8657908396123625E-2</v>
      </c>
      <c r="E13" s="5">
        <v>3.8791501717417215E-2</v>
      </c>
      <c r="F13" s="5">
        <v>4.9800786476276407E-2</v>
      </c>
      <c r="G13" s="5">
        <v>3.867048428230338E-2</v>
      </c>
      <c r="H13" s="6"/>
      <c r="I13" s="5" t="s">
        <v>21</v>
      </c>
      <c r="J13" s="12">
        <v>30.974</v>
      </c>
      <c r="L13" s="6"/>
      <c r="M13" s="3" t="s">
        <v>14</v>
      </c>
      <c r="N13" s="12">
        <f>P5*C5</f>
        <v>2.4842759048315771E-2</v>
      </c>
      <c r="O13" s="183"/>
      <c r="Q13" s="6"/>
      <c r="S13" s="3" t="s">
        <v>14</v>
      </c>
      <c r="T13" s="12">
        <f>V5*K5</f>
        <v>0</v>
      </c>
      <c r="U13" s="183"/>
    </row>
    <row r="14" spans="2:22" x14ac:dyDescent="0.2">
      <c r="B14" s="3" t="s">
        <v>32</v>
      </c>
      <c r="C14" s="5">
        <v>3.8022944723585528E-2</v>
      </c>
      <c r="D14" s="5">
        <v>3.8657908396123625E-2</v>
      </c>
      <c r="E14" s="5">
        <v>3.8791501717417215E-2</v>
      </c>
      <c r="F14" s="5">
        <v>4.9800786476276407E-2</v>
      </c>
      <c r="G14" s="5">
        <v>3.867048428230338E-2</v>
      </c>
      <c r="H14" s="6"/>
      <c r="I14" s="5" t="s">
        <v>38</v>
      </c>
      <c r="J14" s="12">
        <v>63.545999999999999</v>
      </c>
      <c r="L14" s="6"/>
      <c r="M14" s="3" t="s">
        <v>16</v>
      </c>
      <c r="N14" s="12">
        <f>P6*C5</f>
        <v>0.16905461528380258</v>
      </c>
      <c r="O14" s="183"/>
      <c r="Q14" s="6"/>
      <c r="S14" s="3"/>
      <c r="T14" s="12"/>
      <c r="U14" s="183"/>
    </row>
    <row r="15" spans="2:22" x14ac:dyDescent="0.2">
      <c r="B15" s="3" t="s">
        <v>33</v>
      </c>
      <c r="C15" s="5">
        <v>5.9609681627276296E-3</v>
      </c>
      <c r="D15" s="5">
        <v>6.5969595074415388E-3</v>
      </c>
      <c r="E15" s="5">
        <v>7.6484732792485143E-3</v>
      </c>
      <c r="F15" s="5">
        <v>7.9694732588119922E-3</v>
      </c>
      <c r="G15" s="5">
        <v>7.9304765306548574E-3</v>
      </c>
      <c r="H15" s="6"/>
      <c r="I15" s="5" t="s">
        <v>40</v>
      </c>
      <c r="J15" s="12">
        <v>12.010999999999999</v>
      </c>
      <c r="L15" s="6"/>
      <c r="M15" s="3" t="s">
        <v>34</v>
      </c>
      <c r="N15" s="87">
        <f>P7*C5</f>
        <v>4.8572994539250441E-3</v>
      </c>
      <c r="O15" s="183"/>
      <c r="Q15" s="6"/>
      <c r="S15" s="3" t="s">
        <v>23</v>
      </c>
      <c r="T15" s="12">
        <f>V7*K5</f>
        <v>0</v>
      </c>
      <c r="U15" s="183"/>
    </row>
    <row r="16" spans="2:22" x14ac:dyDescent="0.2">
      <c r="B16" s="3" t="s">
        <v>35</v>
      </c>
      <c r="C16" s="5">
        <v>1.7563096328220931E-3</v>
      </c>
      <c r="D16" s="5">
        <v>1.8425849968472382E-3</v>
      </c>
      <c r="E16" s="5">
        <v>2.1605509276218294E-3</v>
      </c>
      <c r="F16" s="5">
        <v>2.0940767941867171E-3</v>
      </c>
      <c r="G16" s="5">
        <v>2.130987727760417E-3</v>
      </c>
      <c r="H16" s="6"/>
      <c r="I16" s="6"/>
      <c r="J16" s="6"/>
      <c r="L16" s="6"/>
      <c r="M16" s="3" t="s">
        <v>23</v>
      </c>
      <c r="N16" s="12">
        <f>P8*C5</f>
        <v>3.1827354760747675E-2</v>
      </c>
      <c r="O16" s="183"/>
      <c r="Q16" s="6"/>
      <c r="S16" s="3"/>
      <c r="T16" s="12"/>
      <c r="U16" s="183"/>
    </row>
    <row r="17" spans="2:21" x14ac:dyDescent="0.2">
      <c r="B17" s="3" t="s">
        <v>36</v>
      </c>
      <c r="C17" s="5">
        <v>1.8960231521061241E-3</v>
      </c>
      <c r="D17" s="5">
        <v>1.8810116310044498E-3</v>
      </c>
      <c r="E17" s="5">
        <v>1.9662562251833789E-3</v>
      </c>
      <c r="F17" s="5">
        <v>2.0173574074183686E-3</v>
      </c>
      <c r="G17" s="5">
        <v>1.8159295946473457E-3</v>
      </c>
      <c r="H17" s="6"/>
      <c r="I17" s="6"/>
      <c r="J17" s="6"/>
      <c r="L17" s="6"/>
      <c r="M17" s="3" t="s">
        <v>20</v>
      </c>
      <c r="N17" s="12">
        <f>C10</f>
        <v>0.1800084821882818</v>
      </c>
      <c r="O17" s="183"/>
      <c r="Q17" s="6"/>
      <c r="S17" s="3" t="s">
        <v>20</v>
      </c>
      <c r="T17" s="12">
        <f>K10</f>
        <v>0</v>
      </c>
      <c r="U17" s="183"/>
    </row>
    <row r="18" spans="2:21" x14ac:dyDescent="0.2">
      <c r="B18" s="3" t="s">
        <v>37</v>
      </c>
      <c r="C18" s="5">
        <v>6.0039165421247051E-3</v>
      </c>
      <c r="D18" s="5">
        <v>6.0312326551140221E-3</v>
      </c>
      <c r="E18" s="5">
        <v>6.2427730719381101E-3</v>
      </c>
      <c r="F18" s="5">
        <v>6.6835575633989886E-3</v>
      </c>
      <c r="G18" s="5">
        <v>5.8231771230749406E-3</v>
      </c>
      <c r="H18" s="6"/>
      <c r="I18" s="6"/>
      <c r="J18" s="6"/>
      <c r="L18" s="6"/>
      <c r="M18" s="3" t="s">
        <v>38</v>
      </c>
      <c r="N18" s="12">
        <f>C9</f>
        <v>6.8239547569154929E-2</v>
      </c>
      <c r="O18" s="183"/>
      <c r="Q18" s="6"/>
      <c r="S18" s="3" t="s">
        <v>38</v>
      </c>
      <c r="T18" s="12">
        <f>K9</f>
        <v>0</v>
      </c>
      <c r="U18" s="183"/>
    </row>
    <row r="19" spans="2:21" x14ac:dyDescent="0.2">
      <c r="B19" s="3" t="s">
        <v>39</v>
      </c>
      <c r="C19" s="5">
        <v>3.6804233527362351E-3</v>
      </c>
      <c r="D19" s="5">
        <v>3.3462431265472588E-3</v>
      </c>
      <c r="E19" s="5">
        <v>3.6908647171567627E-3</v>
      </c>
      <c r="F19" s="5">
        <v>3.1551864129688565E-3</v>
      </c>
      <c r="G19" s="5">
        <v>3.0298786415424357E-3</v>
      </c>
      <c r="H19" s="6"/>
      <c r="I19" s="184"/>
      <c r="J19" s="6"/>
      <c r="L19" s="6"/>
      <c r="M19" s="3" t="s">
        <v>40</v>
      </c>
      <c r="N19" s="12">
        <f>C6</f>
        <v>0.23425365316020708</v>
      </c>
      <c r="O19" s="183"/>
      <c r="Q19" s="6"/>
      <c r="S19" s="3" t="s">
        <v>40</v>
      </c>
      <c r="T19" s="12">
        <f>K6</f>
        <v>0</v>
      </c>
      <c r="U19" s="183"/>
    </row>
    <row r="20" spans="2:21" x14ac:dyDescent="0.2">
      <c r="B20" s="3" t="s">
        <v>41</v>
      </c>
      <c r="C20" s="5">
        <v>3.1884860383727634E-2</v>
      </c>
      <c r="D20" s="5">
        <v>2.6098559501723042E-2</v>
      </c>
      <c r="E20" s="5">
        <v>2.9740316942285523E-2</v>
      </c>
      <c r="F20" s="5">
        <v>2.7000991777860816E-2</v>
      </c>
      <c r="G20" s="5">
        <v>2.0695033516595625E-2</v>
      </c>
      <c r="H20" s="6"/>
      <c r="I20" s="6"/>
      <c r="J20" s="6"/>
      <c r="L20" s="6"/>
      <c r="M20" s="4" t="s">
        <v>42</v>
      </c>
      <c r="N20" s="13">
        <f>SUM(N13:N19)</f>
        <v>0.71308371146443483</v>
      </c>
      <c r="P20" s="6"/>
      <c r="Q20" s="6"/>
      <c r="S20" s="4" t="s">
        <v>42</v>
      </c>
      <c r="T20" s="13">
        <f>SUM(T13:T19)</f>
        <v>0</v>
      </c>
    </row>
    <row r="21" spans="2:21" x14ac:dyDescent="0.2">
      <c r="B21" s="3" t="s">
        <v>43</v>
      </c>
      <c r="C21" s="5">
        <f>1-SUM(C5:C20)</f>
        <v>1.9017085115267673E-2</v>
      </c>
      <c r="D21" s="5">
        <f t="shared" ref="D21:G21" si="0">1-SUM(D5:D20)</f>
        <v>1.6880476526058064E-2</v>
      </c>
      <c r="E21" s="5">
        <f t="shared" si="0"/>
        <v>1.8757892120165764E-2</v>
      </c>
      <c r="F21" s="5">
        <f t="shared" si="0"/>
        <v>1.3870065828199163E-2</v>
      </c>
      <c r="G21" s="5">
        <f t="shared" si="0"/>
        <v>1.4325665518971409E-2</v>
      </c>
      <c r="H21" s="6"/>
      <c r="I21" s="6"/>
      <c r="J21" s="6"/>
      <c r="L21" s="6"/>
      <c r="M21" s="6"/>
      <c r="N21" s="6"/>
      <c r="O21" s="6"/>
      <c r="P21" s="6"/>
      <c r="Q21" s="6"/>
    </row>
    <row r="24" spans="2:21" x14ac:dyDescent="0.2">
      <c r="C24" s="1" t="s">
        <v>45</v>
      </c>
    </row>
    <row r="25" spans="2:21" x14ac:dyDescent="0.2">
      <c r="C25" s="1" t="s">
        <v>46</v>
      </c>
      <c r="N25" s="185"/>
    </row>
    <row r="26" spans="2:21" x14ac:dyDescent="0.2">
      <c r="C26" s="14" t="s">
        <v>8</v>
      </c>
      <c r="D26" s="15" t="s">
        <v>5</v>
      </c>
      <c r="E26" s="16" t="s">
        <v>7</v>
      </c>
      <c r="H26" s="17"/>
      <c r="I26" s="17"/>
      <c r="J26" s="17"/>
    </row>
    <row r="27" spans="2:21" x14ac:dyDescent="0.2">
      <c r="C27" s="18">
        <v>2275.5112106161296</v>
      </c>
      <c r="D27" s="19">
        <v>2336.6816135022586</v>
      </c>
      <c r="E27" s="20">
        <v>1583.5479357366601</v>
      </c>
    </row>
    <row r="30" spans="2:21" x14ac:dyDescent="0.2">
      <c r="C30" s="1" t="s">
        <v>47</v>
      </c>
    </row>
    <row r="31" spans="2:21" x14ac:dyDescent="0.2">
      <c r="C31" s="21" t="s">
        <v>48</v>
      </c>
      <c r="D31" s="22"/>
      <c r="E31" s="22"/>
      <c r="F31" s="22"/>
      <c r="G31" s="22"/>
      <c r="H31" s="22"/>
      <c r="I31" s="22"/>
      <c r="J31" s="22"/>
      <c r="K31" s="23"/>
    </row>
    <row r="32" spans="2:21" x14ac:dyDescent="0.2">
      <c r="C32" s="24" t="s">
        <v>8</v>
      </c>
      <c r="D32" s="24" t="s">
        <v>5</v>
      </c>
      <c r="E32" s="24" t="s">
        <v>7</v>
      </c>
      <c r="F32" s="24" t="s">
        <v>49</v>
      </c>
      <c r="G32" s="24" t="s">
        <v>6</v>
      </c>
      <c r="H32" s="24" t="s">
        <v>50</v>
      </c>
      <c r="I32" s="24" t="s">
        <v>51</v>
      </c>
      <c r="J32" s="24" t="s">
        <v>4</v>
      </c>
      <c r="K32" s="16" t="s">
        <v>52</v>
      </c>
    </row>
    <row r="33" spans="1:11" x14ac:dyDescent="0.2">
      <c r="A33" s="1" t="s">
        <v>53</v>
      </c>
      <c r="C33" s="25">
        <v>184.41410270248596</v>
      </c>
      <c r="D33" s="25">
        <v>214.78750010342952</v>
      </c>
      <c r="E33" s="25">
        <v>174.14246461584352</v>
      </c>
      <c r="F33" s="25">
        <v>240.66590054602386</v>
      </c>
      <c r="G33" s="25">
        <v>247.89184172595316</v>
      </c>
      <c r="H33" s="25">
        <f>28000/160</f>
        <v>175</v>
      </c>
      <c r="I33" s="25">
        <f>28000/140</f>
        <v>200</v>
      </c>
      <c r="J33" s="25">
        <v>250.91917856309701</v>
      </c>
      <c r="K33" s="26">
        <v>224.74087374227938</v>
      </c>
    </row>
    <row r="34" spans="1:11" x14ac:dyDescent="0.2">
      <c r="A34" s="1">
        <v>27</v>
      </c>
      <c r="B34" s="1" t="s">
        <v>54</v>
      </c>
      <c r="C34" s="1">
        <f t="shared" ref="C34:K34" si="1">$A$34/(C33/1000)</f>
        <v>146.40962705308345</v>
      </c>
      <c r="D34" s="1">
        <f t="shared" si="1"/>
        <v>125.70563923411895</v>
      </c>
      <c r="E34" s="1">
        <f t="shared" si="1"/>
        <v>155.04546843046998</v>
      </c>
      <c r="F34" s="1">
        <f t="shared" si="1"/>
        <v>112.18872278433413</v>
      </c>
      <c r="G34" s="1">
        <f t="shared" si="1"/>
        <v>108.91846949061261</v>
      </c>
      <c r="H34" s="1">
        <f t="shared" si="1"/>
        <v>154.28571428571431</v>
      </c>
      <c r="I34" s="1">
        <f t="shared" si="1"/>
        <v>135</v>
      </c>
      <c r="J34" s="1">
        <f t="shared" si="1"/>
        <v>107.60436948110959</v>
      </c>
      <c r="K34" s="1">
        <f t="shared" si="1"/>
        <v>120.13836001617638</v>
      </c>
    </row>
    <row r="39" spans="1:11" x14ac:dyDescent="0.2">
      <c r="A39" s="90"/>
      <c r="B39" s="90"/>
      <c r="C39" s="90"/>
      <c r="D39" s="90"/>
      <c r="E39" s="90"/>
      <c r="F39" s="90"/>
      <c r="G39" s="90"/>
      <c r="H39" s="90"/>
      <c r="I39" s="90"/>
      <c r="J39" s="90"/>
      <c r="K39" s="90"/>
    </row>
    <row r="40" spans="1:11" x14ac:dyDescent="0.2">
      <c r="A40" s="90"/>
      <c r="B40" s="90"/>
      <c r="C40" s="90"/>
      <c r="D40" s="90"/>
      <c r="E40" s="90"/>
      <c r="F40" s="90"/>
      <c r="G40" s="90"/>
      <c r="H40" s="90"/>
      <c r="I40" s="90"/>
      <c r="J40" s="90"/>
      <c r="K40" s="90"/>
    </row>
    <row r="41" spans="1:11" x14ac:dyDescent="0.2">
      <c r="G41" s="89"/>
    </row>
    <row r="42" spans="1:11" x14ac:dyDescent="0.2">
      <c r="G42" s="89"/>
    </row>
    <row r="43" spans="1:11" x14ac:dyDescent="0.2">
      <c r="G43" s="89"/>
    </row>
    <row r="44" spans="1:11" x14ac:dyDescent="0.2">
      <c r="G44" s="89"/>
    </row>
    <row r="45" spans="1:11" x14ac:dyDescent="0.2">
      <c r="G45" s="89"/>
    </row>
    <row r="46" spans="1:11" x14ac:dyDescent="0.2">
      <c r="G46" s="89"/>
    </row>
    <row r="47" spans="1:11" x14ac:dyDescent="0.2">
      <c r="G47" s="89"/>
    </row>
    <row r="48" spans="1:11" x14ac:dyDescent="0.2">
      <c r="G48" s="89"/>
    </row>
    <row r="49" spans="7:7" x14ac:dyDescent="0.2">
      <c r="G49" s="89"/>
    </row>
    <row r="50" spans="7:7" x14ac:dyDescent="0.2">
      <c r="G50" s="89"/>
    </row>
    <row r="51" spans="7:7" x14ac:dyDescent="0.2">
      <c r="G51" s="89"/>
    </row>
    <row r="52" spans="7:7" x14ac:dyDescent="0.2">
      <c r="G52" s="89"/>
    </row>
    <row r="53" spans="7:7" x14ac:dyDescent="0.2">
      <c r="G53" s="89"/>
    </row>
    <row r="54" spans="7:7" x14ac:dyDescent="0.2">
      <c r="G54" s="89"/>
    </row>
    <row r="55" spans="7:7" x14ac:dyDescent="0.2">
      <c r="G55" s="89"/>
    </row>
    <row r="56" spans="7:7" x14ac:dyDescent="0.2">
      <c r="G56" s="89"/>
    </row>
    <row r="57" spans="7:7" x14ac:dyDescent="0.2">
      <c r="G57" s="89"/>
    </row>
    <row r="58" spans="7:7" x14ac:dyDescent="0.2">
      <c r="G58" s="89"/>
    </row>
    <row r="59" spans="7:7" x14ac:dyDescent="0.2">
      <c r="G59" s="89"/>
    </row>
    <row r="60" spans="7:7" x14ac:dyDescent="0.2">
      <c r="G60" s="89"/>
    </row>
    <row r="61" spans="7:7" x14ac:dyDescent="0.2">
      <c r="G61" s="89"/>
    </row>
    <row r="62" spans="7:7" x14ac:dyDescent="0.2">
      <c r="G62" s="89"/>
    </row>
    <row r="63" spans="7:7" x14ac:dyDescent="0.2">
      <c r="G63" s="89"/>
    </row>
    <row r="64" spans="7:7" x14ac:dyDescent="0.2">
      <c r="G64" s="89"/>
    </row>
    <row r="65" spans="7:7" x14ac:dyDescent="0.2">
      <c r="G65" s="89"/>
    </row>
  </sheetData>
  <mergeCells count="3">
    <mergeCell ref="M2:P2"/>
    <mergeCell ref="S2:V2"/>
    <mergeCell ref="B3:G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4CFC6-CD92-A14C-8597-D633FB381E6B}">
  <dimension ref="B1:H24"/>
  <sheetViews>
    <sheetView workbookViewId="0">
      <selection sqref="A1:H1048576"/>
    </sheetView>
  </sheetViews>
  <sheetFormatPr baseColWidth="10" defaultRowHeight="15" x14ac:dyDescent="0.2"/>
  <cols>
    <col min="1" max="1" width="10.1640625" customWidth="1"/>
    <col min="2" max="2" width="20.1640625" bestFit="1" customWidth="1"/>
    <col min="3" max="3" width="12.83203125" customWidth="1"/>
    <col min="4" max="4" width="22.6640625" bestFit="1" customWidth="1"/>
    <col min="5" max="5" width="10.5" customWidth="1"/>
    <col min="6" max="6" width="8.83203125"/>
    <col min="7" max="7" width="11.83203125" customWidth="1"/>
    <col min="8" max="8" width="25.1640625" bestFit="1" customWidth="1"/>
  </cols>
  <sheetData>
    <row r="1" spans="2:8" ht="16" thickBot="1" x14ac:dyDescent="0.25"/>
    <row r="2" spans="2:8" x14ac:dyDescent="0.2">
      <c r="B2" s="212" t="s">
        <v>143</v>
      </c>
      <c r="C2" s="213"/>
      <c r="D2" s="214"/>
      <c r="G2" s="212" t="s">
        <v>270</v>
      </c>
      <c r="H2" s="214"/>
    </row>
    <row r="3" spans="2:8" x14ac:dyDescent="0.2">
      <c r="B3" s="76" t="s">
        <v>108</v>
      </c>
      <c r="C3" s="30" t="s">
        <v>109</v>
      </c>
      <c r="D3" s="77" t="s">
        <v>110</v>
      </c>
      <c r="G3" s="76" t="s">
        <v>271</v>
      </c>
      <c r="H3" s="175" t="s">
        <v>272</v>
      </c>
    </row>
    <row r="4" spans="2:8" x14ac:dyDescent="0.2">
      <c r="B4" s="76" t="s">
        <v>105</v>
      </c>
      <c r="C4" s="56"/>
      <c r="D4" s="55"/>
      <c r="G4" s="48" t="s">
        <v>77</v>
      </c>
      <c r="H4" s="49">
        <v>25</v>
      </c>
    </row>
    <row r="5" spans="2:8" ht="16" thickBot="1" x14ac:dyDescent="0.25">
      <c r="B5" s="48" t="s">
        <v>56</v>
      </c>
      <c r="C5" s="41" t="s">
        <v>56</v>
      </c>
      <c r="D5" s="42">
        <v>1</v>
      </c>
      <c r="G5" s="33" t="s">
        <v>78</v>
      </c>
      <c r="H5" s="50">
        <v>298</v>
      </c>
    </row>
    <row r="6" spans="2:8" x14ac:dyDescent="0.2">
      <c r="B6" s="48" t="s">
        <v>69</v>
      </c>
      <c r="C6" s="41" t="s">
        <v>56</v>
      </c>
      <c r="D6" s="42">
        <f>1/1000</f>
        <v>1E-3</v>
      </c>
    </row>
    <row r="7" spans="2:8" x14ac:dyDescent="0.2">
      <c r="B7" s="48" t="s">
        <v>71</v>
      </c>
      <c r="C7" s="41" t="s">
        <v>56</v>
      </c>
      <c r="D7" s="42">
        <f>1/1000000</f>
        <v>9.9999999999999995E-7</v>
      </c>
    </row>
    <row r="8" spans="2:8" x14ac:dyDescent="0.2">
      <c r="B8" s="48" t="s">
        <v>79</v>
      </c>
      <c r="C8" s="41" t="s">
        <v>56</v>
      </c>
      <c r="D8" s="42">
        <f>1/1000000000</f>
        <v>1.0000000000000001E-9</v>
      </c>
    </row>
    <row r="9" spans="2:8" x14ac:dyDescent="0.2">
      <c r="B9" s="48" t="s">
        <v>161</v>
      </c>
      <c r="C9" s="41" t="s">
        <v>56</v>
      </c>
      <c r="D9" s="42">
        <v>907.18499999999995</v>
      </c>
    </row>
    <row r="10" spans="2:8" x14ac:dyDescent="0.2">
      <c r="B10" s="57" t="s">
        <v>104</v>
      </c>
      <c r="C10" s="38" t="s">
        <v>56</v>
      </c>
      <c r="D10" s="82">
        <v>1000</v>
      </c>
    </row>
    <row r="11" spans="2:8" x14ac:dyDescent="0.2">
      <c r="B11" s="76" t="s">
        <v>106</v>
      </c>
      <c r="C11" s="56"/>
      <c r="D11" s="55"/>
    </row>
    <row r="12" spans="2:8" x14ac:dyDescent="0.2">
      <c r="B12" s="48" t="s">
        <v>83</v>
      </c>
      <c r="C12" s="41" t="s">
        <v>83</v>
      </c>
      <c r="D12" s="42">
        <v>1</v>
      </c>
    </row>
    <row r="13" spans="2:8" x14ac:dyDescent="0.2">
      <c r="B13" s="48" t="s">
        <v>82</v>
      </c>
      <c r="C13" s="41" t="s">
        <v>83</v>
      </c>
      <c r="D13" s="42">
        <f>1/1000</f>
        <v>1E-3</v>
      </c>
    </row>
    <row r="14" spans="2:8" x14ac:dyDescent="0.2">
      <c r="B14" s="57" t="s">
        <v>87</v>
      </c>
      <c r="C14" s="51" t="s">
        <v>83</v>
      </c>
      <c r="D14" s="58">
        <f>1/1000000</f>
        <v>9.9999999999999995E-7</v>
      </c>
    </row>
    <row r="15" spans="2:8" x14ac:dyDescent="0.2">
      <c r="B15" s="57" t="s">
        <v>116</v>
      </c>
      <c r="C15" s="51" t="s">
        <v>83</v>
      </c>
      <c r="D15" s="58">
        <v>1055.0558530000001</v>
      </c>
    </row>
    <row r="16" spans="2:8" x14ac:dyDescent="0.2">
      <c r="B16" s="76" t="s">
        <v>107</v>
      </c>
      <c r="C16" s="56"/>
      <c r="D16" s="55"/>
    </row>
    <row r="17" spans="2:4" x14ac:dyDescent="0.2">
      <c r="B17" s="48" t="s">
        <v>85</v>
      </c>
      <c r="C17" s="41" t="s">
        <v>85</v>
      </c>
      <c r="D17" s="42">
        <v>1</v>
      </c>
    </row>
    <row r="18" spans="2:4" x14ac:dyDescent="0.2">
      <c r="B18" s="48" t="s">
        <v>88</v>
      </c>
      <c r="C18" s="41" t="s">
        <v>85</v>
      </c>
      <c r="D18" s="42">
        <v>1000000</v>
      </c>
    </row>
    <row r="19" spans="2:4" x14ac:dyDescent="0.2">
      <c r="B19" s="48" t="s">
        <v>145</v>
      </c>
      <c r="C19" s="41" t="s">
        <v>85</v>
      </c>
      <c r="D19" s="42">
        <v>1E-3</v>
      </c>
    </row>
    <row r="20" spans="2:4" x14ac:dyDescent="0.2">
      <c r="B20" s="48" t="s">
        <v>146</v>
      </c>
      <c r="C20" s="41" t="s">
        <v>85</v>
      </c>
      <c r="D20" s="42">
        <v>1000</v>
      </c>
    </row>
    <row r="21" spans="2:4" x14ac:dyDescent="0.2">
      <c r="B21" s="48" t="s">
        <v>137</v>
      </c>
      <c r="C21" s="41" t="s">
        <v>85</v>
      </c>
      <c r="D21" s="42">
        <v>3785.4117799999999</v>
      </c>
    </row>
    <row r="22" spans="2:4" x14ac:dyDescent="0.2">
      <c r="B22" s="46" t="s">
        <v>111</v>
      </c>
      <c r="C22" s="54"/>
      <c r="D22" s="59"/>
    </row>
    <row r="23" spans="2:4" x14ac:dyDescent="0.2">
      <c r="B23" s="48" t="s">
        <v>55</v>
      </c>
      <c r="C23" s="41" t="s">
        <v>55</v>
      </c>
      <c r="D23" s="42">
        <v>1</v>
      </c>
    </row>
    <row r="24" spans="2:4" ht="16" thickBot="1" x14ac:dyDescent="0.25">
      <c r="B24" s="33" t="str">
        <f>""</f>
        <v/>
      </c>
      <c r="C24" s="52" t="str">
        <f>""</f>
        <v/>
      </c>
      <c r="D24" s="34">
        <v>0</v>
      </c>
    </row>
  </sheetData>
  <mergeCells count="2">
    <mergeCell ref="B2:D2"/>
    <mergeCell ref="G2:H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0F182-37C2-EF4C-ACB9-DF940D37EB77}">
  <dimension ref="A1:J40"/>
  <sheetViews>
    <sheetView workbookViewId="0">
      <selection sqref="A1:K1048576"/>
    </sheetView>
  </sheetViews>
  <sheetFormatPr baseColWidth="10" defaultRowHeight="15" x14ac:dyDescent="0.2"/>
  <cols>
    <col min="1" max="1" width="29.83203125" customWidth="1"/>
    <col min="2" max="2" width="28" bestFit="1" customWidth="1"/>
    <col min="3" max="4" width="27.5" customWidth="1"/>
    <col min="5" max="5" width="12.83203125" customWidth="1"/>
    <col min="6" max="6" width="24.5" bestFit="1" customWidth="1"/>
    <col min="7" max="7" width="18.5" customWidth="1"/>
    <col min="8" max="8" width="23.6640625" customWidth="1"/>
    <col min="9" max="9" width="34" bestFit="1" customWidth="1"/>
    <col min="10" max="10" width="21.33203125" customWidth="1"/>
    <col min="11" max="11" width="11" customWidth="1"/>
  </cols>
  <sheetData>
    <row r="1" spans="1:10" ht="16" thickBot="1" x14ac:dyDescent="0.25"/>
    <row r="2" spans="1:10" ht="19" x14ac:dyDescent="0.25">
      <c r="A2" s="212" t="s">
        <v>243</v>
      </c>
      <c r="B2" s="214"/>
      <c r="F2" s="215" t="s">
        <v>233</v>
      </c>
      <c r="G2" s="216"/>
      <c r="H2" s="216"/>
      <c r="I2" s="216"/>
      <c r="J2" s="217"/>
    </row>
    <row r="3" spans="1:10" ht="32" x14ac:dyDescent="0.2">
      <c r="A3" s="29" t="s">
        <v>57</v>
      </c>
      <c r="B3" s="94" t="s">
        <v>151</v>
      </c>
      <c r="F3" s="46"/>
      <c r="G3" s="110" t="s">
        <v>149</v>
      </c>
      <c r="H3" s="110" t="s">
        <v>112</v>
      </c>
      <c r="I3" s="110" t="s">
        <v>113</v>
      </c>
      <c r="J3" s="109" t="s">
        <v>114</v>
      </c>
    </row>
    <row r="4" spans="1:10" ht="33" thickBot="1" x14ac:dyDescent="0.25">
      <c r="A4" s="33" t="s">
        <v>16</v>
      </c>
      <c r="B4" s="34">
        <f>VLOOKUP(A4,NCA_Composition,4,FALSE)</f>
        <v>0.48888706101248969</v>
      </c>
      <c r="F4" s="62"/>
      <c r="G4" s="120" t="s">
        <v>148</v>
      </c>
      <c r="H4" s="121" t="s">
        <v>115</v>
      </c>
      <c r="I4" s="121" t="s">
        <v>115</v>
      </c>
      <c r="J4" s="111" t="s">
        <v>115</v>
      </c>
    </row>
    <row r="5" spans="1:10" ht="33" thickBot="1" x14ac:dyDescent="0.25">
      <c r="F5" s="62"/>
      <c r="G5" s="118" t="s">
        <v>169</v>
      </c>
      <c r="H5" s="119"/>
      <c r="I5" s="85"/>
      <c r="J5" s="71"/>
    </row>
    <row r="6" spans="1:10" x14ac:dyDescent="0.2">
      <c r="A6" s="218" t="s">
        <v>147</v>
      </c>
      <c r="B6" s="219"/>
      <c r="C6" s="219"/>
      <c r="D6" s="220"/>
      <c r="F6" s="67" t="s">
        <v>142</v>
      </c>
      <c r="G6" s="37" t="s">
        <v>83</v>
      </c>
      <c r="H6" s="95">
        <v>23.833066022917048</v>
      </c>
      <c r="I6" s="95">
        <v>116.93976421567818</v>
      </c>
      <c r="J6" s="68">
        <v>132.81634947667786</v>
      </c>
    </row>
    <row r="7" spans="1:10" x14ac:dyDescent="0.2">
      <c r="A7" s="46"/>
      <c r="B7" s="80" t="s">
        <v>164</v>
      </c>
      <c r="C7" s="80" t="s">
        <v>154</v>
      </c>
      <c r="D7" s="80" t="s">
        <v>166</v>
      </c>
      <c r="F7" s="47" t="s">
        <v>89</v>
      </c>
      <c r="G7" s="36" t="s">
        <v>83</v>
      </c>
      <c r="H7" s="41">
        <v>23.728346478391948</v>
      </c>
      <c r="I7" s="41">
        <v>113.9458875532554</v>
      </c>
      <c r="J7" s="42">
        <v>128.24065653642862</v>
      </c>
    </row>
    <row r="8" spans="1:10" x14ac:dyDescent="0.2">
      <c r="A8" s="44" t="s">
        <v>121</v>
      </c>
      <c r="B8" s="59"/>
      <c r="C8" s="59"/>
      <c r="D8" s="59"/>
      <c r="F8" s="47" t="s">
        <v>91</v>
      </c>
      <c r="G8" s="36" t="s">
        <v>83</v>
      </c>
      <c r="H8" s="41">
        <v>0.14109580736013053</v>
      </c>
      <c r="I8" s="41">
        <v>10.718872115389916</v>
      </c>
      <c r="J8" s="42">
        <v>16.932599194210663</v>
      </c>
    </row>
    <row r="9" spans="1:10" x14ac:dyDescent="0.2">
      <c r="A9" s="43" t="s">
        <v>126</v>
      </c>
      <c r="B9" s="49">
        <f t="shared" ref="B9:B19" si="0">($J16*$B$39)*$B$4</f>
        <v>2.9077990966517096E-3</v>
      </c>
      <c r="C9" s="49">
        <f t="shared" ref="C9:C19" si="1">($H16*$B$39)*$B$4</f>
        <v>3.7356351764549183E-4</v>
      </c>
      <c r="D9" s="42">
        <f>B9-C9</f>
        <v>2.5342355790062177E-3</v>
      </c>
      <c r="F9" s="47" t="s">
        <v>90</v>
      </c>
      <c r="G9" s="36" t="s">
        <v>83</v>
      </c>
      <c r="H9" s="41">
        <v>1.6479549375265246</v>
      </c>
      <c r="I9" s="41">
        <v>40.443790406587411</v>
      </c>
      <c r="J9" s="42">
        <v>47.727861461554149</v>
      </c>
    </row>
    <row r="10" spans="1:10" x14ac:dyDescent="0.2">
      <c r="A10" s="43" t="s">
        <v>127</v>
      </c>
      <c r="B10" s="49">
        <f t="shared" si="0"/>
        <v>1.5359726893650467E-2</v>
      </c>
      <c r="C10" s="49">
        <f t="shared" si="1"/>
        <v>1.4908438292645491E-3</v>
      </c>
      <c r="D10" s="42">
        <f t="shared" ref="D10:D19" si="2">B10-C10</f>
        <v>1.3868883064385917E-2</v>
      </c>
      <c r="F10" s="47" t="s">
        <v>92</v>
      </c>
      <c r="G10" s="36" t="s">
        <v>83</v>
      </c>
      <c r="H10" s="41">
        <v>21.939295733505297</v>
      </c>
      <c r="I10" s="41">
        <v>62.783225031278079</v>
      </c>
      <c r="J10" s="42">
        <v>63.580195880663815</v>
      </c>
    </row>
    <row r="11" spans="1:10" x14ac:dyDescent="0.2">
      <c r="A11" s="43" t="s">
        <v>128</v>
      </c>
      <c r="B11" s="49">
        <f t="shared" si="0"/>
        <v>3.2018897822625396E-2</v>
      </c>
      <c r="C11" s="49">
        <f t="shared" si="1"/>
        <v>9.3903836542867884E-3</v>
      </c>
      <c r="D11" s="42">
        <f t="shared" si="2"/>
        <v>2.2628514168338609E-2</v>
      </c>
      <c r="F11" s="47" t="s">
        <v>93</v>
      </c>
      <c r="G11" s="36" t="s">
        <v>83</v>
      </c>
      <c r="H11" s="41">
        <v>0.10471954452509687</v>
      </c>
      <c r="I11" s="41">
        <v>2.9927743514277685</v>
      </c>
      <c r="J11" s="42">
        <v>4.5756929402492332</v>
      </c>
    </row>
    <row r="12" spans="1:10" x14ac:dyDescent="0.2">
      <c r="A12" s="43" t="s">
        <v>129</v>
      </c>
      <c r="B12" s="49">
        <f t="shared" si="0"/>
        <v>2.8256691182572268E-3</v>
      </c>
      <c r="C12" s="49">
        <f t="shared" si="1"/>
        <v>6.2009554621716479E-4</v>
      </c>
      <c r="D12" s="42">
        <f t="shared" si="2"/>
        <v>2.2055735720400618E-3</v>
      </c>
      <c r="F12" s="47" t="s">
        <v>95</v>
      </c>
      <c r="G12" s="36" t="s">
        <v>83</v>
      </c>
      <c r="H12" s="41">
        <v>5.2910927760048944E-2</v>
      </c>
      <c r="I12" s="41">
        <v>1.5112683741463979</v>
      </c>
      <c r="J12" s="42">
        <v>2.5937377712373992</v>
      </c>
    </row>
    <row r="13" spans="1:10" x14ac:dyDescent="0.2">
      <c r="A13" s="43" t="s">
        <v>130</v>
      </c>
      <c r="B13" s="49">
        <f t="shared" si="0"/>
        <v>2.1684871977131416E-3</v>
      </c>
      <c r="C13" s="49">
        <f t="shared" si="1"/>
        <v>5.5245909342170867E-4</v>
      </c>
      <c r="D13" s="42">
        <f t="shared" si="2"/>
        <v>1.616028104291433E-3</v>
      </c>
      <c r="F13" s="47" t="s">
        <v>94</v>
      </c>
      <c r="G13" s="36" t="s">
        <v>83</v>
      </c>
      <c r="H13" s="41">
        <v>5.1808616765047923E-2</v>
      </c>
      <c r="I13" s="41">
        <v>1.4815059772813706</v>
      </c>
      <c r="J13" s="42">
        <v>1.9819551690118333</v>
      </c>
    </row>
    <row r="14" spans="1:10" x14ac:dyDescent="0.2">
      <c r="A14" s="43" t="s">
        <v>131</v>
      </c>
      <c r="B14" s="49">
        <f t="shared" si="0"/>
        <v>0.21419057875777509</v>
      </c>
      <c r="C14" s="49">
        <f t="shared" si="1"/>
        <v>5.6769150463950886E-3</v>
      </c>
      <c r="D14" s="42">
        <f t="shared" si="2"/>
        <v>0.20851366371138</v>
      </c>
      <c r="F14" s="47" t="s">
        <v>96</v>
      </c>
      <c r="G14" s="36" t="s">
        <v>83</v>
      </c>
      <c r="H14" s="41">
        <v>3.788642889818505E-3</v>
      </c>
      <c r="I14" s="41">
        <v>0.10692416651509891</v>
      </c>
      <c r="J14" s="42">
        <v>0.23479224193521719</v>
      </c>
    </row>
    <row r="15" spans="1:10" x14ac:dyDescent="0.2">
      <c r="A15" s="43" t="s">
        <v>132</v>
      </c>
      <c r="B15" s="49">
        <f t="shared" si="0"/>
        <v>1.9452584848104912E-4</v>
      </c>
      <c r="C15" s="49">
        <f t="shared" si="1"/>
        <v>5.4488409489539395E-5</v>
      </c>
      <c r="D15" s="42">
        <f>B15-C15</f>
        <v>1.4003743899150973E-4</v>
      </c>
      <c r="F15" s="67" t="s">
        <v>84</v>
      </c>
      <c r="G15" s="37" t="s">
        <v>85</v>
      </c>
      <c r="H15" s="95">
        <v>3770.6752205999883</v>
      </c>
      <c r="I15" s="95">
        <v>22621.736470510426</v>
      </c>
      <c r="J15" s="68">
        <v>30940.105932086622</v>
      </c>
    </row>
    <row r="16" spans="1:10" x14ac:dyDescent="0.2">
      <c r="A16" s="43" t="s">
        <v>133</v>
      </c>
      <c r="B16" s="49">
        <f t="shared" si="0"/>
        <v>3.8962007051500131E-4</v>
      </c>
      <c r="C16" s="49">
        <f t="shared" si="1"/>
        <v>1.0014614118101325E-4</v>
      </c>
      <c r="D16" s="42">
        <f t="shared" si="2"/>
        <v>2.8947392933398807E-4</v>
      </c>
      <c r="F16" s="67" t="s">
        <v>70</v>
      </c>
      <c r="G16" s="37" t="s">
        <v>56</v>
      </c>
      <c r="H16" s="95">
        <v>2.8979756058576813E-4</v>
      </c>
      <c r="I16" s="95">
        <v>2.112358559720454E-3</v>
      </c>
      <c r="J16" s="68">
        <v>2.2557692201700869E-3</v>
      </c>
    </row>
    <row r="17" spans="1:10" x14ac:dyDescent="0.2">
      <c r="A17" s="43" t="s">
        <v>134</v>
      </c>
      <c r="B17" s="49">
        <f t="shared" si="0"/>
        <v>2.1025984935928627E-2</v>
      </c>
      <c r="C17" s="49">
        <f t="shared" si="1"/>
        <v>2.6804496754905122E-3</v>
      </c>
      <c r="D17" s="42">
        <f t="shared" si="2"/>
        <v>1.8345535260438115E-2</v>
      </c>
      <c r="F17" s="47" t="s">
        <v>72</v>
      </c>
      <c r="G17" s="36" t="s">
        <v>56</v>
      </c>
      <c r="H17" s="41">
        <v>1.1565446959550699E-3</v>
      </c>
      <c r="I17" s="41">
        <v>1.1367912829246516E-2</v>
      </c>
      <c r="J17" s="42">
        <v>1.1915540931563022E-2</v>
      </c>
    </row>
    <row r="18" spans="1:10" x14ac:dyDescent="0.2">
      <c r="A18" s="43" t="s">
        <v>135</v>
      </c>
      <c r="B18" s="49">
        <f t="shared" si="0"/>
        <v>2.2308661951442454E-4</v>
      </c>
      <c r="C18" s="49">
        <f t="shared" si="1"/>
        <v>3.4773520246769757E-5</v>
      </c>
      <c r="D18" s="42">
        <f t="shared" si="2"/>
        <v>1.8831309926765479E-4</v>
      </c>
      <c r="F18" s="47" t="s">
        <v>73</v>
      </c>
      <c r="G18" s="36" t="s">
        <v>56</v>
      </c>
      <c r="H18" s="41">
        <v>7.2847324415637391E-3</v>
      </c>
      <c r="I18" s="41">
        <v>2.3687009816079411E-2</v>
      </c>
      <c r="J18" s="42">
        <v>2.4839145268054478E-2</v>
      </c>
    </row>
    <row r="19" spans="1:10" x14ac:dyDescent="0.2">
      <c r="A19" s="43" t="s">
        <v>136</v>
      </c>
      <c r="B19" s="49">
        <f t="shared" si="0"/>
        <v>12.469365355508435</v>
      </c>
      <c r="C19" s="49">
        <f t="shared" si="1"/>
        <v>2.4407291776702169</v>
      </c>
      <c r="D19" s="42">
        <f t="shared" si="2"/>
        <v>10.028636177838218</v>
      </c>
      <c r="F19" s="47" t="s">
        <v>74</v>
      </c>
      <c r="G19" s="36" t="s">
        <v>56</v>
      </c>
      <c r="H19" s="41">
        <v>4.8104851821844502E-4</v>
      </c>
      <c r="I19" s="41">
        <v>2.0490859086073955E-3</v>
      </c>
      <c r="J19" s="42">
        <v>2.1920556446590276E-3</v>
      </c>
    </row>
    <row r="20" spans="1:10" x14ac:dyDescent="0.2">
      <c r="A20" s="44" t="s">
        <v>122</v>
      </c>
      <c r="B20" s="59"/>
      <c r="C20" s="59"/>
      <c r="D20" s="59"/>
      <c r="F20" s="47" t="s">
        <v>75</v>
      </c>
      <c r="G20" s="36" t="s">
        <v>56</v>
      </c>
      <c r="H20" s="41">
        <v>4.2857851485639644E-4</v>
      </c>
      <c r="I20" s="41">
        <v>1.5963667829604767E-3</v>
      </c>
      <c r="J20" s="42">
        <v>1.6822368094710561E-3</v>
      </c>
    </row>
    <row r="21" spans="1:10" x14ac:dyDescent="0.2">
      <c r="A21" s="72" t="s">
        <v>142</v>
      </c>
      <c r="B21" s="49">
        <f t="shared" ref="B21:B29" si="3">($J6*$B$39)*$B$4</f>
        <v>171.20690253932165</v>
      </c>
      <c r="C21" s="49">
        <f t="shared" ref="C21:C29" si="4">($H6*$B$39)*$B$4</f>
        <v>30.722011468289001</v>
      </c>
      <c r="D21" s="42">
        <f>B21-C21</f>
        <v>140.48489107103265</v>
      </c>
      <c r="F21" s="47" t="s">
        <v>76</v>
      </c>
      <c r="G21" s="36" t="s">
        <v>56</v>
      </c>
      <c r="H21" s="41">
        <v>4.403952887228074E-3</v>
      </c>
      <c r="I21" s="41">
        <v>0.16379404421369401</v>
      </c>
      <c r="J21" s="42">
        <v>0.1661615877687572</v>
      </c>
    </row>
    <row r="22" spans="1:10" x14ac:dyDescent="0.2">
      <c r="A22" s="72" t="s">
        <v>89</v>
      </c>
      <c r="B22" s="49">
        <f t="shared" si="3"/>
        <v>165.3086059940708</v>
      </c>
      <c r="C22" s="49">
        <f t="shared" si="4"/>
        <v>30.587022749474535</v>
      </c>
      <c r="D22" s="42">
        <f t="shared" ref="D22:D29" si="5">B22-C22</f>
        <v>134.72158324459627</v>
      </c>
      <c r="F22" s="47" t="s">
        <v>80</v>
      </c>
      <c r="G22" s="36" t="s">
        <v>56</v>
      </c>
      <c r="H22" s="41">
        <v>4.2270209494204597E-5</v>
      </c>
      <c r="I22" s="41">
        <v>1.4307996715113235E-4</v>
      </c>
      <c r="J22" s="42">
        <v>1.5090637521563959E-4</v>
      </c>
    </row>
    <row r="23" spans="1:10" x14ac:dyDescent="0.2">
      <c r="A23" s="72" t="s">
        <v>91</v>
      </c>
      <c r="B23" s="49">
        <f t="shared" si="3"/>
        <v>21.826965365357164</v>
      </c>
      <c r="C23" s="49">
        <f t="shared" si="4"/>
        <v>0.18187953692895759</v>
      </c>
      <c r="D23" s="42">
        <f t="shared" si="5"/>
        <v>21.645085828428208</v>
      </c>
      <c r="F23" s="47" t="s">
        <v>81</v>
      </c>
      <c r="G23" s="36" t="s">
        <v>56</v>
      </c>
      <c r="H23" s="41">
        <v>7.7689886847776376E-5</v>
      </c>
      <c r="I23" s="41">
        <v>2.8108930372526005E-4</v>
      </c>
      <c r="J23" s="42">
        <v>3.0225367482927958E-4</v>
      </c>
    </row>
    <row r="24" spans="1:10" x14ac:dyDescent="0.2">
      <c r="A24" s="72" t="s">
        <v>90</v>
      </c>
      <c r="B24" s="49">
        <f t="shared" si="3"/>
        <v>61.523595233984409</v>
      </c>
      <c r="C24" s="49">
        <f t="shared" si="4"/>
        <v>2.1242961539749343</v>
      </c>
      <c r="D24" s="42">
        <f t="shared" si="5"/>
        <v>59.399299080009477</v>
      </c>
      <c r="F24" s="47" t="s">
        <v>77</v>
      </c>
      <c r="G24" s="36" t="s">
        <v>56</v>
      </c>
      <c r="H24" s="41">
        <v>2.0793994609699237E-3</v>
      </c>
      <c r="I24" s="41">
        <v>1.398799583326444E-2</v>
      </c>
      <c r="J24" s="42">
        <v>1.631122648632859E-2</v>
      </c>
    </row>
    <row r="25" spans="1:10" x14ac:dyDescent="0.2">
      <c r="A25" s="72" t="s">
        <v>92</v>
      </c>
      <c r="B25" s="49">
        <f t="shared" si="3"/>
        <v>81.95804539472924</v>
      </c>
      <c r="C25" s="49">
        <f t="shared" si="4"/>
        <v>28.28084705857065</v>
      </c>
      <c r="D25" s="42">
        <f t="shared" si="5"/>
        <v>53.67719833615859</v>
      </c>
      <c r="F25" s="47" t="s">
        <v>78</v>
      </c>
      <c r="G25" s="36" t="s">
        <v>56</v>
      </c>
      <c r="H25" s="41">
        <v>2.6976085362963457E-5</v>
      </c>
      <c r="I25" s="41">
        <v>1.4737898003163634E-4</v>
      </c>
      <c r="J25" s="42">
        <v>1.7306282621516009E-4</v>
      </c>
    </row>
    <row r="26" spans="1:10" ht="16" thickBot="1" x14ac:dyDescent="0.25">
      <c r="A26" s="72" t="s">
        <v>93</v>
      </c>
      <c r="B26" s="49">
        <f t="shared" si="3"/>
        <v>5.8982965452508047</v>
      </c>
      <c r="C26" s="49">
        <f t="shared" si="4"/>
        <v>0.13498871881446067</v>
      </c>
      <c r="D26" s="42">
        <f t="shared" si="5"/>
        <v>5.7633078264363444</v>
      </c>
      <c r="F26" s="69" t="s">
        <v>68</v>
      </c>
      <c r="G26" s="74" t="s">
        <v>56</v>
      </c>
      <c r="H26" s="52">
        <v>1.893432651553983</v>
      </c>
      <c r="I26" s="52">
        <v>8.5999671511323488</v>
      </c>
      <c r="J26" s="34">
        <v>9.6732991616924888</v>
      </c>
    </row>
    <row r="27" spans="1:10" ht="32" x14ac:dyDescent="0.2">
      <c r="A27" s="72" t="s">
        <v>95</v>
      </c>
      <c r="B27" s="49">
        <f t="shared" si="3"/>
        <v>3.3434574249518527</v>
      </c>
      <c r="C27" s="49">
        <f t="shared" si="4"/>
        <v>6.8204826348359088E-2</v>
      </c>
      <c r="D27" s="42">
        <f t="shared" si="5"/>
        <v>3.2752525986034935</v>
      </c>
      <c r="F27" s="186" t="s">
        <v>285</v>
      </c>
      <c r="H27" s="187" t="s">
        <v>286</v>
      </c>
      <c r="I27" s="187" t="s">
        <v>286</v>
      </c>
      <c r="J27" s="187" t="s">
        <v>287</v>
      </c>
    </row>
    <row r="28" spans="1:10" x14ac:dyDescent="0.2">
      <c r="A28" s="72" t="s">
        <v>94</v>
      </c>
      <c r="B28" s="49">
        <f t="shared" si="3"/>
        <v>2.5548391202989507</v>
      </c>
      <c r="C28" s="49">
        <f t="shared" si="4"/>
        <v>6.6783892466101599E-2</v>
      </c>
      <c r="D28" s="42">
        <f t="shared" si="5"/>
        <v>2.4880552278328492</v>
      </c>
      <c r="I28" s="187"/>
      <c r="J28" s="187"/>
    </row>
    <row r="29" spans="1:10" x14ac:dyDescent="0.2">
      <c r="A29" s="43" t="s">
        <v>96</v>
      </c>
      <c r="B29" s="49">
        <f t="shared" si="3"/>
        <v>0.30265891692084346</v>
      </c>
      <c r="C29" s="49">
        <f t="shared" si="4"/>
        <v>4.8837497533189625E-3</v>
      </c>
      <c r="D29" s="42">
        <f t="shared" si="5"/>
        <v>0.2977751671675245</v>
      </c>
    </row>
    <row r="30" spans="1:10" x14ac:dyDescent="0.2">
      <c r="A30" s="44" t="s">
        <v>123</v>
      </c>
      <c r="B30" s="79"/>
      <c r="C30" s="79"/>
      <c r="D30" s="79"/>
    </row>
    <row r="31" spans="1:10" ht="16" thickBot="1" x14ac:dyDescent="0.25">
      <c r="A31" s="61" t="s">
        <v>86</v>
      </c>
      <c r="B31" s="50">
        <f>($J15*$B$39)*$B$4</f>
        <v>39883.340580755881</v>
      </c>
      <c r="C31" s="50">
        <f>($H15*$B$39)*$B$4</f>
        <v>4860.5885310381655</v>
      </c>
      <c r="D31" s="34">
        <f>B31-C31</f>
        <v>35022.752049717717</v>
      </c>
    </row>
    <row r="33" spans="1:3" ht="16" thickBot="1" x14ac:dyDescent="0.25"/>
    <row r="34" spans="1:3" x14ac:dyDescent="0.2">
      <c r="A34" s="212" t="s">
        <v>150</v>
      </c>
      <c r="B34" s="213"/>
      <c r="C34" s="214"/>
    </row>
    <row r="35" spans="1:3" x14ac:dyDescent="0.2">
      <c r="A35" s="46"/>
      <c r="B35" s="28" t="s">
        <v>117</v>
      </c>
      <c r="C35" s="60" t="s">
        <v>57</v>
      </c>
    </row>
    <row r="36" spans="1:3" x14ac:dyDescent="0.2">
      <c r="A36" s="64" t="s">
        <v>58</v>
      </c>
      <c r="B36" s="37" t="s">
        <v>115</v>
      </c>
      <c r="C36" s="42" t="str">
        <f>$A$4</f>
        <v>Ni</v>
      </c>
    </row>
    <row r="37" spans="1:3" x14ac:dyDescent="0.2">
      <c r="A37" s="65" t="s">
        <v>119</v>
      </c>
      <c r="B37" s="39">
        <f>154.756/1000</f>
        <v>0.154756</v>
      </c>
      <c r="C37" s="58">
        <f>VLOOKUP(C36,Atomic_Mass,2,FALSE)/1000</f>
        <v>5.8692999999999995E-2</v>
      </c>
    </row>
    <row r="38" spans="1:3" x14ac:dyDescent="0.2">
      <c r="A38" s="66" t="s">
        <v>120</v>
      </c>
      <c r="B38" s="221">
        <v>1</v>
      </c>
      <c r="C38" s="222"/>
    </row>
    <row r="39" spans="1:3" x14ac:dyDescent="0.2">
      <c r="A39" s="223" t="s">
        <v>124</v>
      </c>
      <c r="B39" s="225">
        <f>B37/(B38*C37)</f>
        <v>2.6367028436099709</v>
      </c>
      <c r="C39" s="226"/>
    </row>
    <row r="40" spans="1:3" ht="16" thickBot="1" x14ac:dyDescent="0.25">
      <c r="A40" s="224"/>
      <c r="B40" s="227"/>
      <c r="C40" s="228"/>
    </row>
  </sheetData>
  <mergeCells count="7">
    <mergeCell ref="A39:A40"/>
    <mergeCell ref="B39:C40"/>
    <mergeCell ref="A2:B2"/>
    <mergeCell ref="F2:J2"/>
    <mergeCell ref="A6:D6"/>
    <mergeCell ref="A34:C34"/>
    <mergeCell ref="B38:C38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1C7E8-E05F-B444-B180-6B973553BA64}">
  <dimension ref="A1:J44"/>
  <sheetViews>
    <sheetView workbookViewId="0">
      <selection sqref="A1:J1048576"/>
    </sheetView>
  </sheetViews>
  <sheetFormatPr baseColWidth="10" defaultRowHeight="15" x14ac:dyDescent="0.2"/>
  <cols>
    <col min="1" max="1" width="29.83203125" customWidth="1"/>
    <col min="2" max="2" width="28" bestFit="1" customWidth="1"/>
    <col min="3" max="4" width="27.5" customWidth="1"/>
    <col min="5" max="5" width="12.83203125" customWidth="1"/>
    <col min="6" max="6" width="24.5" bestFit="1" customWidth="1"/>
    <col min="7" max="7" width="18.5" customWidth="1"/>
    <col min="8" max="8" width="23.6640625" customWidth="1"/>
    <col min="9" max="9" width="34" bestFit="1" customWidth="1"/>
    <col min="10" max="10" width="41.6640625" bestFit="1" customWidth="1"/>
  </cols>
  <sheetData>
    <row r="1" spans="1:10" ht="16" thickBot="1" x14ac:dyDescent="0.25"/>
    <row r="2" spans="1:10" ht="19" x14ac:dyDescent="0.25">
      <c r="A2" s="212" t="s">
        <v>243</v>
      </c>
      <c r="B2" s="214"/>
      <c r="F2" s="215" t="s">
        <v>233</v>
      </c>
      <c r="G2" s="216"/>
      <c r="H2" s="216"/>
      <c r="I2" s="216"/>
      <c r="J2" s="217"/>
    </row>
    <row r="3" spans="1:10" ht="32" x14ac:dyDescent="0.2">
      <c r="A3" s="29" t="s">
        <v>57</v>
      </c>
      <c r="B3" s="94" t="s">
        <v>151</v>
      </c>
      <c r="F3" s="46"/>
      <c r="G3" s="110" t="s">
        <v>149</v>
      </c>
      <c r="H3" s="110" t="s">
        <v>168</v>
      </c>
      <c r="I3" s="110" t="s">
        <v>167</v>
      </c>
      <c r="J3" s="109" t="s">
        <v>170</v>
      </c>
    </row>
    <row r="4" spans="1:10" ht="33" thickBot="1" x14ac:dyDescent="0.25">
      <c r="A4" s="33" t="s">
        <v>16</v>
      </c>
      <c r="B4" s="34">
        <f>VLOOKUP(A4,NCA_Composition,4,FALSE)</f>
        <v>0.48888706101248969</v>
      </c>
      <c r="F4" s="62"/>
      <c r="G4" s="120" t="s">
        <v>148</v>
      </c>
      <c r="H4" s="121" t="s">
        <v>171</v>
      </c>
      <c r="I4" s="121" t="s">
        <v>171</v>
      </c>
      <c r="J4" s="111" t="s">
        <v>115</v>
      </c>
    </row>
    <row r="5" spans="1:10" ht="33" thickBot="1" x14ac:dyDescent="0.25">
      <c r="F5" s="62"/>
      <c r="G5" s="118" t="s">
        <v>169</v>
      </c>
      <c r="H5" s="119"/>
      <c r="I5" s="85"/>
      <c r="J5" s="71"/>
    </row>
    <row r="6" spans="1:10" x14ac:dyDescent="0.2">
      <c r="A6" s="218" t="s">
        <v>147</v>
      </c>
      <c r="B6" s="219"/>
      <c r="C6" s="219"/>
      <c r="D6" s="220"/>
      <c r="F6" s="67" t="s">
        <v>142</v>
      </c>
      <c r="G6" s="37" t="s">
        <v>83</v>
      </c>
      <c r="H6" s="95">
        <v>38.976614472241053</v>
      </c>
      <c r="I6" s="95">
        <v>256.86381498812261</v>
      </c>
      <c r="J6" s="68">
        <v>98.64911787562626</v>
      </c>
    </row>
    <row r="7" spans="1:10" x14ac:dyDescent="0.2">
      <c r="A7" s="46"/>
      <c r="B7" s="80" t="s">
        <v>164</v>
      </c>
      <c r="C7" s="80" t="s">
        <v>154</v>
      </c>
      <c r="D7" s="80" t="s">
        <v>166</v>
      </c>
      <c r="F7" s="47" t="s">
        <v>89</v>
      </c>
      <c r="G7" s="36" t="s">
        <v>83</v>
      </c>
      <c r="H7" s="41">
        <v>32.303223708504881</v>
      </c>
      <c r="I7" s="41">
        <v>216.06067119716488</v>
      </c>
      <c r="J7" s="42">
        <v>83.150625285911914</v>
      </c>
    </row>
    <row r="8" spans="1:10" x14ac:dyDescent="0.2">
      <c r="A8" s="44" t="s">
        <v>121</v>
      </c>
      <c r="B8" s="59"/>
      <c r="C8" s="59"/>
      <c r="D8" s="59"/>
      <c r="F8" s="47" t="s">
        <v>91</v>
      </c>
      <c r="G8" s="36" t="s">
        <v>83</v>
      </c>
      <c r="H8" s="41">
        <v>10.28015233937951</v>
      </c>
      <c r="I8" s="41">
        <v>72.074604408141667</v>
      </c>
      <c r="J8" s="42">
        <v>27.368177383885318</v>
      </c>
    </row>
    <row r="9" spans="1:10" x14ac:dyDescent="0.2">
      <c r="A9" s="43" t="s">
        <v>126</v>
      </c>
      <c r="B9" s="49">
        <f t="shared" ref="B9:B19" si="0">($J16)*$B$4*$B$39</f>
        <v>1.6731496463581843E-3</v>
      </c>
      <c r="C9" s="49">
        <f t="shared" ref="C9:C19" si="1">($H16*$B$43)*$B$4</f>
        <v>2.4784267746892202E-4</v>
      </c>
      <c r="D9" s="42">
        <f>B9-C9</f>
        <v>1.4253069688892623E-3</v>
      </c>
      <c r="F9" s="47" t="s">
        <v>90</v>
      </c>
      <c r="G9" s="36" t="s">
        <v>83</v>
      </c>
      <c r="H9" s="41">
        <v>10.441089744649659</v>
      </c>
      <c r="I9" s="41">
        <v>112.04440108687865</v>
      </c>
      <c r="J9" s="42">
        <v>43.43215551403518</v>
      </c>
    </row>
    <row r="10" spans="1:10" x14ac:dyDescent="0.2">
      <c r="A10" s="43" t="s">
        <v>127</v>
      </c>
      <c r="B10" s="49">
        <f t="shared" si="0"/>
        <v>8.710893071791263E-3</v>
      </c>
      <c r="C10" s="49">
        <f t="shared" si="1"/>
        <v>1.0360459826788489E-3</v>
      </c>
      <c r="D10" s="42">
        <f t="shared" ref="D10:D19" si="2">B10-C10</f>
        <v>7.6748470891124139E-3</v>
      </c>
      <c r="F10" s="47" t="s">
        <v>92</v>
      </c>
      <c r="G10" s="36" t="s">
        <v>83</v>
      </c>
      <c r="H10" s="41">
        <v>11.581981624475715</v>
      </c>
      <c r="I10" s="41">
        <v>31.940563391149546</v>
      </c>
      <c r="J10" s="42">
        <v>12.350292387991425</v>
      </c>
    </row>
    <row r="11" spans="1:10" x14ac:dyDescent="0.2">
      <c r="A11" s="43" t="s">
        <v>128</v>
      </c>
      <c r="B11" s="49">
        <f t="shared" si="0"/>
        <v>1.060613468394629E-2</v>
      </c>
      <c r="C11" s="49">
        <f t="shared" si="1"/>
        <v>2.2408771938492531E-3</v>
      </c>
      <c r="D11" s="42">
        <f>B11-C11</f>
        <v>8.3652574900970368E-3</v>
      </c>
      <c r="F11" s="47" t="s">
        <v>93</v>
      </c>
      <c r="G11" s="36" t="s">
        <v>83</v>
      </c>
      <c r="H11" s="41">
        <v>6.6733907637361733</v>
      </c>
      <c r="I11" s="41">
        <v>40.803143790957748</v>
      </c>
      <c r="J11" s="42">
        <v>15.498492589714337</v>
      </c>
    </row>
    <row r="12" spans="1:10" x14ac:dyDescent="0.2">
      <c r="A12" s="43" t="s">
        <v>129</v>
      </c>
      <c r="B12" s="49">
        <f t="shared" si="0"/>
        <v>1.2645458991762226E-2</v>
      </c>
      <c r="C12" s="49">
        <f t="shared" si="1"/>
        <v>3.6985090138491231E-4</v>
      </c>
      <c r="D12" s="42">
        <f t="shared" si="2"/>
        <v>1.2275608090377314E-2</v>
      </c>
      <c r="F12" s="47" t="s">
        <v>95</v>
      </c>
      <c r="G12" s="36" t="s">
        <v>83</v>
      </c>
      <c r="H12" s="41">
        <v>5.5457266158501302</v>
      </c>
      <c r="I12" s="41">
        <v>32.09488693044969</v>
      </c>
      <c r="J12" s="42">
        <v>12.18384342774627</v>
      </c>
    </row>
    <row r="13" spans="1:10" x14ac:dyDescent="0.2">
      <c r="A13" s="43" t="s">
        <v>130</v>
      </c>
      <c r="B13" s="49">
        <f t="shared" si="0"/>
        <v>6.444077249425903E-3</v>
      </c>
      <c r="C13" s="49">
        <f t="shared" si="1"/>
        <v>1.6280337652394288E-4</v>
      </c>
      <c r="D13" s="42">
        <f t="shared" si="2"/>
        <v>6.2812738729019603E-3</v>
      </c>
      <c r="F13" s="47" t="s">
        <v>94</v>
      </c>
      <c r="G13" s="36" t="s">
        <v>83</v>
      </c>
      <c r="H13" s="41">
        <v>1.1265618368910422</v>
      </c>
      <c r="I13" s="41">
        <v>8.7093591715030563</v>
      </c>
      <c r="J13" s="42">
        <v>3.3146491619680662</v>
      </c>
    </row>
    <row r="14" spans="1:10" x14ac:dyDescent="0.2">
      <c r="A14" s="43" t="s">
        <v>131</v>
      </c>
      <c r="B14" s="49">
        <f t="shared" si="0"/>
        <v>1.419573480158608</v>
      </c>
      <c r="C14" s="49">
        <f t="shared" si="1"/>
        <v>1.3219892848423845E-3</v>
      </c>
      <c r="D14" s="42">
        <f t="shared" si="2"/>
        <v>1.4182514908737656</v>
      </c>
      <c r="F14" s="47" t="s">
        <v>96</v>
      </c>
      <c r="G14" s="36" t="s">
        <v>83</v>
      </c>
      <c r="H14" s="41">
        <v>0.97554523057590248</v>
      </c>
      <c r="I14" s="41">
        <v>5.59973985460518</v>
      </c>
      <c r="J14" s="42">
        <v>2.1252555983619659</v>
      </c>
    </row>
    <row r="15" spans="1:10" x14ac:dyDescent="0.2">
      <c r="A15" s="43" t="s">
        <v>132</v>
      </c>
      <c r="B15" s="49">
        <f t="shared" si="0"/>
        <v>5.9457557369182035E-5</v>
      </c>
      <c r="C15" s="49">
        <f t="shared" si="1"/>
        <v>1.04300325375109E-5</v>
      </c>
      <c r="D15" s="42">
        <f t="shared" si="2"/>
        <v>4.9027524831671134E-5</v>
      </c>
      <c r="F15" s="67" t="s">
        <v>84</v>
      </c>
      <c r="G15" s="37" t="s">
        <v>85</v>
      </c>
      <c r="H15" s="95">
        <v>24813.461421870954</v>
      </c>
      <c r="I15" s="95">
        <v>141492.63931833091</v>
      </c>
      <c r="J15" s="68">
        <v>53876.662422769339</v>
      </c>
    </row>
    <row r="16" spans="1:10" x14ac:dyDescent="0.2">
      <c r="A16" s="43" t="s">
        <v>133</v>
      </c>
      <c r="B16" s="49">
        <f t="shared" si="0"/>
        <v>1.5360295267203371E-4</v>
      </c>
      <c r="C16" s="49">
        <f t="shared" si="1"/>
        <v>2.5442433135004389E-5</v>
      </c>
      <c r="D16" s="42">
        <f t="shared" si="2"/>
        <v>1.2816051953702933E-4</v>
      </c>
      <c r="F16" s="67" t="s">
        <v>70</v>
      </c>
      <c r="G16" s="37" t="s">
        <v>56</v>
      </c>
      <c r="H16" s="95">
        <v>5.0695282660096895E-4</v>
      </c>
      <c r="I16" s="95">
        <v>3.3673396275291151E-3</v>
      </c>
      <c r="J16" s="68">
        <v>1.2979711966137008E-3</v>
      </c>
    </row>
    <row r="17" spans="1:10" x14ac:dyDescent="0.2">
      <c r="A17" s="43" t="s">
        <v>134</v>
      </c>
      <c r="B17" s="49">
        <f>($J24)*$B$4*$B$39</f>
        <v>1.6814479002305677E-2</v>
      </c>
      <c r="C17" s="49">
        <f t="shared" si="1"/>
        <v>2.4650619162390587E-3</v>
      </c>
      <c r="D17" s="42">
        <f t="shared" si="2"/>
        <v>1.4349417086066619E-2</v>
      </c>
      <c r="F17" s="47" t="s">
        <v>72</v>
      </c>
      <c r="G17" s="36" t="s">
        <v>56</v>
      </c>
      <c r="H17" s="41">
        <v>2.1191928878894605E-3</v>
      </c>
      <c r="I17" s="41">
        <v>1.764612510127482E-2</v>
      </c>
      <c r="J17" s="42">
        <v>6.7576073237542514E-3</v>
      </c>
    </row>
    <row r="18" spans="1:10" x14ac:dyDescent="0.2">
      <c r="A18" s="43" t="s">
        <v>135</v>
      </c>
      <c r="B18" s="49">
        <f t="shared" si="0"/>
        <v>3.3832435736550631E-4</v>
      </c>
      <c r="C18" s="49">
        <f t="shared" si="1"/>
        <v>1.9228151189587168E-4</v>
      </c>
      <c r="D18" s="42">
        <f t="shared" si="2"/>
        <v>1.4604284546963463E-4</v>
      </c>
      <c r="F18" s="47" t="s">
        <v>73</v>
      </c>
      <c r="G18" s="36" t="s">
        <v>56</v>
      </c>
      <c r="H18" s="41">
        <v>4.5836295794132401E-3</v>
      </c>
      <c r="I18" s="41">
        <v>2.1020299056972943E-2</v>
      </c>
      <c r="J18" s="42">
        <v>8.2278697288866113E-3</v>
      </c>
    </row>
    <row r="19" spans="1:10" x14ac:dyDescent="0.2">
      <c r="A19" s="43" t="s">
        <v>136</v>
      </c>
      <c r="B19" s="49">
        <f t="shared" si="0"/>
        <v>7.2289592084354091</v>
      </c>
      <c r="C19" s="49">
        <f t="shared" si="1"/>
        <v>1.2051772424450353</v>
      </c>
      <c r="D19" s="42">
        <f t="shared" si="2"/>
        <v>6.0237819659903735</v>
      </c>
      <c r="F19" s="47" t="s">
        <v>74</v>
      </c>
      <c r="G19" s="36" t="s">
        <v>56</v>
      </c>
      <c r="H19" s="41">
        <v>7.565160358691998E-4</v>
      </c>
      <c r="I19" s="41">
        <v>2.5821414595699886E-2</v>
      </c>
      <c r="J19" s="42">
        <v>9.8099064689120743E-3</v>
      </c>
    </row>
    <row r="20" spans="1:10" x14ac:dyDescent="0.2">
      <c r="A20" s="44" t="s">
        <v>122</v>
      </c>
      <c r="B20" s="59"/>
      <c r="C20" s="59"/>
      <c r="D20" s="59"/>
      <c r="F20" s="47" t="s">
        <v>75</v>
      </c>
      <c r="G20" s="36" t="s">
        <v>56</v>
      </c>
      <c r="H20" s="41">
        <v>3.3300815158980801E-4</v>
      </c>
      <c r="I20" s="41">
        <v>1.3140539140307656E-2</v>
      </c>
      <c r="J20" s="42">
        <v>4.9990905934291247E-3</v>
      </c>
    </row>
    <row r="21" spans="1:10" x14ac:dyDescent="0.2">
      <c r="A21" s="72" t="s">
        <v>142</v>
      </c>
      <c r="B21" s="49">
        <f t="shared" ref="B21:B29" si="3">($J6)*$B$4*$B$39</f>
        <v>127.16363592486876</v>
      </c>
      <c r="C21" s="49">
        <f t="shared" ref="C21:C29" si="4">($H6*$B$43)*$B$4</f>
        <v>19.0551624975508</v>
      </c>
      <c r="D21" s="42">
        <f>B21-C21</f>
        <v>108.10847342731796</v>
      </c>
      <c r="F21" s="47" t="s">
        <v>76</v>
      </c>
      <c r="G21" s="36" t="s">
        <v>56</v>
      </c>
      <c r="H21" s="41">
        <v>2.7040791018370014E-3</v>
      </c>
      <c r="I21" s="41">
        <v>2.899936506886688</v>
      </c>
      <c r="J21" s="42">
        <v>1.1012556424544058</v>
      </c>
    </row>
    <row r="22" spans="1:10" x14ac:dyDescent="0.2">
      <c r="A22" s="72" t="s">
        <v>89</v>
      </c>
      <c r="B22" s="49">
        <f t="shared" si="3"/>
        <v>107.18530554032857</v>
      </c>
      <c r="C22" s="49">
        <f t="shared" si="4"/>
        <v>15.792628100079929</v>
      </c>
      <c r="D22" s="42">
        <f t="shared" ref="D22:D29" si="5">B22-C22</f>
        <v>91.392677440248647</v>
      </c>
      <c r="F22" s="47" t="s">
        <v>80</v>
      </c>
      <c r="G22" s="36" t="s">
        <v>56</v>
      </c>
      <c r="H22" s="41">
        <v>2.1334237228349235E-5</v>
      </c>
      <c r="I22" s="41">
        <v>1.1574265447510706E-4</v>
      </c>
      <c r="J22" s="42">
        <v>4.6125101274822665E-5</v>
      </c>
    </row>
    <row r="23" spans="1:10" x14ac:dyDescent="0.2">
      <c r="A23" s="72" t="s">
        <v>91</v>
      </c>
      <c r="B23" s="49">
        <f t="shared" si="3"/>
        <v>35.278946428688741</v>
      </c>
      <c r="C23" s="49">
        <f t="shared" si="4"/>
        <v>5.0258334639599189</v>
      </c>
      <c r="D23" s="42">
        <f t="shared" si="5"/>
        <v>30.253112964728821</v>
      </c>
      <c r="F23" s="47" t="s">
        <v>81</v>
      </c>
      <c r="G23" s="36" t="s">
        <v>56</v>
      </c>
      <c r="H23" s="41">
        <v>5.2041535078291644E-5</v>
      </c>
      <c r="I23" s="41">
        <v>2.9740350645127508E-4</v>
      </c>
      <c r="J23" s="42">
        <v>1.1915981855961023E-4</v>
      </c>
    </row>
    <row r="24" spans="1:10" x14ac:dyDescent="0.2">
      <c r="A24" s="72" t="s">
        <v>90</v>
      </c>
      <c r="B24" s="49">
        <f t="shared" si="3"/>
        <v>55.986215894827019</v>
      </c>
      <c r="C24" s="49">
        <f t="shared" si="4"/>
        <v>5.1045136790294183</v>
      </c>
      <c r="D24" s="42">
        <f t="shared" si="5"/>
        <v>50.881702215797603</v>
      </c>
      <c r="F24" s="47" t="s">
        <v>77</v>
      </c>
      <c r="G24" s="36" t="s">
        <v>56</v>
      </c>
      <c r="H24" s="41">
        <v>5.0421909533336648E-3</v>
      </c>
      <c r="I24" s="41">
        <v>3.3869387170202332E-2</v>
      </c>
      <c r="J24" s="42">
        <v>1.3044086928245066E-2</v>
      </c>
    </row>
    <row r="25" spans="1:10" x14ac:dyDescent="0.2">
      <c r="A25" s="72" t="s">
        <v>92</v>
      </c>
      <c r="B25" s="49">
        <f>($J10)*$B$4*$B$39</f>
        <v>15.920143216812818</v>
      </c>
      <c r="C25" s="49">
        <f t="shared" si="4"/>
        <v>5.6622809570905934</v>
      </c>
      <c r="D25" s="42">
        <f t="shared" si="5"/>
        <v>10.257862259722224</v>
      </c>
      <c r="F25" s="47" t="s">
        <v>78</v>
      </c>
      <c r="G25" s="36" t="s">
        <v>56</v>
      </c>
      <c r="H25" s="41">
        <v>3.9330456301636386E-4</v>
      </c>
      <c r="I25" s="41">
        <v>6.8607836328863465E-4</v>
      </c>
      <c r="J25" s="42">
        <v>2.6246024790974281E-4</v>
      </c>
    </row>
    <row r="26" spans="1:10" ht="16" thickBot="1" x14ac:dyDescent="0.25">
      <c r="A26" s="72" t="s">
        <v>93</v>
      </c>
      <c r="B26" s="49">
        <f t="shared" si="3"/>
        <v>19.978330384540183</v>
      </c>
      <c r="C26" s="49">
        <f t="shared" si="4"/>
        <v>3.2625343974708718</v>
      </c>
      <c r="D26" s="42">
        <f t="shared" si="5"/>
        <v>16.71579598706931</v>
      </c>
      <c r="F26" s="69" t="s">
        <v>68</v>
      </c>
      <c r="G26" s="74" t="s">
        <v>56</v>
      </c>
      <c r="H26" s="52">
        <v>2.4651444854136697</v>
      </c>
      <c r="I26" s="52">
        <v>14.591511103027496</v>
      </c>
      <c r="J26" s="34">
        <v>5.6079746688933358</v>
      </c>
    </row>
    <row r="27" spans="1:10" x14ac:dyDescent="0.2">
      <c r="A27" s="72" t="s">
        <v>95</v>
      </c>
      <c r="B27" s="49">
        <f t="shared" si="3"/>
        <v>15.705582200591937</v>
      </c>
      <c r="C27" s="49">
        <f t="shared" si="4"/>
        <v>2.7112339864017105</v>
      </c>
      <c r="D27" s="42">
        <f t="shared" si="5"/>
        <v>12.994348214190227</v>
      </c>
      <c r="F27" s="186" t="s">
        <v>285</v>
      </c>
    </row>
    <row r="28" spans="1:10" x14ac:dyDescent="0.2">
      <c r="A28" s="72" t="s">
        <v>94</v>
      </c>
      <c r="B28" s="49">
        <f t="shared" si="3"/>
        <v>4.272748183948246</v>
      </c>
      <c r="C28" s="49">
        <f t="shared" si="4"/>
        <v>0.55076150548649339</v>
      </c>
      <c r="D28" s="42">
        <f t="shared" si="5"/>
        <v>3.7219866784617528</v>
      </c>
    </row>
    <row r="29" spans="1:10" x14ac:dyDescent="0.2">
      <c r="A29" s="43" t="s">
        <v>96</v>
      </c>
      <c r="B29" s="49">
        <f t="shared" si="3"/>
        <v>2.7395605249924233</v>
      </c>
      <c r="C29" s="49">
        <f t="shared" si="4"/>
        <v>0.47693144066100457</v>
      </c>
      <c r="D29" s="42">
        <f t="shared" si="5"/>
        <v>2.2626290843314187</v>
      </c>
    </row>
    <row r="30" spans="1:10" x14ac:dyDescent="0.2">
      <c r="A30" s="44" t="s">
        <v>123</v>
      </c>
      <c r="B30" s="79"/>
      <c r="C30" s="79"/>
      <c r="D30" s="79"/>
    </row>
    <row r="31" spans="1:10" ht="16" thickBot="1" x14ac:dyDescent="0.25">
      <c r="A31" s="61" t="s">
        <v>86</v>
      </c>
      <c r="B31" s="50">
        <f>($J15)*$B$4*$B$39</f>
        <v>69449.706522604873</v>
      </c>
      <c r="C31" s="50">
        <f>($H15*$B$43)*$B$4</f>
        <v>12130.980228085284</v>
      </c>
      <c r="D31" s="34">
        <f>B31-C31</f>
        <v>57318.726294519591</v>
      </c>
    </row>
    <row r="33" spans="1:3" ht="16" thickBot="1" x14ac:dyDescent="0.25"/>
    <row r="34" spans="1:3" x14ac:dyDescent="0.2">
      <c r="A34" s="212" t="s">
        <v>150</v>
      </c>
      <c r="B34" s="213"/>
      <c r="C34" s="214"/>
    </row>
    <row r="35" spans="1:3" x14ac:dyDescent="0.2">
      <c r="A35" s="46"/>
      <c r="B35" s="28" t="s">
        <v>117</v>
      </c>
      <c r="C35" s="60" t="s">
        <v>57</v>
      </c>
    </row>
    <row r="36" spans="1:3" x14ac:dyDescent="0.2">
      <c r="A36" s="64" t="s">
        <v>58</v>
      </c>
      <c r="B36" s="37" t="s">
        <v>115</v>
      </c>
      <c r="C36" s="42" t="str">
        <f>$A$4</f>
        <v>Ni</v>
      </c>
    </row>
    <row r="37" spans="1:3" x14ac:dyDescent="0.2">
      <c r="A37" s="65" t="s">
        <v>119</v>
      </c>
      <c r="B37" s="39">
        <f>154.756/1000</f>
        <v>0.154756</v>
      </c>
      <c r="C37" s="58">
        <f>VLOOKUP(C36,Atomic_Mass,2,FALSE)/1000</f>
        <v>5.8692999999999995E-2</v>
      </c>
    </row>
    <row r="38" spans="1:3" x14ac:dyDescent="0.2">
      <c r="A38" s="66" t="s">
        <v>120</v>
      </c>
      <c r="B38" s="221">
        <v>1</v>
      </c>
      <c r="C38" s="222"/>
    </row>
    <row r="39" spans="1:3" x14ac:dyDescent="0.2">
      <c r="A39" s="223" t="s">
        <v>124</v>
      </c>
      <c r="B39" s="225">
        <f>B37/(B38*C37)</f>
        <v>2.6367028436099709</v>
      </c>
      <c r="C39" s="226"/>
    </row>
    <row r="40" spans="1:3" ht="16" thickBot="1" x14ac:dyDescent="0.25">
      <c r="A40" s="224"/>
      <c r="B40" s="227"/>
      <c r="C40" s="228"/>
    </row>
    <row r="41" spans="1:3" x14ac:dyDescent="0.2">
      <c r="A41" s="64" t="s">
        <v>58</v>
      </c>
      <c r="B41" s="37" t="s">
        <v>16</v>
      </c>
      <c r="C41" s="42" t="str">
        <f>$A$4</f>
        <v>Ni</v>
      </c>
    </row>
    <row r="42" spans="1:3" x14ac:dyDescent="0.2">
      <c r="A42" s="66" t="s">
        <v>153</v>
      </c>
      <c r="B42" s="229">
        <v>1</v>
      </c>
      <c r="C42" s="230"/>
    </row>
    <row r="43" spans="1:3" x14ac:dyDescent="0.2">
      <c r="A43" s="223" t="s">
        <v>124</v>
      </c>
      <c r="B43" s="225">
        <f>1/(B42)</f>
        <v>1</v>
      </c>
      <c r="C43" s="226"/>
    </row>
    <row r="44" spans="1:3" ht="16" thickBot="1" x14ac:dyDescent="0.25">
      <c r="A44" s="224"/>
      <c r="B44" s="227"/>
      <c r="C44" s="228"/>
    </row>
  </sheetData>
  <mergeCells count="10">
    <mergeCell ref="B42:C42"/>
    <mergeCell ref="A43:A44"/>
    <mergeCell ref="B43:C44"/>
    <mergeCell ref="A2:B2"/>
    <mergeCell ref="F2:J2"/>
    <mergeCell ref="A6:D6"/>
    <mergeCell ref="A34:C34"/>
    <mergeCell ref="B38:C38"/>
    <mergeCell ref="A39:A40"/>
    <mergeCell ref="B39:C40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03D96-F0CC-0647-B203-D2DFFD986C87}">
  <dimension ref="A1:N44"/>
  <sheetViews>
    <sheetView workbookViewId="0">
      <selection sqref="A1:N1048576"/>
    </sheetView>
  </sheetViews>
  <sheetFormatPr baseColWidth="10" defaultRowHeight="15" x14ac:dyDescent="0.2"/>
  <cols>
    <col min="1" max="1" width="29.83203125" customWidth="1"/>
    <col min="2" max="2" width="28" bestFit="1" customWidth="1"/>
    <col min="3" max="7" width="27.5" customWidth="1"/>
    <col min="8" max="8" width="12.83203125" customWidth="1"/>
    <col min="9" max="9" width="24.5" bestFit="1" customWidth="1"/>
    <col min="10" max="10" width="18.5" customWidth="1"/>
    <col min="11" max="11" width="31.1640625" bestFit="1" customWidth="1"/>
    <col min="12" max="12" width="37.1640625" bestFit="1" customWidth="1"/>
    <col min="13" max="13" width="37.1640625" customWidth="1"/>
    <col min="14" max="14" width="37.1640625" bestFit="1" customWidth="1"/>
  </cols>
  <sheetData>
    <row r="1" spans="1:14" ht="16" thickBot="1" x14ac:dyDescent="0.25"/>
    <row r="2" spans="1:14" ht="19" x14ac:dyDescent="0.25">
      <c r="A2" s="218" t="s">
        <v>243</v>
      </c>
      <c r="B2" s="219"/>
      <c r="C2" s="220"/>
      <c r="I2" s="215" t="s">
        <v>233</v>
      </c>
      <c r="J2" s="216"/>
      <c r="K2" s="216"/>
      <c r="L2" s="216"/>
      <c r="M2" s="216"/>
      <c r="N2" s="217"/>
    </row>
    <row r="3" spans="1:14" ht="32" x14ac:dyDescent="0.2">
      <c r="A3" s="29" t="s">
        <v>57</v>
      </c>
      <c r="B3" s="94" t="s">
        <v>151</v>
      </c>
      <c r="C3" s="94" t="s">
        <v>212</v>
      </c>
      <c r="I3" s="46"/>
      <c r="J3" s="110" t="s">
        <v>149</v>
      </c>
      <c r="K3" s="110" t="s">
        <v>163</v>
      </c>
      <c r="L3" s="110" t="s">
        <v>205</v>
      </c>
      <c r="M3" s="110" t="s">
        <v>202</v>
      </c>
      <c r="N3" s="109" t="s">
        <v>204</v>
      </c>
    </row>
    <row r="4" spans="1:14" ht="33" thickBot="1" x14ac:dyDescent="0.25">
      <c r="A4" s="33" t="s">
        <v>23</v>
      </c>
      <c r="B4" s="34">
        <f>VLOOKUP(A4,NCA_Composition,4,FALSE)</f>
        <v>9.2041154290063515E-2</v>
      </c>
      <c r="C4" s="34">
        <f>VLOOKUP(A4,LCO_Composition,4,FALSE)</f>
        <v>0.60216207379251852</v>
      </c>
      <c r="I4" s="62"/>
      <c r="J4" s="120" t="s">
        <v>148</v>
      </c>
      <c r="K4" s="121" t="s">
        <v>162</v>
      </c>
      <c r="L4" s="121" t="s">
        <v>162</v>
      </c>
      <c r="M4" s="110" t="s">
        <v>162</v>
      </c>
      <c r="N4" s="111" t="s">
        <v>162</v>
      </c>
    </row>
    <row r="5" spans="1:14" ht="33" thickBot="1" x14ac:dyDescent="0.25">
      <c r="I5" s="62"/>
      <c r="J5" s="118" t="s">
        <v>169</v>
      </c>
      <c r="K5" s="119"/>
      <c r="L5" s="85"/>
      <c r="M5" s="85"/>
      <c r="N5" s="71"/>
    </row>
    <row r="6" spans="1:14" x14ac:dyDescent="0.2">
      <c r="A6" s="218" t="s">
        <v>147</v>
      </c>
      <c r="B6" s="219"/>
      <c r="C6" s="219"/>
      <c r="D6" s="219"/>
      <c r="E6" s="219"/>
      <c r="F6" s="219"/>
      <c r="G6" s="220"/>
      <c r="I6" s="67" t="s">
        <v>142</v>
      </c>
      <c r="J6" s="37" t="s">
        <v>83</v>
      </c>
      <c r="K6" s="95">
        <v>29.966324399102721</v>
      </c>
      <c r="L6" s="95">
        <v>58.270363817743906</v>
      </c>
      <c r="M6" s="95">
        <v>64.624084392929788</v>
      </c>
      <c r="N6" s="68">
        <v>273.14053914030768</v>
      </c>
    </row>
    <row r="7" spans="1:14" x14ac:dyDescent="0.2">
      <c r="A7" s="46"/>
      <c r="B7" s="80" t="s">
        <v>164</v>
      </c>
      <c r="C7" s="80" t="s">
        <v>154</v>
      </c>
      <c r="D7" s="80" t="s">
        <v>166</v>
      </c>
      <c r="E7" s="80" t="s">
        <v>209</v>
      </c>
      <c r="F7" s="80" t="s">
        <v>210</v>
      </c>
      <c r="G7" s="80" t="s">
        <v>211</v>
      </c>
      <c r="I7" s="47" t="s">
        <v>89</v>
      </c>
      <c r="J7" s="36" t="s">
        <v>83</v>
      </c>
      <c r="K7" s="41">
        <v>29.817512414777582</v>
      </c>
      <c r="L7" s="41">
        <v>47.969267569459376</v>
      </c>
      <c r="M7" s="41">
        <v>54.292123436785225</v>
      </c>
      <c r="N7" s="42">
        <v>244.44407700744611</v>
      </c>
    </row>
    <row r="8" spans="1:14" x14ac:dyDescent="0.2">
      <c r="A8" s="44" t="s">
        <v>121</v>
      </c>
      <c r="B8" s="59"/>
      <c r="C8" s="59"/>
      <c r="D8" s="59"/>
      <c r="E8" s="59"/>
      <c r="F8" s="59"/>
      <c r="G8" s="55"/>
      <c r="I8" s="47" t="s">
        <v>91</v>
      </c>
      <c r="J8" s="36" t="s">
        <v>83</v>
      </c>
      <c r="K8" s="41">
        <v>0.20172291208518661</v>
      </c>
      <c r="L8" s="41">
        <v>1.9687274370718213</v>
      </c>
      <c r="M8" s="41">
        <v>2.0106152548818601</v>
      </c>
      <c r="N8" s="42">
        <v>51.299349085357456</v>
      </c>
    </row>
    <row r="9" spans="1:14" x14ac:dyDescent="0.2">
      <c r="A9" s="43" t="s">
        <v>126</v>
      </c>
      <c r="B9" s="49">
        <f>($N16*$B$43-((M16-L16-K16)*$B$43))*$B$4</f>
        <v>3.8313575615289811E-4</v>
      </c>
      <c r="C9" s="49">
        <f t="shared" ref="C9:C19" si="0">($K16*$B$43)*$B$4</f>
        <v>6.9529151203977715E-5</v>
      </c>
      <c r="D9" s="42">
        <f>B9-C9</f>
        <v>3.136066049489204E-4</v>
      </c>
      <c r="E9" s="42">
        <f>($N16*$B$43-((M16-L16-K16)*$B$43))*$C$4</f>
        <v>2.5065941778828881E-3</v>
      </c>
      <c r="F9" s="42">
        <f>($K16*$B$43)*$C$4</f>
        <v>4.5488149514157859E-4</v>
      </c>
      <c r="G9" s="42">
        <f>E9-F9</f>
        <v>2.0517126827413095E-3</v>
      </c>
      <c r="I9" s="47" t="s">
        <v>90</v>
      </c>
      <c r="J9" s="36" t="s">
        <v>83</v>
      </c>
      <c r="K9" s="41">
        <v>3.0985962069478665</v>
      </c>
      <c r="L9" s="41">
        <v>16.36821596477014</v>
      </c>
      <c r="M9" s="41">
        <v>16.968975457045698</v>
      </c>
      <c r="N9" s="42">
        <v>149.48329172109328</v>
      </c>
    </row>
    <row r="10" spans="1:14" x14ac:dyDescent="0.2">
      <c r="A10" s="43" t="s">
        <v>127</v>
      </c>
      <c r="B10" s="49">
        <f t="shared" ref="B10:B19" si="1">($N17*$B$43-((M17-L17-K17)*$B$43))*$B$4</f>
        <v>1.2448690784219551E-3</v>
      </c>
      <c r="C10" s="49">
        <f t="shared" si="0"/>
        <v>2.1233125293985784E-4</v>
      </c>
      <c r="D10" s="42">
        <f t="shared" ref="D10:D19" si="2">B10-C10</f>
        <v>1.0325378254820972E-3</v>
      </c>
      <c r="E10" s="42">
        <f t="shared" ref="E10:E19" si="3">($N17*$B$43-((M17-L17-K17)*$B$43))*$C$4</f>
        <v>8.1443236087671688E-3</v>
      </c>
      <c r="F10" s="42">
        <f t="shared" ref="F10:F19" si="4">($K17*$B$43)*$C$4</f>
        <v>1.3891375938016863E-3</v>
      </c>
      <c r="G10" s="42">
        <f t="shared" ref="G10:G19" si="5">E10-F10</f>
        <v>6.7551860149654827E-3</v>
      </c>
      <c r="I10" s="47" t="s">
        <v>92</v>
      </c>
      <c r="J10" s="36" t="s">
        <v>83</v>
      </c>
      <c r="K10" s="41">
        <v>26.51719329574453</v>
      </c>
      <c r="L10" s="41">
        <v>29.632324167617412</v>
      </c>
      <c r="M10" s="41">
        <v>35.312532724857668</v>
      </c>
      <c r="N10" s="42">
        <v>43.660333890000388</v>
      </c>
    </row>
    <row r="11" spans="1:14" x14ac:dyDescent="0.2">
      <c r="A11" s="43" t="s">
        <v>128</v>
      </c>
      <c r="B11" s="49">
        <f t="shared" si="1"/>
        <v>2.238091938062025E-3</v>
      </c>
      <c r="C11" s="49">
        <f t="shared" si="0"/>
        <v>4.8602428998618838E-4</v>
      </c>
      <c r="D11" s="42">
        <f t="shared" si="2"/>
        <v>1.7520676480758366E-3</v>
      </c>
      <c r="E11" s="42">
        <f t="shared" si="3"/>
        <v>1.4642298797280934E-2</v>
      </c>
      <c r="F11" s="42">
        <f t="shared" si="4"/>
        <v>3.1797232078304657E-3</v>
      </c>
      <c r="G11" s="42">
        <f t="shared" si="5"/>
        <v>1.1462575589450468E-2</v>
      </c>
      <c r="I11" s="47" t="s">
        <v>93</v>
      </c>
      <c r="J11" s="36" t="s">
        <v>83</v>
      </c>
      <c r="K11" s="41">
        <v>0.14881198432513765</v>
      </c>
      <c r="L11" s="41">
        <v>10.301096248284528</v>
      </c>
      <c r="M11" s="41">
        <v>10.331960956144558</v>
      </c>
      <c r="N11" s="42">
        <v>28.697564443856546</v>
      </c>
    </row>
    <row r="12" spans="1:14" x14ac:dyDescent="0.2">
      <c r="A12" s="43" t="s">
        <v>129</v>
      </c>
      <c r="B12" s="49">
        <f t="shared" si="1"/>
        <v>1.1524692701854361E-2</v>
      </c>
      <c r="C12" s="49">
        <f t="shared" si="0"/>
        <v>5.6961247297527507E-3</v>
      </c>
      <c r="D12" s="42">
        <f t="shared" si="2"/>
        <v>5.8285679721016099E-3</v>
      </c>
      <c r="E12" s="42">
        <f t="shared" si="3"/>
        <v>7.5398151084675361E-2</v>
      </c>
      <c r="F12" s="42">
        <f t="shared" si="4"/>
        <v>3.7265832945111779E-2</v>
      </c>
      <c r="G12" s="42">
        <f t="shared" si="5"/>
        <v>3.8132318139563581E-2</v>
      </c>
      <c r="I12" s="47" t="s">
        <v>95</v>
      </c>
      <c r="J12" s="36" t="s">
        <v>83</v>
      </c>
      <c r="K12" s="41">
        <v>7.4957147660069334E-2</v>
      </c>
      <c r="L12" s="41">
        <v>10.088350226249332</v>
      </c>
      <c r="M12" s="41">
        <v>10.103782580179347</v>
      </c>
      <c r="N12" s="42">
        <v>20.922964996114356</v>
      </c>
    </row>
    <row r="13" spans="1:14" x14ac:dyDescent="0.2">
      <c r="A13" s="43" t="s">
        <v>130</v>
      </c>
      <c r="B13" s="49">
        <f t="shared" si="1"/>
        <v>1.3130285469449849E-3</v>
      </c>
      <c r="C13" s="49">
        <f t="shared" si="0"/>
        <v>6.1330332133799055E-4</v>
      </c>
      <c r="D13" s="42">
        <f t="shared" si="2"/>
        <v>6.9972522560699435E-4</v>
      </c>
      <c r="E13" s="42">
        <f t="shared" si="3"/>
        <v>8.5902442106001071E-3</v>
      </c>
      <c r="F13" s="42">
        <f t="shared" si="4"/>
        <v>4.0124225156593146E-3</v>
      </c>
      <c r="G13" s="42">
        <f t="shared" si="5"/>
        <v>4.5778216949407926E-3</v>
      </c>
      <c r="I13" s="47" t="s">
        <v>94</v>
      </c>
      <c r="J13" s="36" t="s">
        <v>83</v>
      </c>
      <c r="K13" s="41">
        <v>7.3854836665068327E-2</v>
      </c>
      <c r="L13" s="41">
        <v>0.2127460220351968</v>
      </c>
      <c r="M13" s="41">
        <v>0.22817837596521107</v>
      </c>
      <c r="N13" s="42">
        <v>7.774599447742192</v>
      </c>
    </row>
    <row r="14" spans="1:14" x14ac:dyDescent="0.2">
      <c r="A14" s="43" t="s">
        <v>131</v>
      </c>
      <c r="B14" s="49">
        <f t="shared" si="1"/>
        <v>5.9167856825523002E-3</v>
      </c>
      <c r="C14" s="49">
        <f t="shared" si="0"/>
        <v>1.1444459734143713E-5</v>
      </c>
      <c r="D14" s="42">
        <f t="shared" si="2"/>
        <v>5.9053412228181569E-3</v>
      </c>
      <c r="E14" s="42">
        <f t="shared" si="3"/>
        <v>3.8709466045627493E-2</v>
      </c>
      <c r="F14" s="42">
        <f t="shared" si="4"/>
        <v>7.487324186775144E-5</v>
      </c>
      <c r="G14" s="42">
        <f t="shared" si="5"/>
        <v>3.8634592803759742E-2</v>
      </c>
      <c r="I14" s="47" t="s">
        <v>96</v>
      </c>
      <c r="J14" s="36" t="s">
        <v>83</v>
      </c>
      <c r="K14" s="41">
        <v>5.3671522346599651E-3</v>
      </c>
      <c r="L14" s="41">
        <v>1.5432353930014275E-2</v>
      </c>
      <c r="M14" s="41">
        <v>1.6534664925015295E-2</v>
      </c>
      <c r="N14" s="42">
        <v>1.0626277991809829</v>
      </c>
    </row>
    <row r="15" spans="1:14" x14ac:dyDescent="0.2">
      <c r="A15" s="43" t="s">
        <v>132</v>
      </c>
      <c r="B15" s="49">
        <f t="shared" si="1"/>
        <v>4.9957907562875576E-5</v>
      </c>
      <c r="C15" s="49">
        <f t="shared" si="0"/>
        <v>2.0433636440217587E-5</v>
      </c>
      <c r="D15" s="42">
        <f t="shared" si="2"/>
        <v>2.9524271122657989E-5</v>
      </c>
      <c r="E15" s="42">
        <f t="shared" si="3"/>
        <v>3.2684028630922704E-4</v>
      </c>
      <c r="F15" s="42">
        <f t="shared" si="4"/>
        <v>1.3368325276742144E-4</v>
      </c>
      <c r="G15" s="42">
        <f t="shared" si="5"/>
        <v>1.931570335418056E-4</v>
      </c>
      <c r="I15" s="67" t="s">
        <v>84</v>
      </c>
      <c r="J15" s="37" t="s">
        <v>85</v>
      </c>
      <c r="K15" s="95">
        <v>9414.2870528062085</v>
      </c>
      <c r="L15" s="95">
        <v>95979.761570131785</v>
      </c>
      <c r="M15" s="95">
        <v>96414.843719858691</v>
      </c>
      <c r="N15" s="68">
        <v>214370.71821072881</v>
      </c>
    </row>
    <row r="16" spans="1:14" x14ac:dyDescent="0.2">
      <c r="A16" s="43" t="s">
        <v>133</v>
      </c>
      <c r="B16" s="49">
        <f t="shared" si="1"/>
        <v>3.6981290344430468E-5</v>
      </c>
      <c r="C16" s="49">
        <f>($K23*$B$43)*$B$4</f>
        <v>6.1431790110165587E-6</v>
      </c>
      <c r="D16" s="42">
        <f t="shared" si="2"/>
        <v>3.0838111333413908E-5</v>
      </c>
      <c r="E16" s="42">
        <f t="shared" si="3"/>
        <v>2.41943190055468E-4</v>
      </c>
      <c r="F16" s="42">
        <f t="shared" si="4"/>
        <v>4.0190602144064563E-5</v>
      </c>
      <c r="G16" s="42">
        <f t="shared" si="5"/>
        <v>2.0175258791140343E-4</v>
      </c>
      <c r="I16" s="67" t="s">
        <v>70</v>
      </c>
      <c r="J16" s="37" t="s">
        <v>56</v>
      </c>
      <c r="K16" s="95">
        <v>7.5541372487419878E-4</v>
      </c>
      <c r="L16" s="95">
        <v>9.7543499947640232E-4</v>
      </c>
      <c r="M16" s="95">
        <v>1.1434271951145578E-3</v>
      </c>
      <c r="N16" s="68">
        <v>3.5752354811863073E-3</v>
      </c>
    </row>
    <row r="17" spans="1:14" x14ac:dyDescent="0.2">
      <c r="A17" s="43" t="s">
        <v>134</v>
      </c>
      <c r="B17" s="49">
        <f t="shared" si="1"/>
        <v>3.6918731356202859E-3</v>
      </c>
      <c r="C17" s="49">
        <f t="shared" si="0"/>
        <v>2.4626894603445949E-4</v>
      </c>
      <c r="D17" s="42">
        <f t="shared" si="2"/>
        <v>3.4456041895858263E-3</v>
      </c>
      <c r="E17" s="42">
        <f t="shared" si="3"/>
        <v>2.4153390955071921E-2</v>
      </c>
      <c r="F17" s="42">
        <f t="shared" si="4"/>
        <v>1.6111686168935554E-3</v>
      </c>
      <c r="G17" s="42">
        <f t="shared" si="5"/>
        <v>2.2542222338178364E-2</v>
      </c>
      <c r="I17" s="47" t="s">
        <v>72</v>
      </c>
      <c r="J17" s="36" t="s">
        <v>56</v>
      </c>
      <c r="K17" s="41">
        <v>2.306916450338134E-3</v>
      </c>
      <c r="L17" s="41">
        <v>3.5059001196007431E-3</v>
      </c>
      <c r="M17" s="41">
        <v>4.4251172583320937E-3</v>
      </c>
      <c r="N17" s="42">
        <v>1.2137436134856728E-2</v>
      </c>
    </row>
    <row r="18" spans="1:14" x14ac:dyDescent="0.2">
      <c r="A18" s="43" t="s">
        <v>135</v>
      </c>
      <c r="B18" s="49">
        <f t="shared" si="1"/>
        <v>4.051268739883182E-5</v>
      </c>
      <c r="C18" s="49">
        <f t="shared" si="0"/>
        <v>4.9142997096699669E-6</v>
      </c>
      <c r="D18" s="42">
        <f t="shared" si="2"/>
        <v>3.5598387689161855E-5</v>
      </c>
      <c r="E18" s="42">
        <f t="shared" si="3"/>
        <v>2.6504669619970461E-4</v>
      </c>
      <c r="F18" s="42">
        <f t="shared" si="4"/>
        <v>3.2150888667552335E-5</v>
      </c>
      <c r="G18" s="42">
        <f t="shared" si="5"/>
        <v>2.3289580753215228E-4</v>
      </c>
      <c r="I18" s="47" t="s">
        <v>73</v>
      </c>
      <c r="J18" s="36" t="s">
        <v>56</v>
      </c>
      <c r="K18" s="41">
        <v>5.2805105904528849E-3</v>
      </c>
      <c r="L18" s="41">
        <v>6.6226844579661262E-3</v>
      </c>
      <c r="M18" s="41">
        <v>9.9316016027601872E-3</v>
      </c>
      <c r="N18" s="42">
        <v>2.234461548636717E-2</v>
      </c>
    </row>
    <row r="19" spans="1:14" x14ac:dyDescent="0.2">
      <c r="A19" s="43" t="s">
        <v>136</v>
      </c>
      <c r="B19" s="49">
        <f t="shared" si="1"/>
        <v>1.6974901559330406</v>
      </c>
      <c r="C19" s="49">
        <f t="shared" si="0"/>
        <v>0.20097952579611311</v>
      </c>
      <c r="D19" s="42">
        <f t="shared" si="2"/>
        <v>1.4965106301369275</v>
      </c>
      <c r="E19" s="42">
        <f t="shared" si="3"/>
        <v>11.10551253320576</v>
      </c>
      <c r="F19" s="42">
        <f t="shared" si="4"/>
        <v>1.3148710375994235</v>
      </c>
      <c r="G19" s="42">
        <f t="shared" si="5"/>
        <v>9.7906414956063355</v>
      </c>
      <c r="I19" s="47" t="s">
        <v>74</v>
      </c>
      <c r="J19" s="36" t="s">
        <v>56</v>
      </c>
      <c r="K19" s="41">
        <v>6.1886715499043746E-2</v>
      </c>
      <c r="L19" s="41">
        <v>6.2003891157812359E-2</v>
      </c>
      <c r="M19" s="41">
        <v>6.2281012141955611E-2</v>
      </c>
      <c r="N19" s="42">
        <v>6.3602793256061343E-2</v>
      </c>
    </row>
    <row r="20" spans="1:14" x14ac:dyDescent="0.2">
      <c r="A20" s="44" t="s">
        <v>122</v>
      </c>
      <c r="B20" s="59"/>
      <c r="C20" s="59"/>
      <c r="D20" s="59"/>
      <c r="E20" s="59"/>
      <c r="F20" s="59"/>
      <c r="G20" s="59"/>
      <c r="I20" s="47" t="s">
        <v>75</v>
      </c>
      <c r="J20" s="36" t="s">
        <v>56</v>
      </c>
      <c r="K20" s="41">
        <v>6.6633597336816638E-3</v>
      </c>
      <c r="L20" s="41">
        <v>6.7518753065802465E-3</v>
      </c>
      <c r="M20" s="41">
        <v>6.9909665613959674E-3</v>
      </c>
      <c r="N20" s="42">
        <v>7.8413994940392528E-3</v>
      </c>
    </row>
    <row r="21" spans="1:14" x14ac:dyDescent="0.2">
      <c r="A21" s="72" t="s">
        <v>142</v>
      </c>
      <c r="B21" s="49">
        <f>($N6*$B$43-((M6-L6-K6)*$B$43))*$B$4</f>
        <v>27.313501817631465</v>
      </c>
      <c r="C21" s="49">
        <f t="shared" ref="C21:C29" si="6">($K6*$B$43)*$B$4</f>
        <v>2.7581350875239083</v>
      </c>
      <c r="D21" s="42">
        <f>B21-C21</f>
        <v>24.555366730107558</v>
      </c>
      <c r="E21" s="42">
        <f t="shared" ref="E21:E29" si="7">($N6*$B$43-((M6-L6-K6)*$B$43))*$C$4</f>
        <v>178.69348797178517</v>
      </c>
      <c r="F21" s="42">
        <f>($K6*$B$43)*$C$4</f>
        <v>18.04458404410304</v>
      </c>
      <c r="G21" s="42">
        <f>E21-F21</f>
        <v>160.64890392768214</v>
      </c>
      <c r="I21" s="47" t="s">
        <v>76</v>
      </c>
      <c r="J21" s="36" t="s">
        <v>56</v>
      </c>
      <c r="K21" s="41">
        <v>1.2434068023611501E-4</v>
      </c>
      <c r="L21" s="41">
        <v>5.1790759326928913E-2</v>
      </c>
      <c r="M21" s="41">
        <v>5.380920098987528E-2</v>
      </c>
      <c r="N21" s="42">
        <v>6.6178232664781719E-2</v>
      </c>
    </row>
    <row r="22" spans="1:14" x14ac:dyDescent="0.2">
      <c r="A22" s="72" t="s">
        <v>89</v>
      </c>
      <c r="B22" s="49">
        <f t="shared" ref="B22:B29" si="8">($N7*$B$43-((M7-L7-K7)*$B$43))*$B$4</f>
        <v>24.661390315410571</v>
      </c>
      <c r="C22" s="49">
        <f t="shared" si="6"/>
        <v>2.7444382607144275</v>
      </c>
      <c r="D22" s="42">
        <f t="shared" ref="D22:D29" si="9">B22-C22</f>
        <v>21.916952054696143</v>
      </c>
      <c r="E22" s="42">
        <f t="shared" si="7"/>
        <v>161.34254344675836</v>
      </c>
      <c r="F22" s="42">
        <f t="shared" ref="F22:F29" si="10">($K7*$B$43)*$C$4</f>
        <v>17.954975111016637</v>
      </c>
      <c r="G22" s="42">
        <f t="shared" ref="G22:G29" si="11">E22-F22</f>
        <v>143.38756833574172</v>
      </c>
      <c r="I22" s="47" t="s">
        <v>80</v>
      </c>
      <c r="J22" s="36" t="s">
        <v>56</v>
      </c>
      <c r="K22" s="41">
        <v>2.2200543439320535E-4</v>
      </c>
      <c r="L22" s="41">
        <v>2.3313877544271566E-4</v>
      </c>
      <c r="M22" s="41">
        <v>2.6852295838224839E-4</v>
      </c>
      <c r="N22" s="42">
        <v>3.5615668248482944E-4</v>
      </c>
    </row>
    <row r="23" spans="1:14" x14ac:dyDescent="0.2">
      <c r="A23" s="72" t="s">
        <v>91</v>
      </c>
      <c r="B23" s="49">
        <f t="shared" si="8"/>
        <v>4.7363627107183595</v>
      </c>
      <c r="C23" s="49">
        <f t="shared" si="6"/>
        <v>1.856680967507358E-2</v>
      </c>
      <c r="D23" s="42">
        <f t="shared" si="9"/>
        <v>4.7177959010432859</v>
      </c>
      <c r="E23" s="42">
        <f t="shared" si="7"/>
        <v>30.986769061278729</v>
      </c>
      <c r="F23" s="42">
        <f t="shared" si="10"/>
        <v>0.12146988707268186</v>
      </c>
      <c r="G23" s="42">
        <f t="shared" si="11"/>
        <v>30.865299174206047</v>
      </c>
      <c r="I23" s="47" t="s">
        <v>81</v>
      </c>
      <c r="J23" s="36" t="s">
        <v>56</v>
      </c>
      <c r="K23" s="41">
        <v>6.6743828436316747E-5</v>
      </c>
      <c r="L23" s="41">
        <v>9.3420415901938428E-5</v>
      </c>
      <c r="M23" s="41">
        <v>1.8485755386167099E-4</v>
      </c>
      <c r="N23" s="42">
        <v>4.2648412396589455E-4</v>
      </c>
    </row>
    <row r="24" spans="1:14" x14ac:dyDescent="0.2">
      <c r="A24" s="72" t="s">
        <v>90</v>
      </c>
      <c r="B24" s="49">
        <f t="shared" si="8"/>
        <v>13.98851849153426</v>
      </c>
      <c r="C24" s="49">
        <f t="shared" si="6"/>
        <v>0.28519837156629418</v>
      </c>
      <c r="D24" s="42">
        <f>B24-C24</f>
        <v>13.703320119967966</v>
      </c>
      <c r="E24" s="42">
        <f>($N9*$B$43-((M9-L9-K9)*$B$43))*$C$4</f>
        <v>91.517271476207711</v>
      </c>
      <c r="F24" s="42">
        <f t="shared" si="10"/>
        <v>1.8658571178213592</v>
      </c>
      <c r="G24" s="42">
        <f t="shared" si="11"/>
        <v>89.651414358386347</v>
      </c>
      <c r="I24" s="47" t="s">
        <v>77</v>
      </c>
      <c r="J24" s="36" t="s">
        <v>56</v>
      </c>
      <c r="K24" s="41">
        <v>2.6756394781659748E-3</v>
      </c>
      <c r="L24" s="41">
        <v>5.6366672729377147E-3</v>
      </c>
      <c r="M24" s="41">
        <v>6.1978538004927334E-3</v>
      </c>
      <c r="N24" s="42">
        <v>3.7996659997685145E-2</v>
      </c>
    </row>
    <row r="25" spans="1:14" x14ac:dyDescent="0.2">
      <c r="A25" s="72" t="s">
        <v>92</v>
      </c>
      <c r="B25" s="49">
        <f t="shared" si="8"/>
        <v>5.9364076551815845</v>
      </c>
      <c r="C25" s="49">
        <f t="shared" si="6"/>
        <v>2.44067307947306</v>
      </c>
      <c r="D25" s="42">
        <f t="shared" si="9"/>
        <v>3.4957345757085245</v>
      </c>
      <c r="E25" s="42">
        <f t="shared" si="7"/>
        <v>38.837839139397204</v>
      </c>
      <c r="F25" s="42">
        <f t="shared" si="10"/>
        <v>15.967648106122596</v>
      </c>
      <c r="G25" s="42">
        <f t="shared" si="11"/>
        <v>22.870191033274608</v>
      </c>
      <c r="I25" s="47" t="s">
        <v>78</v>
      </c>
      <c r="J25" s="36" t="s">
        <v>56</v>
      </c>
      <c r="K25" s="41">
        <v>5.3392417202665393E-5</v>
      </c>
      <c r="L25" s="41">
        <v>7.732061266445103E-5</v>
      </c>
      <c r="M25" s="41">
        <v>8.1544337703996444E-5</v>
      </c>
      <c r="N25" s="42">
        <v>3.9098970992686172E-4</v>
      </c>
    </row>
    <row r="26" spans="1:14" ht="16" thickBot="1" x14ac:dyDescent="0.25">
      <c r="A26" s="72" t="s">
        <v>93</v>
      </c>
      <c r="B26" s="49">
        <f t="shared" si="8"/>
        <v>2.6522129601972591</v>
      </c>
      <c r="C26" s="49">
        <f>($K11*$B$43)*$B$4</f>
        <v>1.3696826809480507E-2</v>
      </c>
      <c r="D26" s="42">
        <f t="shared" si="9"/>
        <v>2.6385161333877787</v>
      </c>
      <c r="E26" s="42">
        <f t="shared" si="7"/>
        <v>17.35160829490151</v>
      </c>
      <c r="F26" s="42">
        <f t="shared" si="10"/>
        <v>8.9608933086404649E-2</v>
      </c>
      <c r="G26" s="42">
        <f t="shared" si="11"/>
        <v>17.261999361815107</v>
      </c>
      <c r="I26" s="69" t="s">
        <v>68</v>
      </c>
      <c r="J26" s="74" t="s">
        <v>56</v>
      </c>
      <c r="K26" s="52">
        <v>2.1835832823514498</v>
      </c>
      <c r="L26" s="52">
        <v>3.6119306425921947</v>
      </c>
      <c r="M26" s="52">
        <v>4.0848727657534019</v>
      </c>
      <c r="N26" s="34">
        <v>16.732088824219979</v>
      </c>
    </row>
    <row r="27" spans="1:14" ht="16" x14ac:dyDescent="0.2">
      <c r="A27" s="72" t="s">
        <v>95</v>
      </c>
      <c r="B27" s="49">
        <f t="shared" si="8"/>
        <v>1.9312525801367519</v>
      </c>
      <c r="C27" s="49">
        <f t="shared" si="6"/>
        <v>6.8991423929235154E-3</v>
      </c>
      <c r="D27" s="42">
        <f t="shared" si="9"/>
        <v>1.9243534377438285</v>
      </c>
      <c r="E27" s="42">
        <f t="shared" si="7"/>
        <v>12.634859565183056</v>
      </c>
      <c r="F27" s="42">
        <f t="shared" si="10"/>
        <v>4.5136351480559375E-2</v>
      </c>
      <c r="G27" s="42">
        <f t="shared" si="11"/>
        <v>12.589723213702497</v>
      </c>
      <c r="I27" s="186" t="s">
        <v>285</v>
      </c>
      <c r="K27" t="s">
        <v>288</v>
      </c>
      <c r="L27" s="187" t="s">
        <v>289</v>
      </c>
      <c r="M27" s="187" t="s">
        <v>290</v>
      </c>
      <c r="N27" s="187" t="s">
        <v>287</v>
      </c>
    </row>
    <row r="28" spans="1:14" x14ac:dyDescent="0.2">
      <c r="A28" s="72" t="s">
        <v>94</v>
      </c>
      <c r="B28" s="49">
        <f t="shared" si="8"/>
        <v>0.72096038006050733</v>
      </c>
      <c r="C28" s="49">
        <f t="shared" si="6"/>
        <v>6.7976844165569938E-3</v>
      </c>
      <c r="D28" s="42">
        <f t="shared" si="9"/>
        <v>0.7141626956439503</v>
      </c>
      <c r="E28" s="42">
        <f t="shared" si="7"/>
        <v>4.7167487297184554</v>
      </c>
      <c r="F28" s="42">
        <f t="shared" si="10"/>
        <v>4.4472581605845274E-2</v>
      </c>
      <c r="G28" s="42">
        <f t="shared" si="11"/>
        <v>4.6722761481126103</v>
      </c>
    </row>
    <row r="29" spans="1:14" x14ac:dyDescent="0.2">
      <c r="A29" s="43" t="s">
        <v>96</v>
      </c>
      <c r="B29" s="49">
        <f t="shared" si="8"/>
        <v>9.8198030127889552E-2</v>
      </c>
      <c r="C29" s="49">
        <f t="shared" si="6"/>
        <v>4.9399888692859702E-4</v>
      </c>
      <c r="D29" s="42">
        <f t="shared" si="9"/>
        <v>9.7704031240960956E-2</v>
      </c>
      <c r="E29" s="42">
        <f t="shared" si="7"/>
        <v>0.64244228486966948</v>
      </c>
      <c r="F29" s="42">
        <f t="shared" si="10"/>
        <v>3.2318955199829944E-3</v>
      </c>
      <c r="G29" s="42">
        <f t="shared" si="11"/>
        <v>0.63921038934968644</v>
      </c>
    </row>
    <row r="30" spans="1:14" x14ac:dyDescent="0.2">
      <c r="A30" s="44" t="s">
        <v>123</v>
      </c>
      <c r="B30" s="79"/>
      <c r="C30" s="79"/>
      <c r="D30" s="79"/>
      <c r="E30" s="79"/>
      <c r="F30" s="79"/>
      <c r="G30" s="79"/>
    </row>
    <row r="31" spans="1:14" ht="16" thickBot="1" x14ac:dyDescent="0.25">
      <c r="A31" s="61" t="s">
        <v>86</v>
      </c>
      <c r="B31" s="50">
        <f>($N15*$B$43-((M15-L15-K15)*$B$43))*$B$4</f>
        <v>20557.384733991836</v>
      </c>
      <c r="C31" s="50">
        <f>($K15*$B$43)*$B$4</f>
        <v>866.50184715828357</v>
      </c>
      <c r="D31" s="34">
        <f>B31-C31</f>
        <v>19690.882886833551</v>
      </c>
      <c r="E31" s="34">
        <f>($N15*$B$43-((M15-L15-K15)*$B$43))*$C$4</f>
        <v>134492.85288361026</v>
      </c>
      <c r="F31" s="34">
        <f>($K15*$B$43)*$C$4</f>
        <v>5668.9266149958439</v>
      </c>
      <c r="G31" s="34">
        <f>E31-F31</f>
        <v>128823.92626861442</v>
      </c>
    </row>
    <row r="33" spans="1:13" ht="16" thickBot="1" x14ac:dyDescent="0.25"/>
    <row r="34" spans="1:13" x14ac:dyDescent="0.2">
      <c r="A34" s="212" t="s">
        <v>150</v>
      </c>
      <c r="B34" s="213"/>
      <c r="C34" s="214"/>
    </row>
    <row r="35" spans="1:13" x14ac:dyDescent="0.2">
      <c r="A35" s="46"/>
      <c r="B35" s="28" t="s">
        <v>117</v>
      </c>
      <c r="C35" s="60" t="s">
        <v>57</v>
      </c>
    </row>
    <row r="36" spans="1:13" x14ac:dyDescent="0.2">
      <c r="A36" s="64" t="s">
        <v>58</v>
      </c>
      <c r="B36" s="37" t="str">
        <f>N4</f>
        <v>Co in Cobalt Salts</v>
      </c>
      <c r="C36" s="42" t="str">
        <f>$A$4</f>
        <v>Co</v>
      </c>
    </row>
    <row r="37" spans="1:13" x14ac:dyDescent="0.2">
      <c r="A37" s="65" t="s">
        <v>119</v>
      </c>
      <c r="B37" s="39">
        <f>154.9958/1000</f>
        <v>0.15499579999999999</v>
      </c>
      <c r="C37" s="58">
        <f>VLOOKUP(C36,Atomic_Mass,2,FALSE)/1000</f>
        <v>5.8932999999999999E-2</v>
      </c>
    </row>
    <row r="38" spans="1:13" x14ac:dyDescent="0.2">
      <c r="A38" s="66" t="s">
        <v>120</v>
      </c>
      <c r="B38" s="221">
        <v>1</v>
      </c>
      <c r="C38" s="222"/>
    </row>
    <row r="39" spans="1:13" x14ac:dyDescent="0.2">
      <c r="A39" s="223" t="s">
        <v>124</v>
      </c>
      <c r="B39" s="225">
        <f>B37/(B38*C37)</f>
        <v>2.6300341065277517</v>
      </c>
      <c r="C39" s="226"/>
    </row>
    <row r="40" spans="1:13" ht="16" thickBot="1" x14ac:dyDescent="0.25">
      <c r="A40" s="224"/>
      <c r="B40" s="227"/>
      <c r="C40" s="228"/>
    </row>
    <row r="41" spans="1:13" x14ac:dyDescent="0.2">
      <c r="A41" s="64" t="s">
        <v>58</v>
      </c>
      <c r="B41" s="37" t="str">
        <f>K4</f>
        <v>Co in Cobalt Salts</v>
      </c>
      <c r="C41" s="42" t="str">
        <f>$A$4</f>
        <v>Co</v>
      </c>
    </row>
    <row r="42" spans="1:13" x14ac:dyDescent="0.2">
      <c r="A42" s="66" t="s">
        <v>153</v>
      </c>
      <c r="B42" s="229">
        <v>1</v>
      </c>
      <c r="C42" s="230"/>
    </row>
    <row r="43" spans="1:13" x14ac:dyDescent="0.2">
      <c r="A43" s="223" t="s">
        <v>124</v>
      </c>
      <c r="B43" s="225">
        <f>1/(B42)</f>
        <v>1</v>
      </c>
      <c r="C43" s="226"/>
    </row>
    <row r="44" spans="1:13" ht="16" thickBot="1" x14ac:dyDescent="0.25">
      <c r="A44" s="224"/>
      <c r="B44" s="227"/>
      <c r="C44" s="228"/>
      <c r="L44" s="40"/>
      <c r="M44" s="40"/>
    </row>
  </sheetData>
  <mergeCells count="10">
    <mergeCell ref="B42:C42"/>
    <mergeCell ref="A43:A44"/>
    <mergeCell ref="B43:C44"/>
    <mergeCell ref="A2:C2"/>
    <mergeCell ref="I2:N2"/>
    <mergeCell ref="A6:G6"/>
    <mergeCell ref="A34:C34"/>
    <mergeCell ref="B38:C38"/>
    <mergeCell ref="A39:A40"/>
    <mergeCell ref="B39:C40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54EF4-80CD-DB43-A7A4-3A3B67FF0EC2}">
  <dimension ref="A1:U70"/>
  <sheetViews>
    <sheetView workbookViewId="0">
      <selection sqref="A1:U1048576"/>
    </sheetView>
  </sheetViews>
  <sheetFormatPr baseColWidth="10" defaultRowHeight="15" x14ac:dyDescent="0.2"/>
  <cols>
    <col min="1" max="1" width="29.83203125" customWidth="1"/>
    <col min="2" max="2" width="28" bestFit="1" customWidth="1"/>
    <col min="3" max="12" width="27.5" customWidth="1"/>
    <col min="13" max="13" width="12.83203125" customWidth="1"/>
    <col min="14" max="14" width="24.5" bestFit="1" customWidth="1"/>
    <col min="15" max="15" width="18.5" customWidth="1"/>
    <col min="16" max="16" width="23.6640625" customWidth="1"/>
    <col min="17" max="17" width="34" bestFit="1" customWidth="1"/>
    <col min="18" max="18" width="21.33203125" customWidth="1"/>
    <col min="19" max="19" width="11" customWidth="1"/>
    <col min="20" max="20" width="15.1640625" customWidth="1"/>
    <col min="21" max="21" width="14.5" customWidth="1"/>
  </cols>
  <sheetData>
    <row r="1" spans="1:18" ht="16" thickBot="1" x14ac:dyDescent="0.25"/>
    <row r="2" spans="1:18" ht="19" x14ac:dyDescent="0.25">
      <c r="A2" s="212" t="s">
        <v>243</v>
      </c>
      <c r="B2" s="214"/>
      <c r="D2" s="212" t="s">
        <v>243</v>
      </c>
      <c r="E2" s="214"/>
      <c r="N2" s="215" t="s">
        <v>233</v>
      </c>
      <c r="O2" s="216"/>
      <c r="P2" s="216"/>
      <c r="Q2" s="216"/>
      <c r="R2" s="217"/>
    </row>
    <row r="3" spans="1:18" ht="32" x14ac:dyDescent="0.2">
      <c r="A3" s="29" t="s">
        <v>57</v>
      </c>
      <c r="B3" s="94" t="s">
        <v>151</v>
      </c>
      <c r="D3" s="29" t="s">
        <v>57</v>
      </c>
      <c r="E3" s="94" t="s">
        <v>151</v>
      </c>
      <c r="N3" s="46"/>
      <c r="O3" s="110" t="s">
        <v>149</v>
      </c>
      <c r="P3" s="110" t="s">
        <v>112</v>
      </c>
      <c r="Q3" s="110" t="s">
        <v>113</v>
      </c>
      <c r="R3" s="109" t="s">
        <v>114</v>
      </c>
    </row>
    <row r="4" spans="1:18" ht="33" thickBot="1" x14ac:dyDescent="0.25">
      <c r="A4" s="33" t="s">
        <v>16</v>
      </c>
      <c r="B4" s="34">
        <f>VLOOKUP(A4,NCA_Composition,4,FALSE)</f>
        <v>0.48888706101248969</v>
      </c>
      <c r="D4" s="33" t="s">
        <v>23</v>
      </c>
      <c r="E4" s="34">
        <f>VLOOKUP(D4,NCA_Composition,4,FALSE)</f>
        <v>9.2041154290063515E-2</v>
      </c>
      <c r="N4" s="62"/>
      <c r="O4" s="120" t="s">
        <v>148</v>
      </c>
      <c r="P4" s="121" t="s">
        <v>115</v>
      </c>
      <c r="Q4" s="121" t="s">
        <v>115</v>
      </c>
      <c r="R4" s="111" t="s">
        <v>115</v>
      </c>
    </row>
    <row r="5" spans="1:18" ht="33" thickBot="1" x14ac:dyDescent="0.25">
      <c r="N5" s="62"/>
      <c r="O5" s="118" t="s">
        <v>169</v>
      </c>
      <c r="P5" s="119"/>
      <c r="Q5" s="85"/>
      <c r="R5" s="71"/>
    </row>
    <row r="6" spans="1:18" ht="16" thickBot="1" x14ac:dyDescent="0.25">
      <c r="A6" s="218" t="s">
        <v>147</v>
      </c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20"/>
      <c r="N6" s="67" t="s">
        <v>142</v>
      </c>
      <c r="O6" s="37" t="s">
        <v>83</v>
      </c>
      <c r="P6" s="95">
        <v>23.833066022917048</v>
      </c>
      <c r="Q6" s="95">
        <v>116.93976421567818</v>
      </c>
      <c r="R6" s="68">
        <v>132.81634947667786</v>
      </c>
    </row>
    <row r="7" spans="1:18" ht="22" thickBot="1" x14ac:dyDescent="0.3">
      <c r="A7" s="188"/>
      <c r="B7" s="246" t="s">
        <v>291</v>
      </c>
      <c r="C7" s="247"/>
      <c r="D7" s="247"/>
      <c r="E7" s="247"/>
      <c r="F7" s="247"/>
      <c r="G7" s="247"/>
      <c r="H7" s="247"/>
      <c r="I7" s="248"/>
      <c r="J7" s="249" t="s">
        <v>292</v>
      </c>
      <c r="K7" s="250"/>
      <c r="L7" s="251"/>
      <c r="N7" s="47" t="s">
        <v>89</v>
      </c>
      <c r="O7" s="36" t="s">
        <v>83</v>
      </c>
      <c r="P7" s="41">
        <v>23.728346478391948</v>
      </c>
      <c r="Q7" s="41">
        <v>113.9458875532554</v>
      </c>
      <c r="R7" s="42">
        <v>128.24065653642862</v>
      </c>
    </row>
    <row r="8" spans="1:18" x14ac:dyDescent="0.2">
      <c r="A8" s="29"/>
      <c r="B8" s="189" t="s">
        <v>164</v>
      </c>
      <c r="C8" s="189" t="s">
        <v>154</v>
      </c>
      <c r="D8" s="189" t="s">
        <v>166</v>
      </c>
      <c r="E8" s="190" t="s">
        <v>293</v>
      </c>
      <c r="F8" s="191" t="s">
        <v>294</v>
      </c>
      <c r="G8" s="192" t="s">
        <v>295</v>
      </c>
      <c r="H8" s="193" t="s">
        <v>296</v>
      </c>
      <c r="I8" s="194" t="s">
        <v>297</v>
      </c>
      <c r="J8" s="192" t="s">
        <v>295</v>
      </c>
      <c r="K8" s="193" t="s">
        <v>154</v>
      </c>
      <c r="L8" s="194" t="s">
        <v>297</v>
      </c>
      <c r="N8" s="47" t="s">
        <v>91</v>
      </c>
      <c r="O8" s="36" t="s">
        <v>83</v>
      </c>
      <c r="P8" s="41">
        <v>0.14109580736013053</v>
      </c>
      <c r="Q8" s="41">
        <v>10.718872115389916</v>
      </c>
      <c r="R8" s="42">
        <v>16.932599194210663</v>
      </c>
    </row>
    <row r="9" spans="1:18" x14ac:dyDescent="0.2">
      <c r="A9" s="44" t="s">
        <v>121</v>
      </c>
      <c r="B9" s="59"/>
      <c r="C9" s="59"/>
      <c r="D9" s="59"/>
      <c r="E9" s="106"/>
      <c r="F9" s="55"/>
      <c r="G9" s="195"/>
      <c r="H9" s="195"/>
      <c r="I9" s="55"/>
      <c r="J9" s="195"/>
      <c r="K9" s="195"/>
      <c r="L9" s="55"/>
      <c r="N9" s="47" t="s">
        <v>90</v>
      </c>
      <c r="O9" s="36" t="s">
        <v>83</v>
      </c>
      <c r="P9" s="41">
        <v>1.6479549375265246</v>
      </c>
      <c r="Q9" s="41">
        <v>40.443790406587411</v>
      </c>
      <c r="R9" s="42">
        <v>47.727861461554149</v>
      </c>
    </row>
    <row r="10" spans="1:18" x14ac:dyDescent="0.2">
      <c r="A10" s="43" t="s">
        <v>126</v>
      </c>
      <c r="B10" s="49">
        <f t="shared" ref="B10:B20" si="0">($R16*$B$40)*$B$4</f>
        <v>2.9077990966517096E-3</v>
      </c>
      <c r="C10" s="49">
        <f t="shared" ref="C10:C20" si="1">($P16*$B$40)*$B$4</f>
        <v>3.7356351764549183E-4</v>
      </c>
      <c r="D10" s="42">
        <f>B10-C10</f>
        <v>2.5342355790062177E-3</v>
      </c>
      <c r="E10" s="107">
        <f t="shared" ref="E10:E20" si="2">($Q16*$B$45)*$B$4</f>
        <v>3.963202047023135E-4</v>
      </c>
      <c r="F10" s="42">
        <f t="shared" ref="F10:F20" si="3">E10-($P16*$B$45)*$B$4</f>
        <v>3.4194845611585094E-4</v>
      </c>
      <c r="G10">
        <f t="shared" ref="G10:G20" si="4">($Q16*$B$40)*$B$4</f>
        <v>2.7229355985700109E-3</v>
      </c>
      <c r="H10">
        <f>B10-G10</f>
        <v>1.8486349808169867E-4</v>
      </c>
      <c r="I10" s="42">
        <f>G10-C10</f>
        <v>2.349372080924519E-3</v>
      </c>
      <c r="J10">
        <f>($Q16*$B$40*$B$45/$B$50)*$E$4</f>
        <v>5.4648521105480118E-3</v>
      </c>
      <c r="K10">
        <f>($P16*$B$40*$B$45/$B$50)*$E$4</f>
        <v>7.4973105456508488E-4</v>
      </c>
      <c r="L10" s="42">
        <f>J10-K10</f>
        <v>4.7151210559829267E-3</v>
      </c>
      <c r="N10" s="47" t="s">
        <v>92</v>
      </c>
      <c r="O10" s="36" t="s">
        <v>83</v>
      </c>
      <c r="P10" s="41">
        <v>21.939295733505297</v>
      </c>
      <c r="Q10" s="41">
        <v>62.783225031278079</v>
      </c>
      <c r="R10" s="42">
        <v>63.580195880663815</v>
      </c>
    </row>
    <row r="11" spans="1:18" x14ac:dyDescent="0.2">
      <c r="A11" s="43" t="s">
        <v>127</v>
      </c>
      <c r="B11" s="49">
        <f t="shared" si="0"/>
        <v>1.5359726893650467E-2</v>
      </c>
      <c r="C11" s="49">
        <f t="shared" si="1"/>
        <v>1.4908438292645491E-3</v>
      </c>
      <c r="D11" s="42">
        <f t="shared" ref="D11:D20" si="5">B11-C11</f>
        <v>1.3868883064385917E-2</v>
      </c>
      <c r="E11" s="107">
        <f t="shared" si="2"/>
        <v>2.1328450696936905E-3</v>
      </c>
      <c r="F11" s="42">
        <f t="shared" si="3"/>
        <v>1.9158544321245898E-3</v>
      </c>
      <c r="G11">
        <f t="shared" si="4"/>
        <v>1.4653806940944951E-2</v>
      </c>
      <c r="H11">
        <f t="shared" ref="H11:H20" si="6">B11-G11</f>
        <v>7.059199527055162E-4</v>
      </c>
      <c r="I11" s="42">
        <f t="shared" ref="I11:I20" si="7">G11-C11</f>
        <v>1.3162963111680401E-2</v>
      </c>
      <c r="J11">
        <f t="shared" ref="J11:J19" si="8">($Q17*$B$40*$B$45/$B$50)*$E$4</f>
        <v>2.9409761960893142E-2</v>
      </c>
      <c r="K11">
        <f t="shared" ref="K11:K20" si="9">($P17*$B$40*$B$45/$B$50)*$E$4</f>
        <v>2.9920799636732102E-3</v>
      </c>
      <c r="L11" s="42">
        <f t="shared" ref="L11:L20" si="10">J11-K11</f>
        <v>2.6417681997219934E-2</v>
      </c>
      <c r="N11" s="47" t="s">
        <v>93</v>
      </c>
      <c r="O11" s="36" t="s">
        <v>83</v>
      </c>
      <c r="P11" s="41">
        <v>0.10471954452509687</v>
      </c>
      <c r="Q11" s="41">
        <v>2.9927743514277685</v>
      </c>
      <c r="R11" s="42">
        <v>4.5756929402492332</v>
      </c>
    </row>
    <row r="12" spans="1:18" x14ac:dyDescent="0.2">
      <c r="A12" s="43" t="s">
        <v>128</v>
      </c>
      <c r="B12" s="49">
        <f t="shared" si="0"/>
        <v>3.2018897822625396E-2</v>
      </c>
      <c r="C12" s="49">
        <f t="shared" si="1"/>
        <v>9.3903836542867884E-3</v>
      </c>
      <c r="D12" s="42">
        <f t="shared" si="5"/>
        <v>2.2628514168338609E-2</v>
      </c>
      <c r="E12" s="107">
        <f t="shared" si="2"/>
        <v>4.4441510821612816E-3</v>
      </c>
      <c r="F12" s="42">
        <f t="shared" si="3"/>
        <v>3.0773913343161065E-3</v>
      </c>
      <c r="G12">
        <f t="shared" si="4"/>
        <v>3.0533737728889881E-2</v>
      </c>
      <c r="H12">
        <f t="shared" si="6"/>
        <v>1.4851600937355151E-3</v>
      </c>
      <c r="I12" s="42">
        <f t="shared" si="7"/>
        <v>2.1143354074603091E-2</v>
      </c>
      <c r="J12">
        <f t="shared" si="8"/>
        <v>6.1280318623133601E-2</v>
      </c>
      <c r="K12">
        <f t="shared" si="9"/>
        <v>1.8846225360208517E-2</v>
      </c>
      <c r="L12" s="42">
        <f t="shared" si="10"/>
        <v>4.2434093262925084E-2</v>
      </c>
      <c r="N12" s="47" t="s">
        <v>95</v>
      </c>
      <c r="O12" s="36" t="s">
        <v>83</v>
      </c>
      <c r="P12" s="41">
        <v>5.2910927760048944E-2</v>
      </c>
      <c r="Q12" s="41">
        <v>1.5112683741463979</v>
      </c>
      <c r="R12" s="42">
        <v>2.5937377712373992</v>
      </c>
    </row>
    <row r="13" spans="1:18" x14ac:dyDescent="0.2">
      <c r="A13" s="43" t="s">
        <v>129</v>
      </c>
      <c r="B13" s="49">
        <f t="shared" si="0"/>
        <v>2.8256691182572268E-3</v>
      </c>
      <c r="C13" s="49">
        <f t="shared" si="1"/>
        <v>6.2009554621716479E-4</v>
      </c>
      <c r="D13" s="42">
        <f t="shared" si="5"/>
        <v>2.2055735720400618E-3</v>
      </c>
      <c r="E13" s="107">
        <f t="shared" si="2"/>
        <v>3.8444900512504858E-4</v>
      </c>
      <c r="F13" s="42">
        <f t="shared" si="3"/>
        <v>2.9419479788605173E-4</v>
      </c>
      <c r="G13">
        <f t="shared" si="4"/>
        <v>2.6413739937284314E-3</v>
      </c>
      <c r="H13">
        <f t="shared" si="6"/>
        <v>1.8429512452879538E-4</v>
      </c>
      <c r="I13" s="42">
        <f t="shared" si="7"/>
        <v>2.0212784475112664E-3</v>
      </c>
      <c r="J13">
        <f t="shared" si="8"/>
        <v>5.3011603550058434E-3</v>
      </c>
      <c r="K13">
        <f t="shared" si="9"/>
        <v>1.244513625759616E-3</v>
      </c>
      <c r="L13" s="42">
        <f t="shared" si="10"/>
        <v>4.0566467292462273E-3</v>
      </c>
      <c r="N13" s="47" t="s">
        <v>94</v>
      </c>
      <c r="O13" s="36" t="s">
        <v>83</v>
      </c>
      <c r="P13" s="41">
        <v>5.1808616765047923E-2</v>
      </c>
      <c r="Q13" s="41">
        <v>1.4815059772813706</v>
      </c>
      <c r="R13" s="42">
        <v>1.9819551690118333</v>
      </c>
    </row>
    <row r="14" spans="1:18" x14ac:dyDescent="0.2">
      <c r="A14" s="43" t="s">
        <v>130</v>
      </c>
      <c r="B14" s="49">
        <f t="shared" si="0"/>
        <v>2.1684871977131416E-3</v>
      </c>
      <c r="C14" s="49">
        <f t="shared" si="1"/>
        <v>5.5245909342170867E-4</v>
      </c>
      <c r="D14" s="42">
        <f t="shared" si="5"/>
        <v>1.616028104291433E-3</v>
      </c>
      <c r="E14" s="107">
        <f t="shared" si="2"/>
        <v>2.9950995170374705E-4</v>
      </c>
      <c r="F14" s="42">
        <f t="shared" si="3"/>
        <v>2.1910015387028702E-4</v>
      </c>
      <c r="G14">
        <f t="shared" si="4"/>
        <v>2.0577964482852841E-3</v>
      </c>
      <c r="H14">
        <f t="shared" si="6"/>
        <v>1.1069074942785754E-4</v>
      </c>
      <c r="I14" s="42">
        <f t="shared" si="7"/>
        <v>1.5053373548635754E-3</v>
      </c>
      <c r="J14">
        <f t="shared" si="8"/>
        <v>4.1299372887834002E-3</v>
      </c>
      <c r="K14">
        <f t="shared" si="9"/>
        <v>1.1087692431148916E-3</v>
      </c>
      <c r="L14" s="42">
        <f t="shared" si="10"/>
        <v>3.0211680456685083E-3</v>
      </c>
      <c r="N14" s="47" t="s">
        <v>96</v>
      </c>
      <c r="O14" s="36" t="s">
        <v>83</v>
      </c>
      <c r="P14" s="41">
        <v>3.788642889818505E-3</v>
      </c>
      <c r="Q14" s="41">
        <v>0.10692416651509891</v>
      </c>
      <c r="R14" s="42">
        <v>0.23479224193521719</v>
      </c>
    </row>
    <row r="15" spans="1:18" x14ac:dyDescent="0.2">
      <c r="A15" s="43" t="s">
        <v>131</v>
      </c>
      <c r="B15" s="49">
        <f t="shared" si="0"/>
        <v>0.21419057875777509</v>
      </c>
      <c r="C15" s="49">
        <f t="shared" si="1"/>
        <v>5.6769150463950886E-3</v>
      </c>
      <c r="D15" s="42">
        <f t="shared" si="5"/>
        <v>0.20851366371138</v>
      </c>
      <c r="E15" s="107">
        <f t="shared" si="2"/>
        <v>3.0730999163504569E-2</v>
      </c>
      <c r="F15" s="42">
        <f t="shared" si="3"/>
        <v>2.9904730582475145E-2</v>
      </c>
      <c r="G15">
        <f t="shared" si="4"/>
        <v>0.21113869696546247</v>
      </c>
      <c r="H15">
        <f t="shared" si="6"/>
        <v>3.0518817923126107E-3</v>
      </c>
      <c r="I15" s="42">
        <f t="shared" si="7"/>
        <v>0.20546178191906739</v>
      </c>
      <c r="J15">
        <f t="shared" si="8"/>
        <v>0.42374918978473869</v>
      </c>
      <c r="K15">
        <f t="shared" si="9"/>
        <v>1.1393402469374009E-2</v>
      </c>
      <c r="L15" s="42">
        <f t="shared" si="10"/>
        <v>0.41235578731536471</v>
      </c>
      <c r="N15" s="67" t="s">
        <v>84</v>
      </c>
      <c r="O15" s="37" t="s">
        <v>85</v>
      </c>
      <c r="P15" s="95">
        <v>3770.6752205999883</v>
      </c>
      <c r="Q15" s="95">
        <v>22621.736470510426</v>
      </c>
      <c r="R15" s="68">
        <v>30940.105932086622</v>
      </c>
    </row>
    <row r="16" spans="1:18" x14ac:dyDescent="0.2">
      <c r="A16" s="43" t="s">
        <v>132</v>
      </c>
      <c r="B16" s="49">
        <f t="shared" si="0"/>
        <v>1.9452584848104912E-4</v>
      </c>
      <c r="C16" s="49">
        <f t="shared" si="1"/>
        <v>5.4488409489539395E-5</v>
      </c>
      <c r="D16" s="42">
        <f>B16-C16</f>
        <v>1.4003743899150973E-4</v>
      </c>
      <c r="E16" s="107">
        <f t="shared" si="2"/>
        <v>2.6844629009215827E-5</v>
      </c>
      <c r="F16" s="42">
        <f t="shared" si="3"/>
        <v>1.891390247490536E-5</v>
      </c>
      <c r="G16">
        <f t="shared" si="4"/>
        <v>1.8443721791702104E-4</v>
      </c>
      <c r="H16">
        <f t="shared" si="6"/>
        <v>1.0088630564028078E-5</v>
      </c>
      <c r="I16" s="42">
        <f t="shared" si="7"/>
        <v>1.2994880842748165E-4</v>
      </c>
      <c r="J16">
        <f t="shared" si="8"/>
        <v>3.7016010225389125E-4</v>
      </c>
      <c r="K16">
        <f t="shared" si="9"/>
        <v>1.0935664426132312E-4</v>
      </c>
      <c r="L16" s="42">
        <f t="shared" si="10"/>
        <v>2.6080345799256812E-4</v>
      </c>
      <c r="N16" s="67" t="s">
        <v>70</v>
      </c>
      <c r="O16" s="37" t="s">
        <v>56</v>
      </c>
      <c r="P16" s="95">
        <v>2.8979756058576813E-4</v>
      </c>
      <c r="Q16" s="95">
        <v>2.112358559720454E-3</v>
      </c>
      <c r="R16" s="68">
        <v>2.2557692201700869E-3</v>
      </c>
    </row>
    <row r="17" spans="1:18" x14ac:dyDescent="0.2">
      <c r="A17" s="43" t="s">
        <v>133</v>
      </c>
      <c r="B17" s="49">
        <f t="shared" si="0"/>
        <v>3.8962007051500131E-4</v>
      </c>
      <c r="C17" s="49">
        <f t="shared" si="1"/>
        <v>1.0014614118101325E-4</v>
      </c>
      <c r="D17" s="42">
        <f t="shared" si="5"/>
        <v>2.8947392933398807E-4</v>
      </c>
      <c r="E17" s="107">
        <f t="shared" si="2"/>
        <v>5.2737907529661304E-5</v>
      </c>
      <c r="F17" s="42">
        <f t="shared" si="3"/>
        <v>3.8161749652901491E-5</v>
      </c>
      <c r="G17">
        <f t="shared" si="4"/>
        <v>3.6233813997565772E-4</v>
      </c>
      <c r="H17">
        <f t="shared" si="6"/>
        <v>2.728193053934359E-5</v>
      </c>
      <c r="I17" s="42">
        <f t="shared" si="7"/>
        <v>2.6219199879464448E-4</v>
      </c>
      <c r="J17">
        <f t="shared" si="8"/>
        <v>7.2720204988245215E-4</v>
      </c>
      <c r="K17">
        <f t="shared" si="9"/>
        <v>2.0099037644655032E-4</v>
      </c>
      <c r="L17" s="42">
        <f t="shared" si="10"/>
        <v>5.2621167343590183E-4</v>
      </c>
      <c r="N17" s="47" t="s">
        <v>72</v>
      </c>
      <c r="O17" s="36" t="s">
        <v>56</v>
      </c>
      <c r="P17" s="41">
        <v>1.1565446959550699E-3</v>
      </c>
      <c r="Q17" s="41">
        <v>1.1367912829246516E-2</v>
      </c>
      <c r="R17" s="42">
        <v>1.1915540931563022E-2</v>
      </c>
    </row>
    <row r="18" spans="1:18" x14ac:dyDescent="0.2">
      <c r="A18" s="43" t="s">
        <v>134</v>
      </c>
      <c r="B18" s="49">
        <f t="shared" si="0"/>
        <v>2.1025984935928627E-2</v>
      </c>
      <c r="C18" s="49">
        <f t="shared" si="1"/>
        <v>2.6804496754905122E-3</v>
      </c>
      <c r="D18" s="42">
        <f t="shared" si="5"/>
        <v>1.8345535260438115E-2</v>
      </c>
      <c r="E18" s="107">
        <f t="shared" si="2"/>
        <v>2.6244244124672277E-3</v>
      </c>
      <c r="F18" s="42">
        <f t="shared" si="3"/>
        <v>2.2342879859419216E-3</v>
      </c>
      <c r="G18">
        <f t="shared" si="4"/>
        <v>1.8031224685682759E-2</v>
      </c>
      <c r="H18">
        <f t="shared" si="6"/>
        <v>2.9947602502458683E-3</v>
      </c>
      <c r="I18" s="42">
        <f t="shared" si="7"/>
        <v>1.5350775010192247E-2</v>
      </c>
      <c r="J18">
        <f t="shared" si="8"/>
        <v>3.6188140597620988E-2</v>
      </c>
      <c r="K18">
        <f t="shared" si="9"/>
        <v>5.3795841054833631E-3</v>
      </c>
      <c r="L18" s="42">
        <f t="shared" si="10"/>
        <v>3.0808556492137623E-2</v>
      </c>
      <c r="N18" s="47" t="s">
        <v>73</v>
      </c>
      <c r="O18" s="36" t="s">
        <v>56</v>
      </c>
      <c r="P18" s="41">
        <v>7.2847324415637391E-3</v>
      </c>
      <c r="Q18" s="41">
        <v>2.3687009816079411E-2</v>
      </c>
      <c r="R18" s="42">
        <v>2.4839145268054478E-2</v>
      </c>
    </row>
    <row r="19" spans="1:18" x14ac:dyDescent="0.2">
      <c r="A19" s="43" t="s">
        <v>135</v>
      </c>
      <c r="B19" s="49">
        <f t="shared" si="0"/>
        <v>2.2308661951442454E-4</v>
      </c>
      <c r="C19" s="49">
        <f t="shared" si="1"/>
        <v>3.4773520246769757E-5</v>
      </c>
      <c r="D19" s="42">
        <f t="shared" si="5"/>
        <v>1.8831309926765479E-4</v>
      </c>
      <c r="E19" s="107">
        <f t="shared" si="2"/>
        <v>2.7651208771434178E-5</v>
      </c>
      <c r="F19" s="42">
        <f t="shared" si="3"/>
        <v>2.2589962126578766E-5</v>
      </c>
      <c r="G19">
        <f t="shared" si="4"/>
        <v>1.8997886005782521E-4</v>
      </c>
      <c r="H19">
        <f t="shared" si="6"/>
        <v>3.3107759456599327E-5</v>
      </c>
      <c r="I19" s="42">
        <f t="shared" si="7"/>
        <v>1.5520533981105546E-4</v>
      </c>
      <c r="J19">
        <f t="shared" si="8"/>
        <v>3.8128201595797581E-4</v>
      </c>
      <c r="K19">
        <f t="shared" si="9"/>
        <v>6.9789438138581682E-5</v>
      </c>
      <c r="L19" s="42">
        <f t="shared" si="10"/>
        <v>3.1149257781939413E-4</v>
      </c>
      <c r="N19" s="47" t="s">
        <v>74</v>
      </c>
      <c r="O19" s="36" t="s">
        <v>56</v>
      </c>
      <c r="P19" s="41">
        <v>4.8104851821844502E-4</v>
      </c>
      <c r="Q19" s="41">
        <v>2.0490859086073955E-3</v>
      </c>
      <c r="R19" s="42">
        <v>2.1920556446590276E-3</v>
      </c>
    </row>
    <row r="20" spans="1:18" x14ac:dyDescent="0.2">
      <c r="A20" s="43" t="s">
        <v>136</v>
      </c>
      <c r="B20" s="49">
        <f t="shared" si="0"/>
        <v>12.469365355508435</v>
      </c>
      <c r="C20" s="49">
        <f t="shared" si="1"/>
        <v>2.4407291776702169</v>
      </c>
      <c r="D20" s="42">
        <f t="shared" si="5"/>
        <v>10.028636177838218</v>
      </c>
      <c r="E20" s="107">
        <f t="shared" si="2"/>
        <v>1.6135237675847034</v>
      </c>
      <c r="F20" s="42">
        <f t="shared" si="3"/>
        <v>1.2582783890949709</v>
      </c>
      <c r="G20">
        <f t="shared" si="4"/>
        <v>11.085786830361783</v>
      </c>
      <c r="H20">
        <f t="shared" si="6"/>
        <v>1.3835785251466515</v>
      </c>
      <c r="I20" s="42">
        <f t="shared" si="7"/>
        <v>8.6450576526915661</v>
      </c>
      <c r="J20">
        <f>($Q26*$B$40*$B$45/$B$50)*$E$4</f>
        <v>22.248849950326971</v>
      </c>
      <c r="K20">
        <f t="shared" si="9"/>
        <v>4.8984720772947981</v>
      </c>
      <c r="L20" s="42">
        <f t="shared" si="10"/>
        <v>17.350377873032173</v>
      </c>
      <c r="N20" s="47" t="s">
        <v>75</v>
      </c>
      <c r="O20" s="36" t="s">
        <v>56</v>
      </c>
      <c r="P20" s="41">
        <v>4.2857851485639644E-4</v>
      </c>
      <c r="Q20" s="41">
        <v>1.5963667829604767E-3</v>
      </c>
      <c r="R20" s="42">
        <v>1.6822368094710561E-3</v>
      </c>
    </row>
    <row r="21" spans="1:18" x14ac:dyDescent="0.2">
      <c r="A21" s="44" t="s">
        <v>122</v>
      </c>
      <c r="B21" s="59"/>
      <c r="C21" s="59"/>
      <c r="D21" s="59"/>
      <c r="E21" s="106"/>
      <c r="F21" s="55"/>
      <c r="G21" s="195"/>
      <c r="H21" s="195"/>
      <c r="I21" s="55"/>
      <c r="J21" s="195"/>
      <c r="K21" s="195"/>
      <c r="L21" s="55"/>
      <c r="N21" s="47" t="s">
        <v>76</v>
      </c>
      <c r="O21" s="36" t="s">
        <v>56</v>
      </c>
      <c r="P21" s="41">
        <v>4.403952887228074E-3</v>
      </c>
      <c r="Q21" s="41">
        <v>0.16379404421369401</v>
      </c>
      <c r="R21" s="42">
        <v>0.1661615877687572</v>
      </c>
    </row>
    <row r="22" spans="1:18" x14ac:dyDescent="0.2">
      <c r="A22" s="72" t="s">
        <v>142</v>
      </c>
      <c r="B22" s="49">
        <f t="shared" ref="B22:B30" si="11">($R6*$B$40)*$B$4</f>
        <v>171.20690253932165</v>
      </c>
      <c r="C22" s="49">
        <f t="shared" ref="C22:C30" si="12">($P6*$B$40)*$B$4</f>
        <v>30.722011468289001</v>
      </c>
      <c r="D22" s="42">
        <f>B22-C22</f>
        <v>140.48489107103265</v>
      </c>
      <c r="E22" s="107">
        <f t="shared" ref="E22:E30" si="13">($Q6*$B$45)*$B$4</f>
        <v>21.940210424280977</v>
      </c>
      <c r="F22" s="42">
        <f t="shared" ref="F22:F30" si="14">E22-($P6*$B$45)*$B$4</f>
        <v>17.468656311736638</v>
      </c>
      <c r="G22">
        <f t="shared" ref="G22:G30" si="15">($Q6*$B$40)*$B$4</f>
        <v>150.74119183316714</v>
      </c>
      <c r="H22">
        <f>B22-G22</f>
        <v>20.46571070615451</v>
      </c>
      <c r="I22" s="42">
        <f>G22-C22</f>
        <v>120.01918036487814</v>
      </c>
      <c r="J22">
        <f>($Q6*$B$40*$B$45/$B$50)*$E$4</f>
        <v>302.53316338756787</v>
      </c>
      <c r="K22">
        <f>($P6*$B$40*$B$45/$B$50)*$E$4</f>
        <v>61.658178511798027</v>
      </c>
      <c r="L22" s="42">
        <f>J22-K22</f>
        <v>240.87498487576983</v>
      </c>
      <c r="N22" s="47" t="s">
        <v>80</v>
      </c>
      <c r="O22" s="36" t="s">
        <v>56</v>
      </c>
      <c r="P22" s="41">
        <v>4.2270209494204597E-5</v>
      </c>
      <c r="Q22" s="41">
        <v>1.4307996715113235E-4</v>
      </c>
      <c r="R22" s="42">
        <v>1.5090637521563959E-4</v>
      </c>
    </row>
    <row r="23" spans="1:18" x14ac:dyDescent="0.2">
      <c r="A23" s="72" t="s">
        <v>89</v>
      </c>
      <c r="B23" s="49">
        <f t="shared" si="11"/>
        <v>165.3086059940708</v>
      </c>
      <c r="C23" s="49">
        <f t="shared" si="12"/>
        <v>30.587022749474535</v>
      </c>
      <c r="D23" s="42">
        <f t="shared" ref="D23:D30" si="16">B23-C23</f>
        <v>134.72158324459627</v>
      </c>
      <c r="E23" s="107">
        <f t="shared" si="13"/>
        <v>21.378500005259166</v>
      </c>
      <c r="F23" s="42">
        <f t="shared" si="14"/>
        <v>16.926593348461171</v>
      </c>
      <c r="G23">
        <f t="shared" si="15"/>
        <v>146.8819354089558</v>
      </c>
      <c r="H23">
        <f t="shared" ref="H23:H30" si="17">B23-G23</f>
        <v>18.426670585115005</v>
      </c>
      <c r="I23" s="42">
        <f t="shared" ref="I23:I30" si="18">G23-C23</f>
        <v>116.29491265948127</v>
      </c>
      <c r="J23">
        <f t="shared" ref="J23:J30" si="19">($Q7*$B$40*$B$45/$B$50)*$E$4</f>
        <v>294.78774861313354</v>
      </c>
      <c r="K23">
        <f t="shared" ref="K23:K30" si="20">($P7*$B$40*$B$45/$B$50)*$E$4</f>
        <v>61.387260101057493</v>
      </c>
      <c r="L23" s="42">
        <f t="shared" ref="L23:L30" si="21">J23-K23</f>
        <v>233.40048851207604</v>
      </c>
      <c r="N23" s="47" t="s">
        <v>81</v>
      </c>
      <c r="O23" s="36" t="s">
        <v>56</v>
      </c>
      <c r="P23" s="41">
        <v>7.7689886847776376E-5</v>
      </c>
      <c r="Q23" s="41">
        <v>2.8108930372526005E-4</v>
      </c>
      <c r="R23" s="42">
        <v>3.0225367482927958E-4</v>
      </c>
    </row>
    <row r="24" spans="1:18" x14ac:dyDescent="0.2">
      <c r="A24" s="72" t="s">
        <v>91</v>
      </c>
      <c r="B24" s="49">
        <f t="shared" si="11"/>
        <v>21.826965365357164</v>
      </c>
      <c r="C24" s="49">
        <f t="shared" si="12"/>
        <v>0.18187953692895759</v>
      </c>
      <c r="D24" s="42">
        <f t="shared" si="16"/>
        <v>21.645085828428208</v>
      </c>
      <c r="E24" s="107">
        <f t="shared" si="13"/>
        <v>2.0110722071310843</v>
      </c>
      <c r="F24" s="42">
        <f t="shared" si="14"/>
        <v>1.9845998457044307</v>
      </c>
      <c r="G24">
        <f t="shared" si="15"/>
        <v>13.817161071071746</v>
      </c>
      <c r="H24">
        <f t="shared" si="17"/>
        <v>8.0098042942854182</v>
      </c>
      <c r="I24" s="42">
        <f t="shared" si="18"/>
        <v>13.63528153414279</v>
      </c>
      <c r="J24">
        <f t="shared" si="19"/>
        <v>27.730638168850835</v>
      </c>
      <c r="K24">
        <f t="shared" si="20"/>
        <v>0.36502691131354459</v>
      </c>
      <c r="L24" s="42">
        <f t="shared" si="21"/>
        <v>27.365611257537289</v>
      </c>
      <c r="N24" s="47" t="s">
        <v>77</v>
      </c>
      <c r="O24" s="36" t="s">
        <v>56</v>
      </c>
      <c r="P24" s="41">
        <v>2.0793994609699237E-3</v>
      </c>
      <c r="Q24" s="41">
        <v>1.398799583326444E-2</v>
      </c>
      <c r="R24" s="42">
        <v>1.631122648632859E-2</v>
      </c>
    </row>
    <row r="25" spans="1:18" x14ac:dyDescent="0.2">
      <c r="A25" s="72" t="s">
        <v>90</v>
      </c>
      <c r="B25" s="49">
        <f t="shared" si="11"/>
        <v>61.523595233984409</v>
      </c>
      <c r="C25" s="49">
        <f t="shared" si="12"/>
        <v>2.1242961539749343</v>
      </c>
      <c r="D25" s="42">
        <f t="shared" si="16"/>
        <v>59.399299080009477</v>
      </c>
      <c r="E25" s="107">
        <f t="shared" si="13"/>
        <v>7.588054224561855</v>
      </c>
      <c r="F25" s="42">
        <f t="shared" si="14"/>
        <v>7.2788653157114878</v>
      </c>
      <c r="G25">
        <f t="shared" si="15"/>
        <v>52.134064140026972</v>
      </c>
      <c r="H25">
        <f t="shared" si="17"/>
        <v>9.3895310939574372</v>
      </c>
      <c r="I25" s="42">
        <f t="shared" si="18"/>
        <v>50.00976798605204</v>
      </c>
      <c r="J25">
        <f t="shared" si="19"/>
        <v>104.63154200073397</v>
      </c>
      <c r="K25">
        <f t="shared" si="20"/>
        <v>4.2634002532324153</v>
      </c>
      <c r="L25" s="42">
        <f t="shared" si="21"/>
        <v>100.36814174750155</v>
      </c>
      <c r="N25" s="47" t="s">
        <v>78</v>
      </c>
      <c r="O25" s="36" t="s">
        <v>56</v>
      </c>
      <c r="P25" s="41">
        <v>2.6976085362963457E-5</v>
      </c>
      <c r="Q25" s="41">
        <v>1.4737898003163634E-4</v>
      </c>
      <c r="R25" s="42">
        <v>1.7306282621516009E-4</v>
      </c>
    </row>
    <row r="26" spans="1:18" ht="16" thickBot="1" x14ac:dyDescent="0.25">
      <c r="A26" s="72" t="s">
        <v>92</v>
      </c>
      <c r="B26" s="49">
        <f t="shared" si="11"/>
        <v>81.95804539472924</v>
      </c>
      <c r="C26" s="49">
        <f t="shared" si="12"/>
        <v>28.28084705857065</v>
      </c>
      <c r="D26" s="42">
        <f t="shared" si="16"/>
        <v>53.67719833615859</v>
      </c>
      <c r="E26" s="107">
        <f t="shared" si="13"/>
        <v>11.779373573566232</v>
      </c>
      <c r="F26" s="42">
        <f t="shared" si="14"/>
        <v>7.663128187045257</v>
      </c>
      <c r="G26">
        <f t="shared" si="15"/>
        <v>80.930710197857081</v>
      </c>
      <c r="H26">
        <f t="shared" si="17"/>
        <v>1.0273351968721585</v>
      </c>
      <c r="I26" s="42">
        <f t="shared" si="18"/>
        <v>52.649863139286431</v>
      </c>
      <c r="J26">
        <f t="shared" si="19"/>
        <v>162.42556844354877</v>
      </c>
      <c r="K26">
        <f t="shared" si="20"/>
        <v>56.758832936511546</v>
      </c>
      <c r="L26" s="42">
        <f t="shared" si="21"/>
        <v>105.66673550703723</v>
      </c>
      <c r="N26" s="69" t="s">
        <v>68</v>
      </c>
      <c r="O26" s="74" t="s">
        <v>56</v>
      </c>
      <c r="P26" s="52">
        <v>1.893432651553983</v>
      </c>
      <c r="Q26" s="52">
        <v>8.5999671511323488</v>
      </c>
      <c r="R26" s="34">
        <v>9.6732991616924888</v>
      </c>
    </row>
    <row r="27" spans="1:18" x14ac:dyDescent="0.2">
      <c r="A27" s="72" t="s">
        <v>93</v>
      </c>
      <c r="B27" s="49">
        <f t="shared" si="11"/>
        <v>5.8982965452508047</v>
      </c>
      <c r="C27" s="49">
        <f t="shared" si="12"/>
        <v>0.13498871881446067</v>
      </c>
      <c r="D27" s="42">
        <f t="shared" si="16"/>
        <v>5.7633078264363444</v>
      </c>
      <c r="E27" s="107">
        <f t="shared" si="13"/>
        <v>0.56150360369815855</v>
      </c>
      <c r="F27" s="42">
        <f t="shared" si="14"/>
        <v>0.54185614795181414</v>
      </c>
      <c r="G27">
        <f t="shared" si="15"/>
        <v>3.857835490329061</v>
      </c>
      <c r="H27">
        <f t="shared" si="17"/>
        <v>2.0404610549217437</v>
      </c>
      <c r="I27" s="42">
        <f t="shared" si="18"/>
        <v>3.7228467715146003</v>
      </c>
      <c r="J27">
        <f t="shared" si="19"/>
        <v>7.7425630016896365</v>
      </c>
      <c r="K27">
        <f t="shared" si="20"/>
        <v>0.27091841074052131</v>
      </c>
      <c r="L27" s="42">
        <f t="shared" si="21"/>
        <v>7.4716445909491149</v>
      </c>
      <c r="N27" s="186"/>
      <c r="P27" s="187"/>
      <c r="Q27" s="187"/>
      <c r="R27" s="187"/>
    </row>
    <row r="28" spans="1:18" x14ac:dyDescent="0.2">
      <c r="A28" s="72" t="s">
        <v>95</v>
      </c>
      <c r="B28" s="49">
        <f t="shared" si="11"/>
        <v>3.3434574249518527</v>
      </c>
      <c r="C28" s="49">
        <f t="shared" si="12"/>
        <v>6.8204826348359088E-2</v>
      </c>
      <c r="D28" s="42">
        <f t="shared" si="16"/>
        <v>3.2752525986034935</v>
      </c>
      <c r="E28" s="107">
        <f t="shared" si="13"/>
        <v>0.2835438087182966</v>
      </c>
      <c r="F28" s="42">
        <f t="shared" si="14"/>
        <v>0.27361667318330152</v>
      </c>
      <c r="G28">
        <f t="shared" si="15"/>
        <v>1.9481003525750065</v>
      </c>
      <c r="H28">
        <f t="shared" si="17"/>
        <v>1.3953570723768463</v>
      </c>
      <c r="I28" s="42">
        <f t="shared" si="18"/>
        <v>1.8798955262266475</v>
      </c>
      <c r="J28">
        <f t="shared" si="19"/>
        <v>3.9097804328974179</v>
      </c>
      <c r="K28">
        <f t="shared" si="20"/>
        <v>0.13688509174257923</v>
      </c>
      <c r="L28" s="42">
        <f t="shared" si="21"/>
        <v>3.7728953411548387</v>
      </c>
      <c r="Q28" s="187"/>
      <c r="R28" s="187"/>
    </row>
    <row r="29" spans="1:18" x14ac:dyDescent="0.2">
      <c r="A29" s="72" t="s">
        <v>94</v>
      </c>
      <c r="B29" s="49">
        <f t="shared" si="11"/>
        <v>2.5548391202989507</v>
      </c>
      <c r="C29" s="49">
        <f t="shared" si="12"/>
        <v>6.6783892466101599E-2</v>
      </c>
      <c r="D29" s="42">
        <f t="shared" si="16"/>
        <v>2.4880552278328492</v>
      </c>
      <c r="E29" s="107">
        <f t="shared" si="13"/>
        <v>0.27795979497986195</v>
      </c>
      <c r="F29" s="42">
        <f t="shared" si="14"/>
        <v>0.26823947476851262</v>
      </c>
      <c r="G29">
        <f t="shared" si="15"/>
        <v>1.9097351377540546</v>
      </c>
      <c r="H29">
        <f t="shared" si="17"/>
        <v>0.64510398254489609</v>
      </c>
      <c r="I29" s="42">
        <f t="shared" si="18"/>
        <v>1.8429512452879531</v>
      </c>
      <c r="J29">
        <f t="shared" si="19"/>
        <v>3.8327825687922181</v>
      </c>
      <c r="K29">
        <f t="shared" si="20"/>
        <v>0.13403331899794213</v>
      </c>
      <c r="L29" s="42">
        <f t="shared" si="21"/>
        <v>3.6987492497942762</v>
      </c>
    </row>
    <row r="30" spans="1:18" x14ac:dyDescent="0.2">
      <c r="A30" s="43" t="s">
        <v>96</v>
      </c>
      <c r="B30" s="49">
        <f t="shared" si="11"/>
        <v>0.30265891692084346</v>
      </c>
      <c r="C30" s="49">
        <f t="shared" si="12"/>
        <v>4.8837497533189625E-3</v>
      </c>
      <c r="D30" s="42">
        <f t="shared" si="16"/>
        <v>0.2977751671675245</v>
      </c>
      <c r="E30" s="107">
        <f t="shared" si="13"/>
        <v>2.0061086393635866E-2</v>
      </c>
      <c r="F30" s="42">
        <f t="shared" si="14"/>
        <v>1.9350262126265491E-2</v>
      </c>
      <c r="G30">
        <f t="shared" si="15"/>
        <v>0.13783058657897565</v>
      </c>
      <c r="H30">
        <f t="shared" si="17"/>
        <v>0.16482833034186781</v>
      </c>
      <c r="I30" s="42">
        <f t="shared" si="18"/>
        <v>0.13294683682565669</v>
      </c>
      <c r="J30">
        <f t="shared" si="19"/>
        <v>0.27662195622979546</v>
      </c>
      <c r="K30">
        <f t="shared" si="20"/>
        <v>9.8015429233175994E-3</v>
      </c>
      <c r="L30" s="42">
        <f t="shared" si="21"/>
        <v>0.26682041330647788</v>
      </c>
    </row>
    <row r="31" spans="1:18" x14ac:dyDescent="0.2">
      <c r="A31" s="44" t="s">
        <v>123</v>
      </c>
      <c r="B31" s="79"/>
      <c r="C31" s="79"/>
      <c r="D31" s="79"/>
      <c r="E31" s="196"/>
      <c r="F31" s="197"/>
      <c r="G31" s="198"/>
      <c r="H31" s="198"/>
      <c r="I31" s="197"/>
      <c r="J31" s="198"/>
      <c r="K31" s="198"/>
      <c r="L31" s="197"/>
    </row>
    <row r="32" spans="1:18" ht="16" thickBot="1" x14ac:dyDescent="0.25">
      <c r="A32" s="61" t="s">
        <v>86</v>
      </c>
      <c r="B32" s="50">
        <f>($R15*$B$40)*$B$4</f>
        <v>39883.340580755881</v>
      </c>
      <c r="C32" s="50">
        <f>($P15*$B$40)*$B$4</f>
        <v>4860.5885310381655</v>
      </c>
      <c r="D32" s="34">
        <f>B32-C32</f>
        <v>35022.752049717717</v>
      </c>
      <c r="E32" s="108">
        <f>($Q15*$B$45)*$B$4</f>
        <v>4244.2847533900476</v>
      </c>
      <c r="F32" s="34">
        <f>E32-($P15*$B$45)*$B$4</f>
        <v>3536.8315757950968</v>
      </c>
      <c r="G32" s="45">
        <f>($Q15*$B$40)*$B$4</f>
        <v>29160.54722507625</v>
      </c>
      <c r="H32" s="45">
        <f>B32-G32</f>
        <v>10722.793355679631</v>
      </c>
      <c r="I32" s="34">
        <f>G32-C32</f>
        <v>24299.958694038083</v>
      </c>
      <c r="J32" s="45">
        <f>($Q15*$B$40*$B$45/$B$50)*$E$4</f>
        <v>58524.365442716349</v>
      </c>
      <c r="K32" s="45">
        <f>($P15*$B$40*$B$45/$B$50)*$E$4</f>
        <v>9755.0590275800132</v>
      </c>
      <c r="L32" s="34">
        <f>J32-K32</f>
        <v>48769.306415136336</v>
      </c>
    </row>
    <row r="34" spans="1:12" ht="16" thickBot="1" x14ac:dyDescent="0.25"/>
    <row r="35" spans="1:12" x14ac:dyDescent="0.2">
      <c r="A35" s="212" t="s">
        <v>150</v>
      </c>
      <c r="B35" s="213"/>
      <c r="C35" s="214"/>
    </row>
    <row r="36" spans="1:12" x14ac:dyDescent="0.2">
      <c r="A36" s="46"/>
      <c r="B36" s="28" t="s">
        <v>117</v>
      </c>
      <c r="C36" s="60" t="s">
        <v>57</v>
      </c>
    </row>
    <row r="37" spans="1:12" x14ac:dyDescent="0.2">
      <c r="A37" s="64" t="s">
        <v>58</v>
      </c>
      <c r="B37" s="37" t="s">
        <v>115</v>
      </c>
      <c r="C37" s="42" t="str">
        <f>$A$4</f>
        <v>Ni</v>
      </c>
    </row>
    <row r="38" spans="1:12" x14ac:dyDescent="0.2">
      <c r="A38" s="65" t="s">
        <v>119</v>
      </c>
      <c r="B38" s="39">
        <f>154.756/1000</f>
        <v>0.154756</v>
      </c>
      <c r="C38" s="58">
        <f>VLOOKUP(C37,Atomic_Mass,2,FALSE)/1000</f>
        <v>5.8692999999999995E-2</v>
      </c>
    </row>
    <row r="39" spans="1:12" x14ac:dyDescent="0.2">
      <c r="A39" s="66" t="s">
        <v>120</v>
      </c>
      <c r="B39" s="221">
        <v>1</v>
      </c>
      <c r="C39" s="222"/>
      <c r="I39" s="199"/>
      <c r="J39" s="199"/>
      <c r="K39" s="199"/>
      <c r="L39" s="199"/>
    </row>
    <row r="40" spans="1:12" x14ac:dyDescent="0.2">
      <c r="A40" s="223" t="s">
        <v>124</v>
      </c>
      <c r="B40" s="225">
        <f>B38/(B39*C38)</f>
        <v>2.6367028436099709</v>
      </c>
      <c r="C40" s="226"/>
      <c r="I40" s="199"/>
      <c r="J40" s="199"/>
      <c r="K40" s="199"/>
      <c r="L40" s="199"/>
    </row>
    <row r="41" spans="1:12" ht="16" thickBot="1" x14ac:dyDescent="0.25">
      <c r="A41" s="224"/>
      <c r="B41" s="227"/>
      <c r="C41" s="228"/>
      <c r="I41" s="199"/>
      <c r="J41" s="199"/>
      <c r="K41" s="199"/>
      <c r="L41" s="199"/>
    </row>
    <row r="42" spans="1:12" x14ac:dyDescent="0.2">
      <c r="A42" s="46"/>
      <c r="B42" s="28" t="s">
        <v>298</v>
      </c>
      <c r="C42" s="60" t="s">
        <v>299</v>
      </c>
    </row>
    <row r="43" spans="1:12" x14ac:dyDescent="0.2">
      <c r="A43" s="64" t="s">
        <v>58</v>
      </c>
      <c r="B43" s="37" t="s">
        <v>187</v>
      </c>
      <c r="C43" s="42" t="s">
        <v>300</v>
      </c>
    </row>
    <row r="44" spans="1:12" x14ac:dyDescent="0.2">
      <c r="A44" s="66" t="s">
        <v>153</v>
      </c>
      <c r="B44" s="221">
        <f>30000/78172</f>
        <v>0.38376912449470396</v>
      </c>
      <c r="C44" s="222"/>
    </row>
    <row r="45" spans="1:12" x14ac:dyDescent="0.2">
      <c r="A45" s="223" t="s">
        <v>124</v>
      </c>
      <c r="B45" s="225">
        <f>B44</f>
        <v>0.38376912449470396</v>
      </c>
      <c r="C45" s="226"/>
    </row>
    <row r="46" spans="1:12" ht="16" thickBot="1" x14ac:dyDescent="0.25">
      <c r="A46" s="224"/>
      <c r="B46" s="227"/>
      <c r="C46" s="228"/>
    </row>
    <row r="47" spans="1:12" x14ac:dyDescent="0.2">
      <c r="A47" s="86"/>
      <c r="B47" s="28" t="s">
        <v>298</v>
      </c>
      <c r="C47" s="60" t="s">
        <v>299</v>
      </c>
    </row>
    <row r="48" spans="1:12" x14ac:dyDescent="0.2">
      <c r="A48" s="64" t="s">
        <v>58</v>
      </c>
      <c r="B48" s="37" t="s">
        <v>187</v>
      </c>
      <c r="C48" s="42" t="s">
        <v>301</v>
      </c>
    </row>
    <row r="49" spans="1:3" x14ac:dyDescent="0.2">
      <c r="A49" s="66" t="s">
        <v>153</v>
      </c>
      <c r="B49" s="221">
        <f>0.036</f>
        <v>3.5999999999999997E-2</v>
      </c>
      <c r="C49" s="222"/>
    </row>
    <row r="50" spans="1:3" x14ac:dyDescent="0.2">
      <c r="A50" s="223" t="s">
        <v>124</v>
      </c>
      <c r="B50" s="225">
        <f>B49</f>
        <v>3.5999999999999997E-2</v>
      </c>
      <c r="C50" s="226"/>
    </row>
    <row r="51" spans="1:3" ht="16" thickBot="1" x14ac:dyDescent="0.25">
      <c r="A51" s="224"/>
      <c r="B51" s="227"/>
      <c r="C51" s="228"/>
    </row>
    <row r="70" spans="21:21" x14ac:dyDescent="0.2">
      <c r="U70" s="40"/>
    </row>
  </sheetData>
  <mergeCells count="16">
    <mergeCell ref="A2:B2"/>
    <mergeCell ref="D2:E2"/>
    <mergeCell ref="N2:R2"/>
    <mergeCell ref="A6:L6"/>
    <mergeCell ref="B7:I7"/>
    <mergeCell ref="J7:L7"/>
    <mergeCell ref="B49:C49"/>
    <mergeCell ref="A50:A51"/>
    <mergeCell ref="B50:C51"/>
    <mergeCell ref="A35:C35"/>
    <mergeCell ref="B39:C39"/>
    <mergeCell ref="A40:A41"/>
    <mergeCell ref="B40:C41"/>
    <mergeCell ref="B44:C44"/>
    <mergeCell ref="A45:A46"/>
    <mergeCell ref="B45:C46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201E6-E253-B74B-A0A1-6F474498F425}">
  <dimension ref="A1:I20"/>
  <sheetViews>
    <sheetView zoomScale="120" zoomScaleNormal="120" workbookViewId="0"/>
  </sheetViews>
  <sheetFormatPr baseColWidth="10" defaultRowHeight="15" x14ac:dyDescent="0.2"/>
  <sheetData>
    <row r="1" spans="1:9" x14ac:dyDescent="0.2">
      <c r="A1" s="27" t="s">
        <v>324</v>
      </c>
    </row>
    <row r="2" spans="1:9" x14ac:dyDescent="0.2">
      <c r="B2" t="s">
        <v>14</v>
      </c>
      <c r="C2" t="s">
        <v>332</v>
      </c>
      <c r="D2" t="s">
        <v>16</v>
      </c>
      <c r="E2" t="s">
        <v>23</v>
      </c>
      <c r="F2" t="s">
        <v>20</v>
      </c>
      <c r="G2" t="s">
        <v>320</v>
      </c>
      <c r="H2" t="s">
        <v>321</v>
      </c>
      <c r="I2" t="s">
        <v>322</v>
      </c>
    </row>
    <row r="3" spans="1:9" x14ac:dyDescent="0.2">
      <c r="A3" t="s">
        <v>314</v>
      </c>
      <c r="B3">
        <v>41.612810000000003</v>
      </c>
      <c r="C3" t="s">
        <v>315</v>
      </c>
      <c r="D3">
        <v>127.53431999999999</v>
      </c>
      <c r="E3">
        <v>24.55537</v>
      </c>
      <c r="F3">
        <v>0.21326000000000001</v>
      </c>
    </row>
    <row r="4" spans="1:9" x14ac:dyDescent="0.2">
      <c r="A4" t="s">
        <v>330</v>
      </c>
      <c r="B4">
        <v>41.612810000000003</v>
      </c>
      <c r="C4">
        <v>302.53316000000001</v>
      </c>
      <c r="F4">
        <v>0.21326000000000001</v>
      </c>
    </row>
    <row r="5" spans="1:9" x14ac:dyDescent="0.2">
      <c r="A5" t="s">
        <v>331</v>
      </c>
      <c r="G5">
        <v>139.75217000000001</v>
      </c>
      <c r="H5">
        <v>4.4521899999999999</v>
      </c>
    </row>
    <row r="6" spans="1:9" x14ac:dyDescent="0.2">
      <c r="A6" t="s">
        <v>333</v>
      </c>
      <c r="G6">
        <v>38.733849999999997</v>
      </c>
      <c r="H6">
        <v>3.1781299999999999</v>
      </c>
      <c r="I6">
        <v>2.4507099999999999</v>
      </c>
    </row>
    <row r="8" spans="1:9" x14ac:dyDescent="0.2">
      <c r="A8" s="27" t="s">
        <v>325</v>
      </c>
    </row>
    <row r="9" spans="1:9" x14ac:dyDescent="0.2">
      <c r="B9" t="s">
        <v>14</v>
      </c>
      <c r="C9" t="s">
        <v>332</v>
      </c>
      <c r="D9" t="s">
        <v>16</v>
      </c>
      <c r="E9" t="s">
        <v>23</v>
      </c>
      <c r="F9" t="s">
        <v>20</v>
      </c>
      <c r="G9" t="s">
        <v>320</v>
      </c>
      <c r="H9" t="s">
        <v>321</v>
      </c>
      <c r="I9" t="s">
        <v>322</v>
      </c>
    </row>
    <row r="10" spans="1:9" x14ac:dyDescent="0.2">
      <c r="A10" t="s">
        <v>314</v>
      </c>
      <c r="B10">
        <v>3.9979499999999999</v>
      </c>
      <c r="D10">
        <v>8.8964499999999997</v>
      </c>
      <c r="E10">
        <v>1.5932599999999999</v>
      </c>
      <c r="F10">
        <v>1.4710000000000001E-2</v>
      </c>
    </row>
    <row r="11" spans="1:9" x14ac:dyDescent="0.2">
      <c r="A11" t="s">
        <v>330</v>
      </c>
      <c r="B11">
        <v>3.9979499999999999</v>
      </c>
      <c r="C11">
        <v>23.26718</v>
      </c>
      <c r="F11">
        <v>1.4710000000000001E-2</v>
      </c>
    </row>
    <row r="12" spans="1:9" x14ac:dyDescent="0.2">
      <c r="A12" t="s">
        <v>331</v>
      </c>
      <c r="G12">
        <v>9.8902699999999992</v>
      </c>
      <c r="H12">
        <v>0.56386000000000003</v>
      </c>
    </row>
    <row r="13" spans="1:9" x14ac:dyDescent="0.2">
      <c r="A13" t="s">
        <v>333</v>
      </c>
      <c r="G13">
        <v>5.9250999999999996</v>
      </c>
      <c r="H13">
        <v>0.4289</v>
      </c>
      <c r="I13">
        <v>0.49937999999999999</v>
      </c>
    </row>
    <row r="15" spans="1:9" x14ac:dyDescent="0.2">
      <c r="A15" s="27" t="s">
        <v>327</v>
      </c>
    </row>
    <row r="16" spans="1:9" x14ac:dyDescent="0.2">
      <c r="B16" t="s">
        <v>14</v>
      </c>
      <c r="C16" t="s">
        <v>332</v>
      </c>
      <c r="D16" t="s">
        <v>16</v>
      </c>
      <c r="E16" t="s">
        <v>23</v>
      </c>
      <c r="F16" t="s">
        <v>20</v>
      </c>
      <c r="G16" t="s">
        <v>320</v>
      </c>
      <c r="H16" t="s">
        <v>321</v>
      </c>
      <c r="I16" t="s">
        <v>322</v>
      </c>
    </row>
    <row r="17" spans="1:9" x14ac:dyDescent="0.2">
      <c r="A17" t="s">
        <v>314</v>
      </c>
      <c r="B17">
        <v>13.60516</v>
      </c>
      <c r="D17">
        <v>43.941139999999997</v>
      </c>
      <c r="E17">
        <v>19.69088</v>
      </c>
      <c r="F17">
        <v>7.954E-2</v>
      </c>
    </row>
    <row r="18" spans="1:9" x14ac:dyDescent="0.2">
      <c r="A18" t="s">
        <v>330</v>
      </c>
      <c r="B18">
        <v>13.60516</v>
      </c>
      <c r="C18">
        <v>58.524369999999998</v>
      </c>
      <c r="F18">
        <v>7.954E-2</v>
      </c>
    </row>
    <row r="19" spans="1:9" x14ac:dyDescent="0.2">
      <c r="A19" t="s">
        <v>331</v>
      </c>
      <c r="G19">
        <v>21.7759</v>
      </c>
      <c r="H19">
        <v>1.56514</v>
      </c>
    </row>
    <row r="20" spans="1:9" x14ac:dyDescent="0.2">
      <c r="A20" t="s">
        <v>333</v>
      </c>
      <c r="G20">
        <v>17.788789999999999</v>
      </c>
      <c r="H20">
        <v>1.0044299999999999</v>
      </c>
      <c r="I20">
        <v>1.24827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2C11B-E0FF-BC43-9B96-1D96DEDB6596}">
  <dimension ref="A1:M40"/>
  <sheetViews>
    <sheetView workbookViewId="0">
      <selection sqref="A1:N1048576"/>
    </sheetView>
  </sheetViews>
  <sheetFormatPr baseColWidth="10" defaultRowHeight="15" x14ac:dyDescent="0.2"/>
  <cols>
    <col min="1" max="1" width="29.83203125" customWidth="1"/>
    <col min="2" max="2" width="28" bestFit="1" customWidth="1"/>
    <col min="3" max="7" width="27.5" customWidth="1"/>
    <col min="8" max="8" width="12.83203125" customWidth="1"/>
    <col min="9" max="9" width="24.5" bestFit="1" customWidth="1"/>
    <col min="10" max="10" width="18.5" customWidth="1"/>
    <col min="11" max="11" width="35.6640625" bestFit="1" customWidth="1"/>
    <col min="12" max="12" width="34" bestFit="1" customWidth="1"/>
    <col min="13" max="13" width="40" bestFit="1" customWidth="1"/>
    <col min="14" max="14" width="11" customWidth="1"/>
  </cols>
  <sheetData>
    <row r="1" spans="1:13" ht="16" thickBot="1" x14ac:dyDescent="0.25"/>
    <row r="2" spans="1:13" ht="19" x14ac:dyDescent="0.25">
      <c r="A2" s="218" t="s">
        <v>243</v>
      </c>
      <c r="B2" s="219"/>
      <c r="C2" s="220"/>
      <c r="I2" s="215" t="s">
        <v>233</v>
      </c>
      <c r="J2" s="216"/>
      <c r="K2" s="216"/>
      <c r="L2" s="216"/>
      <c r="M2" s="217"/>
    </row>
    <row r="3" spans="1:13" ht="32" x14ac:dyDescent="0.2">
      <c r="A3" s="29" t="s">
        <v>57</v>
      </c>
      <c r="B3" s="94" t="s">
        <v>151</v>
      </c>
      <c r="C3" s="94" t="s">
        <v>212</v>
      </c>
      <c r="I3" s="46"/>
      <c r="J3" s="110" t="s">
        <v>149</v>
      </c>
      <c r="K3" s="110" t="s">
        <v>102</v>
      </c>
      <c r="L3" s="110" t="s">
        <v>138</v>
      </c>
      <c r="M3" s="109" t="s">
        <v>178</v>
      </c>
    </row>
    <row r="4" spans="1:13" ht="33" thickBot="1" x14ac:dyDescent="0.25">
      <c r="A4" s="33" t="s">
        <v>14</v>
      </c>
      <c r="B4" s="34">
        <f>VLOOKUP(A4,NCA_Composition,4,FALSE)</f>
        <v>7.1842483792491849E-2</v>
      </c>
      <c r="C4" s="34">
        <f>VLOOKUP(A4,LCO_Composition,4,FALSE)</f>
        <v>7.0890680399309278E-2</v>
      </c>
      <c r="I4" s="62"/>
      <c r="J4" s="120" t="s">
        <v>148</v>
      </c>
      <c r="K4" s="121" t="s">
        <v>103</v>
      </c>
      <c r="L4" s="121" t="s">
        <v>103</v>
      </c>
      <c r="M4" s="111" t="s">
        <v>103</v>
      </c>
    </row>
    <row r="5" spans="1:13" ht="33" thickBot="1" x14ac:dyDescent="0.25">
      <c r="I5" s="62"/>
      <c r="J5" s="118" t="s">
        <v>169</v>
      </c>
      <c r="K5" s="119"/>
      <c r="L5" s="85"/>
      <c r="M5" s="71"/>
    </row>
    <row r="6" spans="1:13" x14ac:dyDescent="0.2">
      <c r="A6" s="212" t="s">
        <v>147</v>
      </c>
      <c r="B6" s="213"/>
      <c r="C6" s="213"/>
      <c r="D6" s="213"/>
      <c r="E6" s="213"/>
      <c r="F6" s="213"/>
      <c r="G6" s="214"/>
      <c r="I6" s="67" t="s">
        <v>142</v>
      </c>
      <c r="J6" s="37" t="s">
        <v>83</v>
      </c>
      <c r="K6" s="95">
        <v>1.5024498861863897</v>
      </c>
      <c r="L6" s="95">
        <v>30.477796700783195</v>
      </c>
      <c r="M6" s="68">
        <v>1.7383444391166081</v>
      </c>
    </row>
    <row r="7" spans="1:13" x14ac:dyDescent="0.2">
      <c r="A7" s="46"/>
      <c r="B7" s="80" t="s">
        <v>164</v>
      </c>
      <c r="C7" s="80" t="s">
        <v>172</v>
      </c>
      <c r="D7" s="80" t="s">
        <v>166</v>
      </c>
      <c r="E7" s="80" t="s">
        <v>209</v>
      </c>
      <c r="F7" s="80" t="s">
        <v>232</v>
      </c>
      <c r="G7" s="80" t="s">
        <v>211</v>
      </c>
      <c r="I7" s="47" t="s">
        <v>89</v>
      </c>
      <c r="J7" s="36" t="s">
        <v>83</v>
      </c>
      <c r="K7" s="41">
        <v>1.1287664588810442</v>
      </c>
      <c r="L7" s="41">
        <v>27.571002606965504</v>
      </c>
      <c r="M7" s="42">
        <v>1.3635587008162613</v>
      </c>
    </row>
    <row r="8" spans="1:13" x14ac:dyDescent="0.2">
      <c r="A8" s="44" t="s">
        <v>121</v>
      </c>
      <c r="B8" s="59"/>
      <c r="C8" s="59"/>
      <c r="D8" s="59"/>
      <c r="E8" s="59"/>
      <c r="F8" s="59"/>
      <c r="G8" s="55"/>
      <c r="I8" s="47" t="s">
        <v>91</v>
      </c>
      <c r="J8" s="36" t="s">
        <v>83</v>
      </c>
      <c r="K8" s="41">
        <v>0.52690465561048738</v>
      </c>
      <c r="L8" s="41">
        <v>14.003758880492954</v>
      </c>
      <c r="M8" s="42">
        <v>0.5280069666054884</v>
      </c>
    </row>
    <row r="9" spans="1:13" x14ac:dyDescent="0.2">
      <c r="A9" s="43" t="s">
        <v>126</v>
      </c>
      <c r="B9" s="49">
        <f>($L16*$B$39-((M16-K16)*$B$39))*$B$4</f>
        <v>2.7045283104886093E-4</v>
      </c>
      <c r="C9" s="49">
        <f>($K16*$B$39)*$B$4</f>
        <v>4.7802322015410209E-6</v>
      </c>
      <c r="D9" s="42">
        <f>B9-C9</f>
        <v>2.6567259884731993E-4</v>
      </c>
      <c r="E9" s="42">
        <f>($L16*$B$39-((M16-K16)*$B$39))*$C$4</f>
        <v>2.6686974331721093E-4</v>
      </c>
      <c r="F9" s="42">
        <f>($K16*$B$39)*$C$4</f>
        <v>4.7169014118822312E-6</v>
      </c>
      <c r="G9" s="42">
        <f>E9-F9</f>
        <v>2.6215284190532869E-4</v>
      </c>
      <c r="I9" s="47" t="s">
        <v>90</v>
      </c>
      <c r="J9" s="36" t="s">
        <v>83</v>
      </c>
      <c r="K9" s="41">
        <v>0.21935988800520292</v>
      </c>
      <c r="L9" s="41">
        <v>5.5710797687351539</v>
      </c>
      <c r="M9" s="42">
        <v>0.24361072989522536</v>
      </c>
    </row>
    <row r="10" spans="1:13" x14ac:dyDescent="0.2">
      <c r="A10" s="43" t="s">
        <v>127</v>
      </c>
      <c r="B10" s="49">
        <f t="shared" ref="B10:B19" si="0">($L17*$B$39-((M17-K17)*$B$39))*$B$4</f>
        <v>1.1330036748487269E-3</v>
      </c>
      <c r="C10" s="49">
        <f t="shared" ref="C10:C19" si="1">($K17*$B$39)*$B$4</f>
        <v>6.8358914539389827E-5</v>
      </c>
      <c r="D10" s="42">
        <f t="shared" ref="D10:D19" si="2">B10-C10</f>
        <v>1.064644760309337E-3</v>
      </c>
      <c r="E10" s="42">
        <f t="shared" ref="E10:E19" si="3">($L17*$B$39-((M17-K17)*$B$39))*$C$4</f>
        <v>1.1179931033138651E-3</v>
      </c>
      <c r="F10" s="42">
        <f t="shared" ref="F10:F19" si="4">($K17*$B$39)*$C$4</f>
        <v>6.7453263128439183E-5</v>
      </c>
      <c r="G10" s="42">
        <f t="shared" ref="G10:G19" si="5">E10-F10</f>
        <v>1.0505398401854259E-3</v>
      </c>
      <c r="I10" s="47" t="s">
        <v>92</v>
      </c>
      <c r="J10" s="36" t="s">
        <v>83</v>
      </c>
      <c r="K10" s="41">
        <v>0.38250191526535382</v>
      </c>
      <c r="L10" s="41">
        <v>7.9950616467423963</v>
      </c>
      <c r="M10" s="42">
        <v>0.59194100431554764</v>
      </c>
    </row>
    <row r="11" spans="1:13" x14ac:dyDescent="0.2">
      <c r="A11" s="43" t="s">
        <v>128</v>
      </c>
      <c r="B11" s="49">
        <f t="shared" si="0"/>
        <v>1.8478414048655051E-3</v>
      </c>
      <c r="C11" s="49">
        <f t="shared" si="1"/>
        <v>6.3171902516968504E-5</v>
      </c>
      <c r="D11" s="42">
        <f t="shared" si="2"/>
        <v>1.7846695023485365E-3</v>
      </c>
      <c r="E11" s="42">
        <f t="shared" si="3"/>
        <v>1.8233603231103939E-3</v>
      </c>
      <c r="F11" s="42">
        <f t="shared" si="4"/>
        <v>6.2334971108205978E-5</v>
      </c>
      <c r="G11" s="42">
        <f t="shared" si="5"/>
        <v>1.7610253520021879E-3</v>
      </c>
      <c r="I11" s="47" t="s">
        <v>93</v>
      </c>
      <c r="J11" s="36" t="s">
        <v>83</v>
      </c>
      <c r="K11" s="41">
        <v>0.37368342730534571</v>
      </c>
      <c r="L11" s="41">
        <v>2.9078964048126901</v>
      </c>
      <c r="M11" s="42">
        <v>0.37478573830034673</v>
      </c>
    </row>
    <row r="12" spans="1:13" x14ac:dyDescent="0.2">
      <c r="A12" s="43" t="s">
        <v>129</v>
      </c>
      <c r="B12" s="49">
        <f t="shared" si="0"/>
        <v>6.5328366920085136E-4</v>
      </c>
      <c r="C12" s="49">
        <f>($K19*$B$39)*$B$4</f>
        <v>6.9546445096718147E-6</v>
      </c>
      <c r="D12" s="42">
        <f t="shared" si="2"/>
        <v>6.4632902469117951E-4</v>
      </c>
      <c r="E12" s="42">
        <f t="shared" si="3"/>
        <v>6.446286564530723E-4</v>
      </c>
      <c r="F12" s="42">
        <f t="shared" si="4"/>
        <v>6.8625060716160865E-6</v>
      </c>
      <c r="G12" s="42">
        <f t="shared" si="5"/>
        <v>6.3776615038145621E-4</v>
      </c>
      <c r="I12" s="47" t="s">
        <v>95</v>
      </c>
      <c r="J12" s="36" t="s">
        <v>83</v>
      </c>
      <c r="K12" s="41">
        <v>0.37258111631034468</v>
      </c>
      <c r="L12" s="41">
        <v>2.8748270749626594</v>
      </c>
      <c r="M12" s="42">
        <v>0.37368342730534571</v>
      </c>
    </row>
    <row r="13" spans="1:13" x14ac:dyDescent="0.2">
      <c r="A13" s="43" t="s">
        <v>130</v>
      </c>
      <c r="B13" s="49">
        <f t="shared" si="0"/>
        <v>4.5335037513828072E-4</v>
      </c>
      <c r="C13" s="49">
        <f>($K20*$B$39)*$B$4</f>
        <v>5.1068031048063104E-6</v>
      </c>
      <c r="D13" s="42">
        <f t="shared" si="2"/>
        <v>4.4824357203347443E-4</v>
      </c>
      <c r="E13" s="42">
        <f t="shared" si="3"/>
        <v>4.4734417375744394E-4</v>
      </c>
      <c r="F13" s="42">
        <f t="shared" si="4"/>
        <v>5.0391457485056932E-6</v>
      </c>
      <c r="G13" s="42">
        <f t="shared" si="5"/>
        <v>4.4230502800893826E-4</v>
      </c>
      <c r="I13" s="47" t="s">
        <v>94</v>
      </c>
      <c r="J13" s="36" t="s">
        <v>83</v>
      </c>
      <c r="K13" s="41">
        <v>1.2125420945011218E-3</v>
      </c>
      <c r="L13" s="41">
        <v>3.1967018855029575E-2</v>
      </c>
      <c r="M13" s="42">
        <v>1.7945622998616602E-3</v>
      </c>
    </row>
    <row r="14" spans="1:13" x14ac:dyDescent="0.2">
      <c r="A14" s="43" t="s">
        <v>131</v>
      </c>
      <c r="B14" s="49">
        <f t="shared" si="0"/>
        <v>1.0355012169801421E-3</v>
      </c>
      <c r="C14" s="49">
        <f t="shared" si="1"/>
        <v>2.6335809504375425E-5</v>
      </c>
      <c r="D14" s="42">
        <f>B14-C14</f>
        <v>1.0091654074757667E-3</v>
      </c>
      <c r="E14" s="42">
        <f t="shared" si="3"/>
        <v>1.0217824043787689E-3</v>
      </c>
      <c r="F14" s="42">
        <f>($K21*$B$39)*$C$4</f>
        <v>2.5986900174891833E-5</v>
      </c>
      <c r="G14" s="42">
        <f t="shared" si="5"/>
        <v>9.9579550420387706E-4</v>
      </c>
      <c r="I14" s="47" t="s">
        <v>96</v>
      </c>
      <c r="J14" s="36" t="s">
        <v>83</v>
      </c>
      <c r="K14" s="41">
        <v>0.17085820422515804</v>
      </c>
      <c r="L14" s="41">
        <v>1.3536379018612521</v>
      </c>
      <c r="M14" s="42">
        <v>0.17085820422515804</v>
      </c>
    </row>
    <row r="15" spans="1:13" x14ac:dyDescent="0.2">
      <c r="A15" s="43" t="s">
        <v>132</v>
      </c>
      <c r="B15" s="49">
        <f t="shared" si="0"/>
        <v>4.2408968124487198E-5</v>
      </c>
      <c r="C15" s="49">
        <f t="shared" si="1"/>
        <v>2.272628169921195E-6</v>
      </c>
      <c r="D15" s="42">
        <f t="shared" si="2"/>
        <v>4.0136339954566E-5</v>
      </c>
      <c r="E15" s="42">
        <f t="shared" si="3"/>
        <v>4.1847113945296403E-5</v>
      </c>
      <c r="F15" s="42">
        <f>($K22*$B$39)*$C$4</f>
        <v>2.242519311076321E-6</v>
      </c>
      <c r="G15" s="42">
        <f t="shared" si="5"/>
        <v>3.960459463422008E-5</v>
      </c>
      <c r="I15" s="67" t="s">
        <v>84</v>
      </c>
      <c r="J15" s="37" t="s">
        <v>85</v>
      </c>
      <c r="K15" s="95">
        <v>3177.0807497919391</v>
      </c>
      <c r="L15" s="95">
        <v>16304.722851458082</v>
      </c>
      <c r="M15" s="68">
        <v>3193.284721418454</v>
      </c>
    </row>
    <row r="16" spans="1:13" x14ac:dyDescent="0.2">
      <c r="A16" s="43" t="s">
        <v>133</v>
      </c>
      <c r="B16" s="49">
        <f t="shared" si="0"/>
        <v>8.2754939272252059E-5</v>
      </c>
      <c r="C16" s="49">
        <f t="shared" si="1"/>
        <v>1.070084797308462E-6</v>
      </c>
      <c r="D16" s="42">
        <f t="shared" si="2"/>
        <v>8.16848544749436E-5</v>
      </c>
      <c r="E16" s="42">
        <f t="shared" si="3"/>
        <v>8.1658562478968374E-5</v>
      </c>
      <c r="F16" s="42">
        <f t="shared" si="4"/>
        <v>1.0559078049871342E-6</v>
      </c>
      <c r="G16" s="42">
        <f t="shared" si="5"/>
        <v>8.0602654673981244E-5</v>
      </c>
      <c r="I16" s="67" t="s">
        <v>70</v>
      </c>
      <c r="J16" s="37" t="s">
        <v>56</v>
      </c>
      <c r="K16" s="95">
        <v>1.2495136052734559E-5</v>
      </c>
      <c r="L16" s="95">
        <v>7.0955758748215644E-4</v>
      </c>
      <c r="M16" s="68">
        <v>1.5111140506070981E-5</v>
      </c>
    </row>
    <row r="17" spans="1:13" x14ac:dyDescent="0.2">
      <c r="A17" s="43" t="s">
        <v>134</v>
      </c>
      <c r="B17" s="49">
        <f t="shared" si="0"/>
        <v>1.485931346520629E-3</v>
      </c>
      <c r="C17" s="49">
        <f t="shared" si="1"/>
        <v>5.6888448928832119E-5</v>
      </c>
      <c r="D17" s="42">
        <f t="shared" si="2"/>
        <v>1.4290428975917968E-3</v>
      </c>
      <c r="E17" s="42">
        <f t="shared" si="3"/>
        <v>1.4662450213409519E-3</v>
      </c>
      <c r="F17" s="42">
        <f t="shared" si="4"/>
        <v>5.6134763701582017E-5</v>
      </c>
      <c r="G17" s="42">
        <f t="shared" si="5"/>
        <v>1.4101102576393699E-3</v>
      </c>
      <c r="I17" s="47" t="s">
        <v>72</v>
      </c>
      <c r="J17" s="36" t="s">
        <v>56</v>
      </c>
      <c r="K17" s="41">
        <v>1.7868461228966528E-4</v>
      </c>
      <c r="L17" s="41">
        <v>2.997844982004773E-3</v>
      </c>
      <c r="M17" s="42">
        <v>2.1495064402519886E-4</v>
      </c>
    </row>
    <row r="18" spans="1:13" x14ac:dyDescent="0.2">
      <c r="A18" s="43" t="s">
        <v>135</v>
      </c>
      <c r="B18" s="49">
        <f t="shared" si="0"/>
        <v>1.0673563446430095E-5</v>
      </c>
      <c r="C18" s="49">
        <f t="shared" si="1"/>
        <v>8.6095965406303669E-7</v>
      </c>
      <c r="D18" s="42">
        <f t="shared" si="2"/>
        <v>9.8126037923670584E-6</v>
      </c>
      <c r="E18" s="42">
        <f t="shared" si="3"/>
        <v>1.0532155001602309E-5</v>
      </c>
      <c r="F18" s="42">
        <f t="shared" si="4"/>
        <v>8.4955325109821984E-7</v>
      </c>
      <c r="G18" s="42">
        <f t="shared" si="5"/>
        <v>9.6826017505040888E-6</v>
      </c>
      <c r="I18" s="47" t="s">
        <v>73</v>
      </c>
      <c r="J18" s="36" t="s">
        <v>56</v>
      </c>
      <c r="K18" s="41">
        <v>1.6512618705115273E-4</v>
      </c>
      <c r="L18" s="41">
        <v>4.8547980841834914E-3</v>
      </c>
      <c r="M18" s="42">
        <v>1.8981795333917559E-4</v>
      </c>
    </row>
    <row r="19" spans="1:13" x14ac:dyDescent="0.2">
      <c r="A19" s="43" t="s">
        <v>136</v>
      </c>
      <c r="B19" s="49">
        <f t="shared" si="0"/>
        <v>0.97618659589135925</v>
      </c>
      <c r="C19" s="49">
        <f t="shared" si="1"/>
        <v>3.4746401900828512E-2</v>
      </c>
      <c r="D19" s="42">
        <f t="shared" si="2"/>
        <v>0.94144019399053069</v>
      </c>
      <c r="E19" s="42">
        <f t="shared" si="3"/>
        <v>0.96325361159988565</v>
      </c>
      <c r="F19" s="42">
        <f t="shared" si="4"/>
        <v>3.4286065043244107E-2</v>
      </c>
      <c r="G19" s="42">
        <f t="shared" si="5"/>
        <v>0.9289675465566416</v>
      </c>
      <c r="I19" s="47" t="s">
        <v>74</v>
      </c>
      <c r="J19" s="36" t="s">
        <v>56</v>
      </c>
      <c r="K19" s="41">
        <v>1.8178872005158817E-5</v>
      </c>
      <c r="L19" s="41">
        <v>1.7090229666495811E-3</v>
      </c>
      <c r="M19" s="42">
        <v>1.9571752178442103E-5</v>
      </c>
    </row>
    <row r="20" spans="1:13" x14ac:dyDescent="0.2">
      <c r="A20" s="44" t="s">
        <v>122</v>
      </c>
      <c r="B20" s="59"/>
      <c r="C20" s="59"/>
      <c r="D20" s="59"/>
      <c r="E20" s="59"/>
      <c r="F20" s="59"/>
      <c r="G20" s="59"/>
      <c r="I20" s="47" t="s">
        <v>75</v>
      </c>
      <c r="J20" s="36" t="s">
        <v>56</v>
      </c>
      <c r="K20" s="41">
        <v>1.3348765687263349E-5</v>
      </c>
      <c r="L20" s="41">
        <v>1.1854252440240964E-3</v>
      </c>
      <c r="M20" s="42">
        <v>1.3753203591329222E-5</v>
      </c>
    </row>
    <row r="21" spans="1:13" x14ac:dyDescent="0.2">
      <c r="A21" s="72" t="s">
        <v>142</v>
      </c>
      <c r="B21" s="49">
        <f>($L6*$B$39-((M6-K6)*$B$39))*$B$4</f>
        <v>11.569567059766563</v>
      </c>
      <c r="C21" s="49">
        <f>($K6*$B$39)*$B$4</f>
        <v>0.57478840541140241</v>
      </c>
      <c r="D21" s="42">
        <f>B21-C21</f>
        <v>10.99477865435516</v>
      </c>
      <c r="E21" s="42">
        <f>($L6*$B$39-((M6-K6)*$B$39))*$C$4</f>
        <v>11.416287932934788</v>
      </c>
      <c r="F21" s="42">
        <f>($K6*$B$39)*$C$4</f>
        <v>0.56717333525023206</v>
      </c>
      <c r="G21" s="42">
        <f>E21-F21</f>
        <v>10.849114597684556</v>
      </c>
      <c r="I21" s="47" t="s">
        <v>76</v>
      </c>
      <c r="J21" s="36" t="s">
        <v>56</v>
      </c>
      <c r="K21" s="41">
        <v>6.8839652331112179E-5</v>
      </c>
      <c r="L21" s="41">
        <v>2.7077167281205046E-3</v>
      </c>
      <c r="M21" s="42">
        <v>6.9840881407871611E-5</v>
      </c>
    </row>
    <row r="22" spans="1:13" x14ac:dyDescent="0.2">
      <c r="A22" s="72" t="s">
        <v>89</v>
      </c>
      <c r="B22" s="49">
        <f t="shared" ref="B22:B29" si="6">($L7*$B$39-((M7-K7)*$B$39))*$B$4</f>
        <v>10.457943995449279</v>
      </c>
      <c r="C22" s="49">
        <f t="shared" ref="C22:C29" si="7">($K7*$B$39)*$B$4</f>
        <v>0.43182929357393696</v>
      </c>
      <c r="D22" s="42">
        <f t="shared" ref="D22:D29" si="8">B22-C22</f>
        <v>10.026114701875342</v>
      </c>
      <c r="E22" s="42">
        <f t="shared" ref="E22:E29" si="9">($L7*$B$39-((M7-K7)*$B$39))*$C$4</f>
        <v>10.319392179655541</v>
      </c>
      <c r="F22" s="42">
        <f t="shared" ref="F22:F29" si="10">($K7*$B$39)*$C$4</f>
        <v>0.42610821371697549</v>
      </c>
      <c r="G22" s="42">
        <f t="shared" ref="G22:G29" si="11">E22-F22</f>
        <v>9.893283965938565</v>
      </c>
      <c r="I22" s="47" t="s">
        <v>80</v>
      </c>
      <c r="J22" s="36" t="s">
        <v>56</v>
      </c>
      <c r="K22" s="41">
        <v>5.9404641831599955E-6</v>
      </c>
      <c r="L22" s="41">
        <v>1.1089248609710257E-4</v>
      </c>
      <c r="M22" s="42">
        <v>5.9793757612835319E-6</v>
      </c>
    </row>
    <row r="23" spans="1:13" x14ac:dyDescent="0.2">
      <c r="A23" s="72" t="s">
        <v>91</v>
      </c>
      <c r="B23" s="49">
        <f t="shared" si="6"/>
        <v>5.3569604651071492</v>
      </c>
      <c r="C23" s="49">
        <f>($K8*$B$39)*$B$4</f>
        <v>0.20157656477377134</v>
      </c>
      <c r="D23" s="42">
        <f t="shared" si="8"/>
        <v>5.1553839003333781</v>
      </c>
      <c r="E23" s="42">
        <f>($L8*$B$39-((M8-K8)*$B$39))*$C$4</f>
        <v>5.2859889051237685</v>
      </c>
      <c r="F23" s="42">
        <f t="shared" si="10"/>
        <v>0.19890598257491629</v>
      </c>
      <c r="G23" s="42">
        <f t="shared" si="11"/>
        <v>5.0870829225488521</v>
      </c>
      <c r="I23" s="47" t="s">
        <v>81</v>
      </c>
      <c r="J23" s="36" t="s">
        <v>56</v>
      </c>
      <c r="K23" s="41">
        <v>2.7971141498150878E-6</v>
      </c>
      <c r="L23" s="41">
        <v>2.1638364831870016E-4</v>
      </c>
      <c r="M23" s="42">
        <v>2.8661188181021512E-6</v>
      </c>
    </row>
    <row r="24" spans="1:13" x14ac:dyDescent="0.2">
      <c r="A24" s="72" t="s">
        <v>90</v>
      </c>
      <c r="B24" s="49">
        <f>($L9*$B$39-((M9-K9)*$B$39))*$B$4</f>
        <v>2.1220361379531747</v>
      </c>
      <c r="C24" s="49">
        <f>($K9*$B$39)*$B$4</f>
        <v>8.3919950606653762E-2</v>
      </c>
      <c r="D24" s="42">
        <f>B24-C24</f>
        <v>2.038116187346521</v>
      </c>
      <c r="E24" s="42">
        <f>($L9*$B$39-((M9-K9)*$B$39))*$C$4</f>
        <v>2.0939223939685752</v>
      </c>
      <c r="F24" s="42">
        <f t="shared" si="10"/>
        <v>8.2808139189138791E-2</v>
      </c>
      <c r="G24" s="42">
        <f t="shared" si="11"/>
        <v>2.0111142547794363</v>
      </c>
      <c r="I24" s="47" t="s">
        <v>77</v>
      </c>
      <c r="J24" s="36" t="s">
        <v>56</v>
      </c>
      <c r="K24" s="41">
        <v>1.4870175322563754E-4</v>
      </c>
      <c r="L24" s="41">
        <v>3.9049366997911121E-3</v>
      </c>
      <c r="M24" s="42">
        <v>1.6953543103115682E-4</v>
      </c>
    </row>
    <row r="25" spans="1:13" x14ac:dyDescent="0.2">
      <c r="A25" s="72" t="s">
        <v>92</v>
      </c>
      <c r="B25" s="49">
        <f t="shared" si="6"/>
        <v>2.9785256840944498</v>
      </c>
      <c r="C25" s="49">
        <f t="shared" si="7"/>
        <v>0.14633277819351184</v>
      </c>
      <c r="D25" s="42">
        <f t="shared" si="8"/>
        <v>2.8321929059009379</v>
      </c>
      <c r="E25" s="42">
        <f t="shared" si="9"/>
        <v>2.9390647592607402</v>
      </c>
      <c r="F25" s="42">
        <f t="shared" si="10"/>
        <v>0.14439409195292041</v>
      </c>
      <c r="G25" s="42">
        <f t="shared" si="11"/>
        <v>2.7946706673078197</v>
      </c>
      <c r="I25" s="47" t="s">
        <v>78</v>
      </c>
      <c r="J25" s="36" t="s">
        <v>56</v>
      </c>
      <c r="K25" s="41">
        <v>2.2504781273940815E-6</v>
      </c>
      <c r="L25" s="41">
        <v>2.7964307169981869E-5</v>
      </c>
      <c r="M25" s="42">
        <v>2.3149633206016414E-6</v>
      </c>
    </row>
    <row r="26" spans="1:13" ht="16" thickBot="1" x14ac:dyDescent="0.25">
      <c r="A26" s="72" t="s">
        <v>93</v>
      </c>
      <c r="B26" s="49">
        <f t="shared" si="6"/>
        <v>1.1120447726117888</v>
      </c>
      <c r="C26" s="49">
        <f t="shared" si="7"/>
        <v>0.14295911183746549</v>
      </c>
      <c r="D26" s="42">
        <f t="shared" si="8"/>
        <v>0.96908566077432334</v>
      </c>
      <c r="E26" s="42">
        <f t="shared" si="9"/>
        <v>1.0973118745817034</v>
      </c>
      <c r="F26" s="42">
        <f t="shared" si="10"/>
        <v>0.14106512153325654</v>
      </c>
      <c r="G26" s="42">
        <f t="shared" si="11"/>
        <v>0.95624675304844686</v>
      </c>
      <c r="I26" s="69" t="s">
        <v>68</v>
      </c>
      <c r="J26" s="74" t="s">
        <v>56</v>
      </c>
      <c r="K26" s="52">
        <v>9.0824253046512024E-2</v>
      </c>
      <c r="L26" s="52">
        <v>2.5688359044737292</v>
      </c>
      <c r="M26" s="34">
        <v>0.1079882273185734</v>
      </c>
    </row>
    <row r="27" spans="1:13" x14ac:dyDescent="0.2">
      <c r="A27" s="72" t="s">
        <v>95</v>
      </c>
      <c r="B27" s="49">
        <f t="shared" si="6"/>
        <v>1.0993935237766148</v>
      </c>
      <c r="C27" s="49">
        <f t="shared" si="7"/>
        <v>0.14253740354295966</v>
      </c>
      <c r="D27" s="42">
        <f t="shared" si="8"/>
        <v>0.95685612023365518</v>
      </c>
      <c r="E27" s="42">
        <f t="shared" si="9"/>
        <v>1.0848282355079639</v>
      </c>
      <c r="F27" s="42">
        <f t="shared" si="10"/>
        <v>0.14064900023079854</v>
      </c>
      <c r="G27" s="42">
        <f t="shared" si="11"/>
        <v>0.94417923527716541</v>
      </c>
      <c r="I27" s="186" t="s">
        <v>285</v>
      </c>
    </row>
    <row r="28" spans="1:13" x14ac:dyDescent="0.2">
      <c r="A28" s="72" t="s">
        <v>94</v>
      </c>
      <c r="B28" s="49">
        <f t="shared" si="6"/>
        <v>1.2006878561169075E-2</v>
      </c>
      <c r="C28" s="49">
        <f t="shared" si="7"/>
        <v>4.6387912395637766E-4</v>
      </c>
      <c r="D28" s="42">
        <f t="shared" si="8"/>
        <v>1.1542999437212698E-2</v>
      </c>
      <c r="E28" s="42">
        <f t="shared" si="9"/>
        <v>1.1847805723583717E-2</v>
      </c>
      <c r="F28" s="42">
        <f t="shared" si="10"/>
        <v>4.5773343270378235E-4</v>
      </c>
      <c r="G28" s="42">
        <f t="shared" si="11"/>
        <v>1.1390072290879934E-2</v>
      </c>
    </row>
    <row r="29" spans="1:13" x14ac:dyDescent="0.2">
      <c r="A29" s="43" t="s">
        <v>96</v>
      </c>
      <c r="B29" s="49">
        <f t="shared" si="6"/>
        <v>0.51785778565311968</v>
      </c>
      <c r="C29" s="49">
        <f t="shared" si="7"/>
        <v>6.5364785648398663E-2</v>
      </c>
      <c r="D29" s="42">
        <f t="shared" si="8"/>
        <v>0.45249300000472104</v>
      </c>
      <c r="E29" s="42">
        <f t="shared" si="9"/>
        <v>0.51099695941840417</v>
      </c>
      <c r="F29" s="42">
        <f t="shared" si="10"/>
        <v>6.44988018809875E-2</v>
      </c>
      <c r="G29" s="42">
        <f t="shared" si="11"/>
        <v>0.44649815753741667</v>
      </c>
    </row>
    <row r="30" spans="1:13" x14ac:dyDescent="0.2">
      <c r="A30" s="44" t="s">
        <v>123</v>
      </c>
      <c r="B30" s="79"/>
      <c r="C30" s="79"/>
      <c r="D30" s="79"/>
      <c r="E30" s="79"/>
      <c r="F30" s="79"/>
      <c r="G30" s="79"/>
    </row>
    <row r="31" spans="1:13" ht="16" thickBot="1" x14ac:dyDescent="0.25">
      <c r="A31" s="61" t="s">
        <v>86</v>
      </c>
      <c r="B31" s="50">
        <f>($L15*$B$39-((M15-K15)*$B$39))*$B$4</f>
        <v>6231.4569554238224</v>
      </c>
      <c r="C31" s="50">
        <f>($K15*$B$39)*$B$4</f>
        <v>1215.4476464246104</v>
      </c>
      <c r="D31" s="34">
        <f>B31-C31</f>
        <v>5016.0093089992115</v>
      </c>
      <c r="E31" s="34">
        <f>($L15*$B$39-((M15-K15)*$B$39))*$C$4</f>
        <v>6148.8996500308895</v>
      </c>
      <c r="F31" s="34">
        <f>($K15*$B$39)*$C$4</f>
        <v>1199.3448179444013</v>
      </c>
      <c r="G31" s="34">
        <f>E31-F31</f>
        <v>4949.5548320864882</v>
      </c>
      <c r="I31" s="186" t="s">
        <v>302</v>
      </c>
    </row>
    <row r="32" spans="1:13" x14ac:dyDescent="0.2">
      <c r="I32" t="s">
        <v>303</v>
      </c>
      <c r="J32" t="s">
        <v>304</v>
      </c>
      <c r="L32" t="s">
        <v>305</v>
      </c>
    </row>
    <row r="33" spans="1:9" ht="16" thickBot="1" x14ac:dyDescent="0.25">
      <c r="I33" t="s">
        <v>306</v>
      </c>
    </row>
    <row r="34" spans="1:9" x14ac:dyDescent="0.2">
      <c r="A34" s="212" t="s">
        <v>150</v>
      </c>
      <c r="B34" s="213"/>
      <c r="C34" s="214"/>
    </row>
    <row r="35" spans="1:9" x14ac:dyDescent="0.2">
      <c r="A35" s="46"/>
      <c r="B35" s="28" t="s">
        <v>117</v>
      </c>
      <c r="C35" s="60" t="s">
        <v>57</v>
      </c>
    </row>
    <row r="36" spans="1:9" x14ac:dyDescent="0.2">
      <c r="A36" s="64" t="s">
        <v>58</v>
      </c>
      <c r="B36" s="37" t="s">
        <v>103</v>
      </c>
      <c r="C36" s="42" t="str">
        <f>$A$4</f>
        <v>Li</v>
      </c>
    </row>
    <row r="37" spans="1:9" x14ac:dyDescent="0.2">
      <c r="A37" s="65" t="s">
        <v>119</v>
      </c>
      <c r="B37" s="39">
        <f>73.8909/1000</f>
        <v>7.3890899999999995E-2</v>
      </c>
      <c r="C37" s="58">
        <f>VLOOKUP(C36,Atomic_Mass,2,FALSE)/1000</f>
        <v>6.9379999999999997E-3</v>
      </c>
    </row>
    <row r="38" spans="1:9" x14ac:dyDescent="0.2">
      <c r="A38" s="66" t="s">
        <v>120</v>
      </c>
      <c r="B38" s="231">
        <v>2</v>
      </c>
      <c r="C38" s="226"/>
    </row>
    <row r="39" spans="1:9" x14ac:dyDescent="0.2">
      <c r="A39" s="223" t="s">
        <v>124</v>
      </c>
      <c r="B39" s="231">
        <f>B37/(B38*C37)</f>
        <v>5.3250864802536757</v>
      </c>
      <c r="C39" s="226"/>
    </row>
    <row r="40" spans="1:9" ht="16" thickBot="1" x14ac:dyDescent="0.25">
      <c r="A40" s="224"/>
      <c r="B40" s="232"/>
      <c r="C40" s="228"/>
    </row>
  </sheetData>
  <mergeCells count="7">
    <mergeCell ref="A39:A40"/>
    <mergeCell ref="B39:C40"/>
    <mergeCell ref="A2:C2"/>
    <mergeCell ref="I2:M2"/>
    <mergeCell ref="A6:G6"/>
    <mergeCell ref="A34:C34"/>
    <mergeCell ref="B38:C38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8A33D-DA9D-3744-A201-18758E1C1723}">
  <dimension ref="A1:T81"/>
  <sheetViews>
    <sheetView workbookViewId="0">
      <selection sqref="A1:AA1048576"/>
    </sheetView>
  </sheetViews>
  <sheetFormatPr baseColWidth="10" defaultRowHeight="15" x14ac:dyDescent="0.2"/>
  <cols>
    <col min="1" max="1" width="29.83203125" customWidth="1"/>
    <col min="2" max="2" width="28" bestFit="1" customWidth="1"/>
    <col min="3" max="7" width="27.5" customWidth="1"/>
    <col min="8" max="8" width="12.83203125" customWidth="1"/>
    <col min="9" max="9" width="24.5" bestFit="1" customWidth="1"/>
    <col min="10" max="10" width="18.5" customWidth="1"/>
    <col min="11" max="11" width="35.6640625" bestFit="1" customWidth="1"/>
    <col min="12" max="12" width="34" bestFit="1" customWidth="1"/>
    <col min="13" max="13" width="25.5" bestFit="1" customWidth="1"/>
    <col min="14" max="14" width="11" customWidth="1"/>
    <col min="15" max="15" width="15.1640625" customWidth="1"/>
    <col min="16" max="16" width="14.5" customWidth="1"/>
    <col min="17" max="18" width="10" customWidth="1"/>
    <col min="19" max="19" width="18.83203125" customWidth="1"/>
    <col min="20" max="20" width="22.83203125" customWidth="1"/>
    <col min="21" max="21" width="16.6640625" customWidth="1"/>
    <col min="22" max="22" width="12.83203125" customWidth="1"/>
    <col min="23" max="24" width="8.83203125"/>
    <col min="25" max="25" width="28.83203125" bestFit="1" customWidth="1"/>
    <col min="26" max="26" width="14.1640625" customWidth="1"/>
    <col min="27" max="27" width="42.83203125" customWidth="1"/>
  </cols>
  <sheetData>
    <row r="1" spans="1:13" ht="16" thickBot="1" x14ac:dyDescent="0.25"/>
    <row r="2" spans="1:13" ht="19" x14ac:dyDescent="0.25">
      <c r="A2" s="218" t="s">
        <v>243</v>
      </c>
      <c r="B2" s="219"/>
      <c r="C2" s="220"/>
      <c r="I2" s="215" t="s">
        <v>233</v>
      </c>
      <c r="J2" s="216"/>
      <c r="K2" s="216"/>
      <c r="L2" s="216"/>
      <c r="M2" s="217"/>
    </row>
    <row r="3" spans="1:13" ht="32" x14ac:dyDescent="0.2">
      <c r="A3" s="29" t="s">
        <v>57</v>
      </c>
      <c r="B3" s="94" t="s">
        <v>151</v>
      </c>
      <c r="C3" s="94" t="s">
        <v>212</v>
      </c>
      <c r="I3" s="46"/>
      <c r="J3" s="110" t="s">
        <v>149</v>
      </c>
      <c r="K3" s="110" t="s">
        <v>175</v>
      </c>
      <c r="L3" s="110" t="s">
        <v>206</v>
      </c>
      <c r="M3" s="109" t="s">
        <v>173</v>
      </c>
    </row>
    <row r="4" spans="1:13" ht="33" thickBot="1" x14ac:dyDescent="0.25">
      <c r="A4" s="33" t="s">
        <v>14</v>
      </c>
      <c r="B4" s="34">
        <f>VLOOKUP(A4,NCA_Composition,4,FALSE)</f>
        <v>7.1842483792491849E-2</v>
      </c>
      <c r="C4" s="34">
        <f>VLOOKUP(A4,LCO_Composition,4,FALSE)</f>
        <v>7.0890680399309278E-2</v>
      </c>
      <c r="I4" s="62"/>
      <c r="J4" s="120" t="s">
        <v>148</v>
      </c>
      <c r="K4" s="121" t="s">
        <v>174</v>
      </c>
      <c r="L4" s="121" t="s">
        <v>174</v>
      </c>
      <c r="M4" s="111" t="s">
        <v>103</v>
      </c>
    </row>
    <row r="5" spans="1:13" ht="33" thickBot="1" x14ac:dyDescent="0.25">
      <c r="I5" s="62"/>
      <c r="J5" s="118" t="s">
        <v>169</v>
      </c>
      <c r="K5" s="119"/>
      <c r="L5" s="85"/>
      <c r="M5" s="71"/>
    </row>
    <row r="6" spans="1:13" x14ac:dyDescent="0.2">
      <c r="A6" s="212" t="s">
        <v>147</v>
      </c>
      <c r="B6" s="213"/>
      <c r="C6" s="213"/>
      <c r="D6" s="213"/>
      <c r="E6" s="213"/>
      <c r="F6" s="213"/>
      <c r="G6" s="214"/>
      <c r="I6" s="67" t="s">
        <v>142</v>
      </c>
      <c r="J6" s="37" t="s">
        <v>83</v>
      </c>
      <c r="K6" s="95">
        <v>5.6339114954502119</v>
      </c>
      <c r="L6" s="95">
        <v>6.6270937019461309</v>
      </c>
      <c r="M6" s="68">
        <v>218.9079404972525</v>
      </c>
    </row>
    <row r="7" spans="1:13" x14ac:dyDescent="0.2">
      <c r="A7" s="46"/>
      <c r="B7" s="80" t="s">
        <v>164</v>
      </c>
      <c r="C7" s="80" t="s">
        <v>154</v>
      </c>
      <c r="D7" s="80" t="s">
        <v>166</v>
      </c>
      <c r="E7" s="80" t="s">
        <v>209</v>
      </c>
      <c r="F7" s="80" t="s">
        <v>210</v>
      </c>
      <c r="G7" s="80" t="s">
        <v>211</v>
      </c>
      <c r="I7" s="47" t="s">
        <v>89</v>
      </c>
      <c r="J7" s="36" t="s">
        <v>83</v>
      </c>
      <c r="K7" s="41">
        <v>5.6063537205751865</v>
      </c>
      <c r="L7" s="41">
        <v>6.5951266830911006</v>
      </c>
      <c r="M7" s="42">
        <v>216.20286931551999</v>
      </c>
    </row>
    <row r="8" spans="1:13" x14ac:dyDescent="0.2">
      <c r="A8" s="44" t="s">
        <v>121</v>
      </c>
      <c r="B8" s="59"/>
      <c r="C8" s="59"/>
      <c r="D8" s="59"/>
      <c r="E8" s="59"/>
      <c r="F8" s="59"/>
      <c r="G8" s="55"/>
      <c r="I8" s="47" t="s">
        <v>91</v>
      </c>
      <c r="J8" s="36" t="s">
        <v>83</v>
      </c>
      <c r="K8" s="41">
        <v>8.7082568605080554E-2</v>
      </c>
      <c r="L8" s="41">
        <v>9.259412358008566E-2</v>
      </c>
      <c r="M8" s="42">
        <v>161.29455403252922</v>
      </c>
    </row>
    <row r="9" spans="1:13" x14ac:dyDescent="0.2">
      <c r="A9" s="43" t="s">
        <v>126</v>
      </c>
      <c r="B9" s="49">
        <f>($M16*$B$39-((L16-K16)*$B$43))*$B$4</f>
        <v>1.039861345796877E-3</v>
      </c>
      <c r="C9" s="49">
        <f>($K16*$B$43)*$B$4</f>
        <v>2.0513737876793955E-4</v>
      </c>
      <c r="D9" s="42">
        <f>B9-C9</f>
        <v>8.347239670289375E-4</v>
      </c>
      <c r="E9" s="42">
        <f>($M16*$B$39-((L16-K16)*$B$43))*$C$4</f>
        <v>1.0260847681352859E-3</v>
      </c>
      <c r="F9" s="42">
        <f>($K16*$B$43)*$C$4</f>
        <v>2.0241962121178575E-4</v>
      </c>
      <c r="G9" s="42">
        <f>E9-F9</f>
        <v>8.2366514692350018E-4</v>
      </c>
      <c r="I9" s="47" t="s">
        <v>90</v>
      </c>
      <c r="J9" s="36" t="s">
        <v>83</v>
      </c>
      <c r="K9" s="41">
        <v>0.57761096138053436</v>
      </c>
      <c r="L9" s="41">
        <v>0.66028428600561084</v>
      </c>
      <c r="M9" s="42">
        <v>7.3149357628267664</v>
      </c>
    </row>
    <row r="10" spans="1:13" x14ac:dyDescent="0.2">
      <c r="A10" s="43" t="s">
        <v>127</v>
      </c>
      <c r="B10" s="49">
        <f t="shared" ref="B10:B19" si="0">($M17*$B$39-((L17-K17)*$B$43))*$B$4</f>
        <v>4.8321301120308781E-3</v>
      </c>
      <c r="C10" s="49">
        <f t="shared" ref="C10:C19" si="1">($K17*$B$43)*$B$4</f>
        <v>5.3619209805785297E-4</v>
      </c>
      <c r="D10" s="42">
        <f t="shared" ref="D10:D19" si="2">B10-C10</f>
        <v>4.295938013973025E-3</v>
      </c>
      <c r="E10" s="42">
        <f t="shared" ref="E10:E19" si="3">($M17*$B$39-((L17-K17)*$B$43))*$C$4</f>
        <v>4.768111754171551E-3</v>
      </c>
      <c r="F10" s="42">
        <f t="shared" ref="F10:F19" si="4">($K17*$B$43)*$C$4</f>
        <v>5.2908837013269895E-4</v>
      </c>
      <c r="G10" s="42">
        <f t="shared" ref="G10:G19" si="5">E10-F10</f>
        <v>4.2390233840388517E-3</v>
      </c>
      <c r="I10" s="47" t="s">
        <v>92</v>
      </c>
      <c r="J10" s="36" t="s">
        <v>83</v>
      </c>
      <c r="K10" s="41">
        <v>4.9427625015845722</v>
      </c>
      <c r="L10" s="41">
        <v>5.8422482735054047</v>
      </c>
      <c r="M10" s="42">
        <v>47.593379520164028</v>
      </c>
    </row>
    <row r="11" spans="1:13" x14ac:dyDescent="0.2">
      <c r="A11" s="43" t="s">
        <v>128</v>
      </c>
      <c r="B11" s="49">
        <f t="shared" si="0"/>
        <v>7.30545665236303E-3</v>
      </c>
      <c r="C11" s="49">
        <f>($K18*$B$43)*$B$4</f>
        <v>2.1717626949953207E-3</v>
      </c>
      <c r="D11" s="42">
        <f t="shared" si="2"/>
        <v>5.1336939573677094E-3</v>
      </c>
      <c r="E11" s="42">
        <f t="shared" si="3"/>
        <v>7.2086704881965573E-3</v>
      </c>
      <c r="F11" s="42">
        <f t="shared" si="4"/>
        <v>2.1429901499333431E-3</v>
      </c>
      <c r="G11" s="42">
        <f t="shared" si="5"/>
        <v>5.0656803382632138E-3</v>
      </c>
      <c r="I11" s="47" t="s">
        <v>93</v>
      </c>
      <c r="J11" s="36" t="s">
        <v>83</v>
      </c>
      <c r="K11" s="41">
        <v>2.7557774875025493E-2</v>
      </c>
      <c r="L11" s="41">
        <v>3.1967018855029575E-2</v>
      </c>
      <c r="M11" s="42">
        <v>2.7050711817325022</v>
      </c>
    </row>
    <row r="12" spans="1:13" x14ac:dyDescent="0.2">
      <c r="A12" s="43" t="s">
        <v>129</v>
      </c>
      <c r="B12" s="49">
        <f t="shared" si="0"/>
        <v>1.4324505429792662E-3</v>
      </c>
      <c r="C12" s="49">
        <f>($K19*$B$43)*$B$4</f>
        <v>9.7211030661722389E-5</v>
      </c>
      <c r="D12" s="42">
        <f t="shared" si="2"/>
        <v>1.3352395123175439E-3</v>
      </c>
      <c r="E12" s="42">
        <f t="shared" si="3"/>
        <v>1.4134727569200881E-3</v>
      </c>
      <c r="F12" s="42">
        <f t="shared" si="4"/>
        <v>9.5923132694471537E-5</v>
      </c>
      <c r="G12" s="42">
        <f t="shared" si="5"/>
        <v>1.3175496242256166E-3</v>
      </c>
      <c r="I12" s="47" t="s">
        <v>95</v>
      </c>
      <c r="J12" s="36" t="s">
        <v>83</v>
      </c>
      <c r="K12" s="41">
        <v>1.4330042935013255E-2</v>
      </c>
      <c r="L12" s="41">
        <v>1.6534664925015295E-2</v>
      </c>
      <c r="M12" s="42">
        <v>2.1958035020420312</v>
      </c>
    </row>
    <row r="13" spans="1:13" x14ac:dyDescent="0.2">
      <c r="A13" s="43" t="s">
        <v>130</v>
      </c>
      <c r="B13" s="49">
        <f t="shared" si="0"/>
        <v>9.5353066204723438E-4</v>
      </c>
      <c r="C13" s="49">
        <f t="shared" si="1"/>
        <v>8.2383202228784947E-5</v>
      </c>
      <c r="D13" s="42">
        <f>B13-C13</f>
        <v>8.7114745981844944E-4</v>
      </c>
      <c r="E13" s="42">
        <f t="shared" si="3"/>
        <v>9.4089783434236831E-4</v>
      </c>
      <c r="F13" s="42">
        <f t="shared" si="4"/>
        <v>8.1291750384649265E-5</v>
      </c>
      <c r="G13" s="42">
        <f t="shared" si="5"/>
        <v>8.5960608395771899E-4</v>
      </c>
      <c r="I13" s="47" t="s">
        <v>94</v>
      </c>
      <c r="J13" s="36" t="s">
        <v>83</v>
      </c>
      <c r="K13" s="41">
        <v>1.4330042935013255E-2</v>
      </c>
      <c r="L13" s="41">
        <v>1.6534664925015295E-2</v>
      </c>
      <c r="M13" s="42">
        <v>0.50816536869547013</v>
      </c>
    </row>
    <row r="14" spans="1:13" x14ac:dyDescent="0.2">
      <c r="A14" s="43" t="s">
        <v>131</v>
      </c>
      <c r="B14" s="49">
        <f t="shared" si="0"/>
        <v>7.4642805027383416E-3</v>
      </c>
      <c r="C14" s="49">
        <f t="shared" si="1"/>
        <v>6.4766436094502614E-5</v>
      </c>
      <c r="D14" s="42">
        <f t="shared" si="2"/>
        <v>7.3995140666438391E-3</v>
      </c>
      <c r="E14" s="42">
        <f t="shared" si="3"/>
        <v>7.3653901646663252E-3</v>
      </c>
      <c r="F14" s="42">
        <f t="shared" si="4"/>
        <v>6.3908379546553297E-5</v>
      </c>
      <c r="G14" s="42">
        <f t="shared" si="5"/>
        <v>7.3014817851197716E-3</v>
      </c>
      <c r="I14" s="47" t="s">
        <v>96</v>
      </c>
      <c r="J14" s="36" t="s">
        <v>83</v>
      </c>
      <c r="K14" s="41">
        <v>1.00158324928212E-3</v>
      </c>
      <c r="L14" s="41">
        <v>1.1673473437060799E-3</v>
      </c>
      <c r="M14" s="42">
        <v>0.30534014561528244</v>
      </c>
    </row>
    <row r="15" spans="1:13" x14ac:dyDescent="0.2">
      <c r="A15" s="43" t="s">
        <v>132</v>
      </c>
      <c r="B15" s="49">
        <f t="shared" si="0"/>
        <v>7.1704115646858006E-5</v>
      </c>
      <c r="C15" s="49">
        <f t="shared" si="1"/>
        <v>2.9319506758825354E-5</v>
      </c>
      <c r="D15" s="42">
        <f t="shared" si="2"/>
        <v>4.2384608888032651E-5</v>
      </c>
      <c r="E15" s="42">
        <f t="shared" si="3"/>
        <v>7.0754145420675942E-5</v>
      </c>
      <c r="F15" s="42">
        <f>($K22*$B$43)*$C$4</f>
        <v>2.8931067989084409E-5</v>
      </c>
      <c r="G15" s="42">
        <f t="shared" si="5"/>
        <v>4.182307743159153E-5</v>
      </c>
      <c r="I15" s="67" t="s">
        <v>84</v>
      </c>
      <c r="J15" s="37" t="s">
        <v>85</v>
      </c>
      <c r="K15" s="95">
        <v>3386.6300699416329</v>
      </c>
      <c r="L15" s="95">
        <v>3453.8710406366949</v>
      </c>
      <c r="M15" s="68">
        <v>77204.539316677416</v>
      </c>
    </row>
    <row r="16" spans="1:13" x14ac:dyDescent="0.2">
      <c r="A16" s="43" t="s">
        <v>133</v>
      </c>
      <c r="B16" s="49">
        <f t="shared" si="0"/>
        <v>1.0071806394630293E-4</v>
      </c>
      <c r="C16" s="49">
        <f t="shared" si="1"/>
        <v>1.9196643222359528E-5</v>
      </c>
      <c r="D16" s="42">
        <f t="shared" si="2"/>
        <v>8.1521420723943403E-5</v>
      </c>
      <c r="E16" s="42">
        <f t="shared" si="3"/>
        <v>9.9383703134171757E-5</v>
      </c>
      <c r="F16" s="42">
        <f t="shared" si="4"/>
        <v>1.8942316963129242E-5</v>
      </c>
      <c r="G16" s="42">
        <f t="shared" si="5"/>
        <v>8.0441386171042515E-5</v>
      </c>
      <c r="I16" s="67" t="s">
        <v>70</v>
      </c>
      <c r="J16" s="37" t="s">
        <v>56</v>
      </c>
      <c r="K16" s="95">
        <v>7.9579358124307625E-5</v>
      </c>
      <c r="L16" s="95">
        <v>1.283089998181187E-4</v>
      </c>
      <c r="M16" s="68">
        <v>3.046456896884318E-3</v>
      </c>
    </row>
    <row r="17" spans="1:13" x14ac:dyDescent="0.2">
      <c r="A17" s="43" t="s">
        <v>134</v>
      </c>
      <c r="B17" s="49">
        <f t="shared" si="0"/>
        <v>1.032183905522323E-2</v>
      </c>
      <c r="C17" s="49">
        <f t="shared" si="1"/>
        <v>1.2906118226702534E-3</v>
      </c>
      <c r="D17" s="42">
        <f t="shared" si="2"/>
        <v>9.0312272325529762E-3</v>
      </c>
      <c r="E17" s="42">
        <f t="shared" si="3"/>
        <v>1.0185090422408385E-2</v>
      </c>
      <c r="F17" s="42">
        <f t="shared" si="4"/>
        <v>1.273513183435463E-3</v>
      </c>
      <c r="G17" s="42">
        <f t="shared" si="5"/>
        <v>8.9115772389729217E-3</v>
      </c>
      <c r="I17" s="47" t="s">
        <v>72</v>
      </c>
      <c r="J17" s="36" t="s">
        <v>56</v>
      </c>
      <c r="K17" s="41">
        <v>2.0800608475669241E-4</v>
      </c>
      <c r="L17" s="41">
        <v>3.5516460258932852E-4</v>
      </c>
      <c r="M17" s="42">
        <v>1.3622359276222603E-2</v>
      </c>
    </row>
    <row r="18" spans="1:13" x14ac:dyDescent="0.2">
      <c r="A18" s="43" t="s">
        <v>135</v>
      </c>
      <c r="B18" s="49">
        <f t="shared" si="0"/>
        <v>4.7247137171365395E-5</v>
      </c>
      <c r="C18" s="49">
        <f t="shared" si="1"/>
        <v>1.3032281073304381E-5</v>
      </c>
      <c r="D18" s="42">
        <f t="shared" si="2"/>
        <v>3.4214856098061014E-5</v>
      </c>
      <c r="E18" s="42">
        <f>($M25*$B$39-((L25-K25)*$B$43))*$C$4</f>
        <v>4.6621184627634334E-5</v>
      </c>
      <c r="F18" s="42">
        <f t="shared" si="4"/>
        <v>1.2859623215562324E-5</v>
      </c>
      <c r="G18" s="42">
        <f t="shared" si="5"/>
        <v>3.3761561412072014E-5</v>
      </c>
      <c r="I18" s="47" t="s">
        <v>73</v>
      </c>
      <c r="J18" s="36" t="s">
        <v>56</v>
      </c>
      <c r="K18" s="41">
        <v>8.4249629347927938E-4</v>
      </c>
      <c r="L18" s="41">
        <v>1.937091111515292E-3</v>
      </c>
      <c r="M18" s="42">
        <v>2.6471337158352485E-2</v>
      </c>
    </row>
    <row r="19" spans="1:13" x14ac:dyDescent="0.2">
      <c r="A19" s="43" t="s">
        <v>136</v>
      </c>
      <c r="B19" s="49">
        <f t="shared" si="0"/>
        <v>7.2564809796444099</v>
      </c>
      <c r="C19" s="49">
        <f t="shared" si="1"/>
        <v>1.0253507437326481</v>
      </c>
      <c r="D19" s="42">
        <f t="shared" si="2"/>
        <v>6.2311302359117615</v>
      </c>
      <c r="E19" s="42">
        <f t="shared" si="3"/>
        <v>7.1603436684826791</v>
      </c>
      <c r="F19" s="42">
        <f t="shared" si="4"/>
        <v>1.0117664094283683</v>
      </c>
      <c r="G19" s="42">
        <f t="shared" si="5"/>
        <v>6.1485772590543109</v>
      </c>
      <c r="I19" s="47" t="s">
        <v>74</v>
      </c>
      <c r="J19" s="36" t="s">
        <v>56</v>
      </c>
      <c r="K19" s="41">
        <v>3.7711271681079386E-5</v>
      </c>
      <c r="L19" s="41">
        <v>1.3073408400712095E-4</v>
      </c>
      <c r="M19" s="42">
        <v>4.3711040195770429E-3</v>
      </c>
    </row>
    <row r="20" spans="1:13" x14ac:dyDescent="0.2">
      <c r="A20" s="44" t="s">
        <v>122</v>
      </c>
      <c r="B20" s="59"/>
      <c r="C20" s="59"/>
      <c r="D20" s="59"/>
      <c r="E20" s="59"/>
      <c r="F20" s="59"/>
      <c r="G20" s="59"/>
      <c r="I20" s="47" t="s">
        <v>75</v>
      </c>
      <c r="J20" s="36" t="s">
        <v>56</v>
      </c>
      <c r="K20" s="41">
        <v>3.1959082215865562E-5</v>
      </c>
      <c r="L20" s="41">
        <v>1.1640404107210768E-4</v>
      </c>
      <c r="M20" s="42">
        <v>3.0614483264163319E-3</v>
      </c>
    </row>
    <row r="21" spans="1:13" x14ac:dyDescent="0.2">
      <c r="A21" s="72" t="s">
        <v>142</v>
      </c>
      <c r="B21" s="49">
        <f>($M6*$B$39-((L6-K6)*$B$43))*$B$4</f>
        <v>81.18685370166618</v>
      </c>
      <c r="C21" s="49">
        <f>($K6*$B$43)*$B$4</f>
        <v>14.52293488698297</v>
      </c>
      <c r="D21" s="42">
        <f>B21-C21</f>
        <v>66.663918814683214</v>
      </c>
      <c r="E21" s="42">
        <f>($M6*$B$39-((L6-K6)*$B$43))*$C$4</f>
        <v>80.111251651794703</v>
      </c>
      <c r="F21" s="42">
        <f>($K6*$B$43)*$C$4</f>
        <v>14.330528138570347</v>
      </c>
      <c r="G21" s="42">
        <f>E21-F21</f>
        <v>65.780723513224359</v>
      </c>
      <c r="I21" s="47" t="s">
        <v>76</v>
      </c>
      <c r="J21" s="36" t="s">
        <v>56</v>
      </c>
      <c r="K21" s="41">
        <v>2.5124974509058243E-5</v>
      </c>
      <c r="L21" s="41">
        <v>7.467054680136907E-4</v>
      </c>
      <c r="M21" s="42">
        <v>2.4373088179368049E-2</v>
      </c>
    </row>
    <row r="22" spans="1:13" x14ac:dyDescent="0.2">
      <c r="A22" s="72" t="s">
        <v>89</v>
      </c>
      <c r="B22" s="49">
        <f t="shared" ref="B22:B29" si="6">($M7*$B$39-((L7-K7)*$B$43))*$B$4</f>
        <v>80.163347569165339</v>
      </c>
      <c r="C22" s="49">
        <f t="shared" ref="C22:C28" si="7">($K7*$B$43)*$B$4</f>
        <v>14.45189724813058</v>
      </c>
      <c r="D22" s="42">
        <f t="shared" ref="D22:D29" si="8">B22-C22</f>
        <v>65.711450321034761</v>
      </c>
      <c r="E22" s="42">
        <f t="shared" ref="E22:E29" si="9">($M7*$B$39-((L7-K7)*$B$43))*$C$4</f>
        <v>79.101305415311259</v>
      </c>
      <c r="F22" s="42">
        <f t="shared" ref="F22:F29" si="10">($K7*$B$43)*$C$4</f>
        <v>14.260431640142592</v>
      </c>
      <c r="G22" s="42">
        <f t="shared" ref="G22:G29" si="11">E22-F22</f>
        <v>64.84087377516866</v>
      </c>
      <c r="I22" s="47" t="s">
        <v>80</v>
      </c>
      <c r="J22" s="36" t="s">
        <v>56</v>
      </c>
      <c r="K22" s="41">
        <v>1.1373975539719023E-5</v>
      </c>
      <c r="L22" s="41">
        <v>2.3981767776142687E-5</v>
      </c>
      <c r="M22" s="42">
        <v>2.7238104686475197E-4</v>
      </c>
    </row>
    <row r="23" spans="1:13" x14ac:dyDescent="0.2">
      <c r="A23" s="72" t="s">
        <v>91</v>
      </c>
      <c r="B23" s="49">
        <f t="shared" si="6"/>
        <v>61.69183695749588</v>
      </c>
      <c r="C23" s="49">
        <f t="shared" si="7"/>
        <v>0.22447893877355793</v>
      </c>
      <c r="D23" s="42">
        <f t="shared" si="8"/>
        <v>61.467358018722322</v>
      </c>
      <c r="E23" s="42">
        <f t="shared" si="9"/>
        <v>60.874514161176485</v>
      </c>
      <c r="F23" s="42">
        <f t="shared" si="10"/>
        <v>0.22150493503170757</v>
      </c>
      <c r="G23" s="42">
        <f t="shared" si="11"/>
        <v>60.653009226144775</v>
      </c>
      <c r="I23" s="47" t="s">
        <v>81</v>
      </c>
      <c r="J23" s="36" t="s">
        <v>56</v>
      </c>
      <c r="K23" s="41">
        <v>7.4469926200278893E-6</v>
      </c>
      <c r="L23" s="41">
        <v>4.0454813516537429E-5</v>
      </c>
      <c r="M23" s="42">
        <v>4.8567822439744927E-4</v>
      </c>
    </row>
    <row r="24" spans="1:13" x14ac:dyDescent="0.2">
      <c r="A24" s="72" t="s">
        <v>90</v>
      </c>
      <c r="B24" s="49">
        <f t="shared" si="6"/>
        <v>2.585343325783299</v>
      </c>
      <c r="C24" s="49">
        <f t="shared" si="7"/>
        <v>1.4889489103461311</v>
      </c>
      <c r="D24" s="42">
        <f t="shared" si="8"/>
        <v>1.0963944154371679</v>
      </c>
      <c r="E24" s="42">
        <f t="shared" si="9"/>
        <v>2.5510914678279142</v>
      </c>
      <c r="F24" s="42">
        <f>($K9*$B$43)*$C$4</f>
        <v>1.4692226070457566</v>
      </c>
      <c r="G24" s="42">
        <f t="shared" si="11"/>
        <v>1.0818688607821576</v>
      </c>
      <c r="I24" s="47" t="s">
        <v>77</v>
      </c>
      <c r="J24" s="36" t="s">
        <v>56</v>
      </c>
      <c r="K24" s="41">
        <v>5.0066965392946312E-4</v>
      </c>
      <c r="L24" s="41">
        <v>5.8885453352954475E-4</v>
      </c>
      <c r="M24" s="42">
        <v>2.7574640233249008E-2</v>
      </c>
    </row>
    <row r="25" spans="1:13" x14ac:dyDescent="0.2">
      <c r="A25" s="72" t="s">
        <v>92</v>
      </c>
      <c r="B25" s="49">
        <f t="shared" si="6"/>
        <v>15.889008791440258</v>
      </c>
      <c r="C25" s="49">
        <f>($K10*$B$43)*$B$4</f>
        <v>12.741310904564985</v>
      </c>
      <c r="D25" s="42">
        <f t="shared" si="8"/>
        <v>3.1476978868752727</v>
      </c>
      <c r="E25" s="42">
        <f t="shared" si="9"/>
        <v>15.67850364624397</v>
      </c>
      <c r="F25" s="42">
        <f t="shared" si="10"/>
        <v>12.572507958002237</v>
      </c>
      <c r="G25" s="42">
        <f t="shared" si="11"/>
        <v>3.1059956882417321</v>
      </c>
      <c r="I25" s="47" t="s">
        <v>78</v>
      </c>
      <c r="J25" s="36" t="s">
        <v>56</v>
      </c>
      <c r="K25" s="41">
        <v>5.0556391474726767E-6</v>
      </c>
      <c r="L25" s="41">
        <v>6.3909786868169119E-6</v>
      </c>
      <c r="M25" s="42">
        <v>1.3249778159912256E-4</v>
      </c>
    </row>
    <row r="26" spans="1:13" ht="16" thickBot="1" x14ac:dyDescent="0.25">
      <c r="A26" s="72" t="s">
        <v>93</v>
      </c>
      <c r="B26" s="49">
        <f t="shared" si="6"/>
        <v>1.023506132500845</v>
      </c>
      <c r="C26" s="49">
        <f t="shared" si="7"/>
        <v>7.1037638852391755E-2</v>
      </c>
      <c r="D26" s="42">
        <f t="shared" si="8"/>
        <v>0.95246849364845321</v>
      </c>
      <c r="E26" s="42">
        <f t="shared" si="9"/>
        <v>1.0099462364834515</v>
      </c>
      <c r="F26" s="42">
        <f t="shared" si="10"/>
        <v>7.009649842775556E-2</v>
      </c>
      <c r="G26" s="42">
        <f t="shared" si="11"/>
        <v>0.93984973805569594</v>
      </c>
      <c r="I26" s="69" t="s">
        <v>68</v>
      </c>
      <c r="J26" s="74" t="s">
        <v>56</v>
      </c>
      <c r="K26" s="52">
        <v>0.39776638723082941</v>
      </c>
      <c r="L26" s="52">
        <v>0.47381361023385526</v>
      </c>
      <c r="M26" s="34">
        <v>19.480260365857021</v>
      </c>
    </row>
    <row r="27" spans="1:13" x14ac:dyDescent="0.2">
      <c r="A27" s="72" t="s">
        <v>95</v>
      </c>
      <c r="B27" s="49">
        <f t="shared" si="6"/>
        <v>0.83435991154735789</v>
      </c>
      <c r="C27" s="49">
        <f t="shared" si="7"/>
        <v>3.6939572203243703E-2</v>
      </c>
      <c r="D27" s="42">
        <f t="shared" si="8"/>
        <v>0.79742033934411416</v>
      </c>
      <c r="E27" s="42">
        <f t="shared" si="9"/>
        <v>0.82330591462208347</v>
      </c>
      <c r="F27" s="42">
        <f t="shared" si="10"/>
        <v>3.6450179182432887E-2</v>
      </c>
      <c r="G27" s="42">
        <f t="shared" si="11"/>
        <v>0.78685573543965059</v>
      </c>
      <c r="I27" s="186" t="s">
        <v>285</v>
      </c>
    </row>
    <row r="28" spans="1:13" x14ac:dyDescent="0.2">
      <c r="A28" s="72" t="s">
        <v>94</v>
      </c>
      <c r="B28" s="49">
        <f t="shared" si="6"/>
        <v>0.18872451265898146</v>
      </c>
      <c r="C28" s="49">
        <f t="shared" si="7"/>
        <v>3.6939572203243703E-2</v>
      </c>
      <c r="D28" s="42">
        <f t="shared" si="8"/>
        <v>0.15178494045573776</v>
      </c>
      <c r="E28" s="42">
        <f t="shared" si="9"/>
        <v>0.18622420055891015</v>
      </c>
      <c r="F28" s="42">
        <f t="shared" si="10"/>
        <v>3.6450179182432887E-2</v>
      </c>
      <c r="G28" s="42">
        <f t="shared" si="11"/>
        <v>0.14977402137647727</v>
      </c>
    </row>
    <row r="29" spans="1:13" x14ac:dyDescent="0.2">
      <c r="A29" s="43" t="s">
        <v>96</v>
      </c>
      <c r="B29" s="49">
        <f t="shared" si="6"/>
        <v>0.11638589566683831</v>
      </c>
      <c r="C29" s="49">
        <f>($K14*$B$43)*$B$4</f>
        <v>2.5818524705196284E-3</v>
      </c>
      <c r="D29" s="42">
        <f t="shared" si="8"/>
        <v>0.11380404319631868</v>
      </c>
      <c r="E29" s="42">
        <f t="shared" si="9"/>
        <v>0.11484395996853682</v>
      </c>
      <c r="F29" s="42">
        <f t="shared" si="10"/>
        <v>2.5476468610750088E-3</v>
      </c>
      <c r="G29" s="42">
        <f t="shared" si="11"/>
        <v>0.11229631310746181</v>
      </c>
    </row>
    <row r="30" spans="1:13" x14ac:dyDescent="0.2">
      <c r="A30" s="44" t="s">
        <v>123</v>
      </c>
      <c r="B30" s="79"/>
      <c r="C30" s="79"/>
      <c r="D30" s="79"/>
      <c r="E30" s="79"/>
      <c r="F30" s="79"/>
      <c r="G30" s="79"/>
    </row>
    <row r="31" spans="1:13" ht="16" thickBot="1" x14ac:dyDescent="0.25">
      <c r="A31" s="61" t="s">
        <v>86</v>
      </c>
      <c r="B31" s="50">
        <f>($M15*$B$39-((L15-K15)*$B$43))*$B$4</f>
        <v>29362.611058432834</v>
      </c>
      <c r="C31" s="50">
        <f>($K15*$B$43)*$B$4</f>
        <v>8729.9575138481268</v>
      </c>
      <c r="D31" s="34">
        <f>B31-C31</f>
        <v>20632.653544584708</v>
      </c>
      <c r="E31" s="34">
        <f>($M15*$B$39-((L15-K15)*$B$43))*$C$4</f>
        <v>28973.601222430516</v>
      </c>
      <c r="F31" s="34">
        <f>($K15*$B$43)*$C$4</f>
        <v>8614.2988847837369</v>
      </c>
      <c r="G31" s="34">
        <f>E31-F31</f>
        <v>20359.302337646779</v>
      </c>
    </row>
    <row r="33" spans="1:12" ht="16" thickBot="1" x14ac:dyDescent="0.25"/>
    <row r="34" spans="1:12" x14ac:dyDescent="0.2">
      <c r="A34" s="212" t="s">
        <v>150</v>
      </c>
      <c r="B34" s="213"/>
      <c r="C34" s="214"/>
    </row>
    <row r="35" spans="1:12" x14ac:dyDescent="0.2">
      <c r="A35" s="46"/>
      <c r="B35" s="28" t="s">
        <v>117</v>
      </c>
      <c r="C35" s="60" t="s">
        <v>57</v>
      </c>
    </row>
    <row r="36" spans="1:12" x14ac:dyDescent="0.2">
      <c r="A36" s="64" t="s">
        <v>58</v>
      </c>
      <c r="B36" s="37" t="s">
        <v>103</v>
      </c>
      <c r="C36" s="42" t="str">
        <f>$A$4</f>
        <v>Li</v>
      </c>
    </row>
    <row r="37" spans="1:12" x14ac:dyDescent="0.2">
      <c r="A37" s="65" t="s">
        <v>119</v>
      </c>
      <c r="B37" s="39">
        <f>73.8909/1000</f>
        <v>7.3890899999999995E-2</v>
      </c>
      <c r="C37" s="58">
        <f>VLOOKUP(C36,Atomic_Mass,2,FALSE)/1000</f>
        <v>6.9379999999999997E-3</v>
      </c>
    </row>
    <row r="38" spans="1:12" x14ac:dyDescent="0.2">
      <c r="A38" s="66" t="s">
        <v>120</v>
      </c>
      <c r="B38" s="231">
        <v>2</v>
      </c>
      <c r="C38" s="226"/>
    </row>
    <row r="39" spans="1:12" x14ac:dyDescent="0.2">
      <c r="A39" s="223" t="s">
        <v>124</v>
      </c>
      <c r="B39" s="231">
        <f>B37/(B38*C37)</f>
        <v>5.3250864802536757</v>
      </c>
      <c r="C39" s="226"/>
    </row>
    <row r="40" spans="1:12" ht="16" thickBot="1" x14ac:dyDescent="0.25">
      <c r="A40" s="224"/>
      <c r="B40" s="232"/>
      <c r="C40" s="228"/>
    </row>
    <row r="41" spans="1:12" x14ac:dyDescent="0.2">
      <c r="A41" s="64" t="s">
        <v>58</v>
      </c>
      <c r="B41" s="37" t="str">
        <f>K4</f>
        <v>Spodumene concentrate</v>
      </c>
      <c r="C41" s="42" t="str">
        <f>$A$4</f>
        <v>Li</v>
      </c>
    </row>
    <row r="42" spans="1:12" x14ac:dyDescent="0.2">
      <c r="A42" s="66" t="s">
        <v>153</v>
      </c>
      <c r="B42" s="233">
        <v>2.7869999999999999E-2</v>
      </c>
      <c r="C42" s="234"/>
    </row>
    <row r="43" spans="1:12" x14ac:dyDescent="0.2">
      <c r="A43" s="223" t="s">
        <v>124</v>
      </c>
      <c r="B43" s="225">
        <f>1/(B42)</f>
        <v>35.880875493362041</v>
      </c>
      <c r="C43" s="226"/>
    </row>
    <row r="44" spans="1:12" ht="16" thickBot="1" x14ac:dyDescent="0.25">
      <c r="A44" s="224"/>
      <c r="B44" s="227"/>
      <c r="C44" s="228"/>
      <c r="L44" s="40"/>
    </row>
    <row r="56" spans="20:20" x14ac:dyDescent="0.2">
      <c r="T56" s="40"/>
    </row>
    <row r="75" spans="16:16" x14ac:dyDescent="0.2">
      <c r="P75" s="40"/>
    </row>
    <row r="81" spans="20:20" x14ac:dyDescent="0.2">
      <c r="T81" s="40"/>
    </row>
  </sheetData>
  <mergeCells count="10">
    <mergeCell ref="B42:C42"/>
    <mergeCell ref="A43:A44"/>
    <mergeCell ref="B43:C44"/>
    <mergeCell ref="A2:C2"/>
    <mergeCell ref="I2:M2"/>
    <mergeCell ref="A6:G6"/>
    <mergeCell ref="A34:C34"/>
    <mergeCell ref="B38:C38"/>
    <mergeCell ref="A39:A40"/>
    <mergeCell ref="B39:C40"/>
  </mergeCells>
  <pageMargins left="0.7" right="0.7" top="0.75" bottom="0.75" header="0.3" footer="0.3"/>
  <legacy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D7795-4E6F-B845-94EF-D02AB6718921}">
  <dimension ref="A1:I40"/>
  <sheetViews>
    <sheetView workbookViewId="0">
      <selection sqref="A1:J1048576"/>
    </sheetView>
  </sheetViews>
  <sheetFormatPr baseColWidth="10" defaultRowHeight="15" x14ac:dyDescent="0.2"/>
  <cols>
    <col min="1" max="1" width="29.83203125" customWidth="1"/>
    <col min="2" max="2" width="28" bestFit="1" customWidth="1"/>
    <col min="3" max="4" width="27.5" customWidth="1"/>
    <col min="5" max="5" width="12.83203125" customWidth="1"/>
    <col min="6" max="6" width="24.5" bestFit="1" customWidth="1"/>
    <col min="7" max="7" width="18.5" customWidth="1"/>
    <col min="8" max="8" width="35.6640625" bestFit="1" customWidth="1"/>
    <col min="9" max="9" width="39.5" bestFit="1" customWidth="1"/>
    <col min="10" max="10" width="11" customWidth="1"/>
  </cols>
  <sheetData>
    <row r="1" spans="1:9" ht="16" thickBot="1" x14ac:dyDescent="0.25"/>
    <row r="2" spans="1:9" ht="19" x14ac:dyDescent="0.25">
      <c r="A2" s="212" t="s">
        <v>243</v>
      </c>
      <c r="B2" s="214"/>
      <c r="F2" s="215" t="s">
        <v>233</v>
      </c>
      <c r="G2" s="216"/>
      <c r="H2" s="216"/>
      <c r="I2" s="217"/>
    </row>
    <row r="3" spans="1:9" ht="32" x14ac:dyDescent="0.2">
      <c r="A3" s="29" t="s">
        <v>57</v>
      </c>
      <c r="B3" s="94" t="s">
        <v>151</v>
      </c>
      <c r="F3" s="46"/>
      <c r="G3" s="110" t="s">
        <v>149</v>
      </c>
      <c r="H3" s="110" t="s">
        <v>176</v>
      </c>
      <c r="I3" s="151" t="s">
        <v>139</v>
      </c>
    </row>
    <row r="4" spans="1:9" ht="33" thickBot="1" x14ac:dyDescent="0.25">
      <c r="A4" s="33" t="s">
        <v>20</v>
      </c>
      <c r="B4" s="34">
        <f>VLOOKUP(A4,NCA_Composition,4,FALSE)</f>
        <v>1.4046767374558079E-2</v>
      </c>
      <c r="F4" s="62"/>
      <c r="G4" s="120" t="s">
        <v>148</v>
      </c>
      <c r="H4" s="121" t="s">
        <v>203</v>
      </c>
      <c r="I4" s="152" t="s">
        <v>203</v>
      </c>
    </row>
    <row r="5" spans="1:9" ht="33" thickBot="1" x14ac:dyDescent="0.25">
      <c r="F5" s="62"/>
      <c r="G5" s="118" t="s">
        <v>169</v>
      </c>
      <c r="H5" s="119"/>
      <c r="I5" s="153"/>
    </row>
    <row r="6" spans="1:9" x14ac:dyDescent="0.2">
      <c r="A6" s="218" t="s">
        <v>147</v>
      </c>
      <c r="B6" s="219"/>
      <c r="C6" s="219"/>
      <c r="D6" s="220"/>
      <c r="F6" s="67" t="s">
        <v>142</v>
      </c>
      <c r="G6" s="37" t="s">
        <v>83</v>
      </c>
      <c r="H6" s="95">
        <v>0.14330042935013257</v>
      </c>
      <c r="I6" s="154">
        <v>15.325429763499177</v>
      </c>
    </row>
    <row r="7" spans="1:9" x14ac:dyDescent="0.2">
      <c r="A7" s="46"/>
      <c r="B7" s="80" t="s">
        <v>164</v>
      </c>
      <c r="C7" s="80" t="s">
        <v>177</v>
      </c>
      <c r="D7" s="80" t="s">
        <v>166</v>
      </c>
      <c r="F7" s="47" t="s">
        <v>89</v>
      </c>
      <c r="G7" s="36" t="s">
        <v>83</v>
      </c>
      <c r="H7" s="41">
        <v>0.14109580736013053</v>
      </c>
      <c r="I7" s="49">
        <v>14.850333724653737</v>
      </c>
    </row>
    <row r="8" spans="1:9" x14ac:dyDescent="0.2">
      <c r="A8" s="44" t="s">
        <v>121</v>
      </c>
      <c r="B8" s="59"/>
      <c r="C8" s="59"/>
      <c r="D8" s="59"/>
      <c r="F8" s="47" t="s">
        <v>91</v>
      </c>
      <c r="G8" s="36" t="s">
        <v>83</v>
      </c>
      <c r="H8" s="41">
        <v>2.8571900990426433E-3</v>
      </c>
      <c r="I8" s="49">
        <v>1.681024267376555</v>
      </c>
    </row>
    <row r="9" spans="1:9" x14ac:dyDescent="0.2">
      <c r="A9" s="43" t="s">
        <v>126</v>
      </c>
      <c r="B9" s="49">
        <f>($I16*$B$39)*$B$4</f>
        <v>2.1166499667676265E-6</v>
      </c>
      <c r="C9" s="49">
        <f>($H16*$B$39)*$B$4</f>
        <v>3.9186669611525312E-8</v>
      </c>
      <c r="D9" s="42">
        <f>B9-C9</f>
        <v>2.0774632971561011E-6</v>
      </c>
      <c r="F9" s="47" t="s">
        <v>90</v>
      </c>
      <c r="G9" s="36" t="s">
        <v>83</v>
      </c>
      <c r="H9" s="41">
        <v>1.5432353930014275E-2</v>
      </c>
      <c r="I9" s="49">
        <v>10.819182415935009</v>
      </c>
    </row>
    <row r="10" spans="1:9" x14ac:dyDescent="0.2">
      <c r="A10" s="43" t="s">
        <v>127</v>
      </c>
      <c r="B10" s="49">
        <f t="shared" ref="B10:B19" si="0">($I17*$B$39)*$B$4</f>
        <v>8.9651816441730489E-6</v>
      </c>
      <c r="C10" s="49">
        <f t="shared" ref="C10:C19" si="1">($H17*$B$39)*$B$4</f>
        <v>1.1266709450027769E-7</v>
      </c>
      <c r="D10" s="42">
        <f t="shared" ref="D10:D19" si="2">B10-C10</f>
        <v>8.8525145496727717E-6</v>
      </c>
      <c r="F10" s="47" t="s">
        <v>92</v>
      </c>
      <c r="G10" s="36" t="s">
        <v>83</v>
      </c>
      <c r="H10" s="41">
        <v>0.12235652044511319</v>
      </c>
      <c r="I10" s="49">
        <v>2.351229352337175</v>
      </c>
    </row>
    <row r="11" spans="1:9" x14ac:dyDescent="0.2">
      <c r="A11" s="43" t="s">
        <v>128</v>
      </c>
      <c r="B11" s="49">
        <f t="shared" si="0"/>
        <v>1.6539908518662613E-5</v>
      </c>
      <c r="C11" s="49">
        <f t="shared" si="1"/>
        <v>4.309016234467907E-7</v>
      </c>
      <c r="D11" s="42">
        <f t="shared" si="2"/>
        <v>1.6109006895215821E-5</v>
      </c>
      <c r="F11" s="47" t="s">
        <v>93</v>
      </c>
      <c r="G11" s="36" t="s">
        <v>83</v>
      </c>
      <c r="H11" s="41">
        <v>2.0646284936369098E-3</v>
      </c>
      <c r="I11" s="49">
        <v>0.47509603884543949</v>
      </c>
    </row>
    <row r="12" spans="1:9" x14ac:dyDescent="0.2">
      <c r="A12" s="43" t="s">
        <v>129</v>
      </c>
      <c r="B12" s="49">
        <f t="shared" si="0"/>
        <v>1.4822743329821867E-5</v>
      </c>
      <c r="C12" s="49">
        <f t="shared" si="1"/>
        <v>2.3953602769491723E-6</v>
      </c>
      <c r="D12" s="42">
        <f t="shared" si="2"/>
        <v>1.2427383052872695E-5</v>
      </c>
      <c r="F12" s="47" t="s">
        <v>95</v>
      </c>
      <c r="G12" s="36" t="s">
        <v>83</v>
      </c>
      <c r="H12" s="41">
        <v>1.0419723650633556E-3</v>
      </c>
      <c r="I12" s="49">
        <v>0.2403037969102223</v>
      </c>
    </row>
    <row r="13" spans="1:9" x14ac:dyDescent="0.2">
      <c r="A13" s="43" t="s">
        <v>130</v>
      </c>
      <c r="B13" s="49">
        <f>($I20*$B$39)*$B$4</f>
        <v>7.4740814847017815E-6</v>
      </c>
      <c r="C13" s="49">
        <f>($H20*$B$39)*$B$4</f>
        <v>1.2136440456855405E-6</v>
      </c>
      <c r="D13" s="42">
        <f t="shared" si="2"/>
        <v>6.2604374390162412E-6</v>
      </c>
      <c r="F13" s="47" t="s">
        <v>94</v>
      </c>
      <c r="G13" s="36" t="s">
        <v>83</v>
      </c>
      <c r="H13" s="41">
        <v>1.0231935051836175E-3</v>
      </c>
      <c r="I13" s="49">
        <v>0.23479224193521719</v>
      </c>
    </row>
    <row r="14" spans="1:9" x14ac:dyDescent="0.2">
      <c r="A14" s="43" t="s">
        <v>131</v>
      </c>
      <c r="B14" s="49">
        <f t="shared" si="0"/>
        <v>1.9935529131041108E-5</v>
      </c>
      <c r="C14" s="49">
        <f>($H21*$B$39)*$B$4</f>
        <v>8.048689240859402E-8</v>
      </c>
      <c r="D14" s="42">
        <f t="shared" si="2"/>
        <v>1.9855042238632516E-5</v>
      </c>
      <c r="F14" s="47" t="s">
        <v>96</v>
      </c>
      <c r="G14" s="36" t="s">
        <v>83</v>
      </c>
      <c r="H14" s="41">
        <v>7.4182443492782621E-5</v>
      </c>
      <c r="I14" s="49">
        <v>1.6534664925015295E-2</v>
      </c>
    </row>
    <row r="15" spans="1:9" x14ac:dyDescent="0.2">
      <c r="A15" s="43" t="s">
        <v>132</v>
      </c>
      <c r="B15" s="49">
        <f t="shared" si="0"/>
        <v>1.4070844848576543E-7</v>
      </c>
      <c r="C15" s="49">
        <f t="shared" si="1"/>
        <v>7.57937204632592E-9</v>
      </c>
      <c r="D15" s="42">
        <f t="shared" si="2"/>
        <v>1.3312907643943951E-7</v>
      </c>
      <c r="F15" s="67" t="s">
        <v>84</v>
      </c>
      <c r="G15" s="37" t="s">
        <v>85</v>
      </c>
      <c r="H15" s="95">
        <v>1123.6958283040397</v>
      </c>
      <c r="I15" s="154">
        <v>6786.1571785247779</v>
      </c>
    </row>
    <row r="16" spans="1:9" x14ac:dyDescent="0.2">
      <c r="A16" s="43" t="s">
        <v>133</v>
      </c>
      <c r="B16" s="49">
        <f>($I23*$B$39)*$B$4</f>
        <v>2.6642383067437581E-7</v>
      </c>
      <c r="C16" s="49">
        <f t="shared" si="1"/>
        <v>2.8227160858942089E-9</v>
      </c>
      <c r="D16" s="42">
        <f>B16-C16</f>
        <v>2.6360111458848162E-7</v>
      </c>
      <c r="F16" s="67" t="s">
        <v>70</v>
      </c>
      <c r="G16" s="37" t="s">
        <v>56</v>
      </c>
      <c r="H16" s="95">
        <v>2.7897286661485808E-6</v>
      </c>
      <c r="I16" s="154">
        <v>1.5068591301663938E-4</v>
      </c>
    </row>
    <row r="17" spans="1:9" x14ac:dyDescent="0.2">
      <c r="A17" s="43" t="s">
        <v>134</v>
      </c>
      <c r="B17" s="49">
        <f t="shared" si="0"/>
        <v>3.4126529091118145E-5</v>
      </c>
      <c r="C17" s="49">
        <f t="shared" si="1"/>
        <v>1.8110131438413196E-7</v>
      </c>
      <c r="D17" s="42">
        <f t="shared" si="2"/>
        <v>3.3945427776734013E-5</v>
      </c>
      <c r="F17" s="47" t="s">
        <v>72</v>
      </c>
      <c r="G17" s="36" t="s">
        <v>56</v>
      </c>
      <c r="H17" s="41">
        <v>8.0208557240254199E-6</v>
      </c>
      <c r="I17" s="49">
        <v>6.3823806610559036E-4</v>
      </c>
    </row>
    <row r="18" spans="1:9" x14ac:dyDescent="0.2">
      <c r="A18" s="43" t="s">
        <v>135</v>
      </c>
      <c r="B18" s="49">
        <f t="shared" si="0"/>
        <v>3.4941601909337948E-7</v>
      </c>
      <c r="C18" s="49">
        <f t="shared" si="1"/>
        <v>3.3816850968694202E-9</v>
      </c>
      <c r="D18" s="42">
        <f t="shared" si="2"/>
        <v>3.4603433399651005E-7</v>
      </c>
      <c r="F18" s="47" t="s">
        <v>73</v>
      </c>
      <c r="G18" s="36" t="s">
        <v>56</v>
      </c>
      <c r="H18" s="41">
        <v>3.0676212679883378E-5</v>
      </c>
      <c r="I18" s="49">
        <v>1.1774886048600893E-3</v>
      </c>
    </row>
    <row r="19" spans="1:9" x14ac:dyDescent="0.2">
      <c r="A19" s="43" t="s">
        <v>136</v>
      </c>
      <c r="B19" s="49">
        <f t="shared" si="0"/>
        <v>1.3906027958260072E-2</v>
      </c>
      <c r="C19" s="49">
        <f t="shared" si="1"/>
        <v>1.4931130672670245E-4</v>
      </c>
      <c r="D19" s="42">
        <f t="shared" si="2"/>
        <v>1.3756716651533369E-2</v>
      </c>
      <c r="F19" s="47" t="s">
        <v>74</v>
      </c>
      <c r="G19" s="36" t="s">
        <v>56</v>
      </c>
      <c r="H19" s="41">
        <v>1.7052751092665774E-4</v>
      </c>
      <c r="I19" s="49">
        <v>1.0552423155144762E-3</v>
      </c>
    </row>
    <row r="20" spans="1:9" x14ac:dyDescent="0.2">
      <c r="A20" s="44" t="s">
        <v>122</v>
      </c>
      <c r="B20" s="59"/>
      <c r="C20" s="59"/>
      <c r="D20" s="59"/>
      <c r="F20" s="47" t="s">
        <v>75</v>
      </c>
      <c r="G20" s="36" t="s">
        <v>56</v>
      </c>
      <c r="H20" s="41">
        <v>8.6400238099174938E-5</v>
      </c>
      <c r="I20" s="49">
        <v>5.3208551728699228E-4</v>
      </c>
    </row>
    <row r="21" spans="1:9" x14ac:dyDescent="0.2">
      <c r="A21" s="72" t="s">
        <v>142</v>
      </c>
      <c r="B21" s="49">
        <f>($I6*$B$39)*$B$4</f>
        <v>0.21527274680300157</v>
      </c>
      <c r="C21" s="49">
        <f>($H6*$B$39)*$B$4</f>
        <v>2.0129077957556072E-3</v>
      </c>
      <c r="D21" s="42">
        <f>B21-C21</f>
        <v>0.21325983900724596</v>
      </c>
      <c r="F21" s="47" t="s">
        <v>76</v>
      </c>
      <c r="G21" s="36" t="s">
        <v>56</v>
      </c>
      <c r="H21" s="41">
        <v>5.7299227831148011E-6</v>
      </c>
      <c r="I21" s="49">
        <v>1.4192254060638129E-3</v>
      </c>
    </row>
    <row r="22" spans="1:9" x14ac:dyDescent="0.2">
      <c r="A22" s="72" t="s">
        <v>89</v>
      </c>
      <c r="B22" s="49">
        <f t="shared" ref="B22:B29" si="3">($I7*$B$39)*$B$4</f>
        <v>0.20859918326476568</v>
      </c>
      <c r="C22" s="49">
        <f t="shared" ref="C22:C29" si="4">($H7*$B$39)*$B$4</f>
        <v>1.981939983513213E-3</v>
      </c>
      <c r="D22" s="42">
        <f t="shared" ref="D22:D29" si="5">B22-C22</f>
        <v>0.20661724328125247</v>
      </c>
      <c r="F22" s="47" t="s">
        <v>80</v>
      </c>
      <c r="G22" s="36" t="s">
        <v>56</v>
      </c>
      <c r="H22" s="41">
        <v>5.3958123205299916E-7</v>
      </c>
      <c r="I22" s="49">
        <v>1.0017140935972268E-5</v>
      </c>
    </row>
    <row r="23" spans="1:9" x14ac:dyDescent="0.2">
      <c r="A23" s="72" t="s">
        <v>91</v>
      </c>
      <c r="B23" s="49">
        <f t="shared" si="3"/>
        <v>2.361295683482539E-2</v>
      </c>
      <c r="C23" s="49">
        <f t="shared" si="4"/>
        <v>4.0134284666142565E-5</v>
      </c>
      <c r="D23" s="42">
        <f t="shared" si="5"/>
        <v>2.3572822550159248E-2</v>
      </c>
      <c r="F23" s="47" t="s">
        <v>81</v>
      </c>
      <c r="G23" s="36" t="s">
        <v>56</v>
      </c>
      <c r="H23" s="41">
        <v>2.0095129438868589E-7</v>
      </c>
      <c r="I23" s="49">
        <v>1.8966914135485046E-5</v>
      </c>
    </row>
    <row r="24" spans="1:9" x14ac:dyDescent="0.2">
      <c r="A24" s="72" t="s">
        <v>90</v>
      </c>
      <c r="B24" s="49">
        <f t="shared" si="3"/>
        <v>0.15197453857954835</v>
      </c>
      <c r="C24" s="49">
        <f t="shared" si="4"/>
        <v>2.1677468569675766E-4</v>
      </c>
      <c r="D24" s="42">
        <f t="shared" si="5"/>
        <v>0.15175776389385159</v>
      </c>
      <c r="F24" s="47" t="s">
        <v>77</v>
      </c>
      <c r="G24" s="36" t="s">
        <v>56</v>
      </c>
      <c r="H24" s="41">
        <v>1.2892739628631425E-5</v>
      </c>
      <c r="I24" s="49">
        <v>2.4294934329822477E-3</v>
      </c>
    </row>
    <row r="25" spans="1:9" x14ac:dyDescent="0.2">
      <c r="A25" s="72" t="s">
        <v>92</v>
      </c>
      <c r="B25" s="49">
        <f t="shared" si="3"/>
        <v>3.3027171756513152E-2</v>
      </c>
      <c r="C25" s="49">
        <f t="shared" si="4"/>
        <v>1.7187135794528646E-3</v>
      </c>
      <c r="D25" s="42">
        <f t="shared" si="5"/>
        <v>3.1308458177060287E-2</v>
      </c>
      <c r="F25" s="47" t="s">
        <v>78</v>
      </c>
      <c r="G25" s="36" t="s">
        <v>56</v>
      </c>
      <c r="H25" s="41">
        <v>2.4074472130822274E-7</v>
      </c>
      <c r="I25" s="49">
        <v>2.4875190837591011E-5</v>
      </c>
    </row>
    <row r="26" spans="1:9" ht="16" thickBot="1" x14ac:dyDescent="0.25">
      <c r="A26" s="72" t="s">
        <v>93</v>
      </c>
      <c r="B26" s="49">
        <f t="shared" si="3"/>
        <v>6.6735635382358972E-3</v>
      </c>
      <c r="C26" s="49">
        <f t="shared" si="4"/>
        <v>2.9001356165001936E-5</v>
      </c>
      <c r="D26" s="42">
        <f t="shared" si="5"/>
        <v>6.6445621820708954E-3</v>
      </c>
      <c r="F26" s="69" t="s">
        <v>68</v>
      </c>
      <c r="G26" s="74" t="s">
        <v>56</v>
      </c>
      <c r="H26" s="52">
        <v>1.0629584924794834E-2</v>
      </c>
      <c r="I26" s="50">
        <v>0.98998065444203776</v>
      </c>
    </row>
    <row r="27" spans="1:9" x14ac:dyDescent="0.2">
      <c r="A27" s="72" t="s">
        <v>95</v>
      </c>
      <c r="B27" s="49">
        <f t="shared" si="3"/>
        <v>3.3754915344209411E-3</v>
      </c>
      <c r="C27" s="49">
        <f t="shared" si="4"/>
        <v>1.4636343422763063E-5</v>
      </c>
      <c r="D27" s="42">
        <f t="shared" si="5"/>
        <v>3.360855190998178E-3</v>
      </c>
      <c r="F27" s="186" t="s">
        <v>285</v>
      </c>
    </row>
    <row r="28" spans="1:9" x14ac:dyDescent="0.2">
      <c r="A28" s="72" t="s">
        <v>94</v>
      </c>
      <c r="B28" s="49">
        <f t="shared" si="3"/>
        <v>3.2980720038149561E-3</v>
      </c>
      <c r="C28" s="49">
        <f t="shared" si="4"/>
        <v>1.4372561146472961E-5</v>
      </c>
      <c r="D28" s="42">
        <f t="shared" si="5"/>
        <v>3.2836994426684832E-3</v>
      </c>
    </row>
    <row r="29" spans="1:9" x14ac:dyDescent="0.2">
      <c r="A29" s="43" t="s">
        <v>96</v>
      </c>
      <c r="B29" s="49">
        <f t="shared" si="3"/>
        <v>2.3225859181795464E-4</v>
      </c>
      <c r="C29" s="49">
        <f t="shared" si="4"/>
        <v>1.0420235270194172E-6</v>
      </c>
      <c r="D29" s="42">
        <f t="shared" si="5"/>
        <v>2.3121656829093521E-4</v>
      </c>
      <c r="F29" s="122"/>
    </row>
    <row r="30" spans="1:9" x14ac:dyDescent="0.2">
      <c r="A30" s="44" t="s">
        <v>123</v>
      </c>
      <c r="B30" s="79"/>
      <c r="C30" s="79"/>
      <c r="D30" s="79"/>
    </row>
    <row r="31" spans="1:9" ht="16" thickBot="1" x14ac:dyDescent="0.25">
      <c r="A31" s="61" t="s">
        <v>86</v>
      </c>
      <c r="B31" s="50">
        <f>($I15*$B$39)*$B$4</f>
        <v>95.323571253924953</v>
      </c>
      <c r="C31" s="50">
        <f>($H15*$B$39)*$B$4</f>
        <v>15.784293899948201</v>
      </c>
      <c r="D31" s="34">
        <f>B31-C31</f>
        <v>79.539277353976757</v>
      </c>
    </row>
    <row r="33" spans="1:3" ht="16" thickBot="1" x14ac:dyDescent="0.25"/>
    <row r="34" spans="1:3" x14ac:dyDescent="0.2">
      <c r="A34" s="212" t="s">
        <v>150</v>
      </c>
      <c r="B34" s="213"/>
      <c r="C34" s="214"/>
    </row>
    <row r="35" spans="1:3" x14ac:dyDescent="0.2">
      <c r="A35" s="46"/>
      <c r="B35" s="28" t="s">
        <v>117</v>
      </c>
      <c r="C35" s="60" t="s">
        <v>57</v>
      </c>
    </row>
    <row r="36" spans="1:3" x14ac:dyDescent="0.2">
      <c r="A36" s="64" t="s">
        <v>58</v>
      </c>
      <c r="B36" s="37" t="s">
        <v>20</v>
      </c>
      <c r="C36" s="42" t="str">
        <f>$A$4</f>
        <v>Al</v>
      </c>
    </row>
    <row r="37" spans="1:3" x14ac:dyDescent="0.2">
      <c r="A37" s="65" t="s">
        <v>119</v>
      </c>
      <c r="B37" s="39">
        <f>VLOOKUP(C36,Atomic_Mass,2,FALSE)/1000</f>
        <v>2.6981999999999999E-2</v>
      </c>
      <c r="C37" s="58">
        <f>VLOOKUP(C36,Atomic_Mass,2,FALSE)/1000</f>
        <v>2.6981999999999999E-2</v>
      </c>
    </row>
    <row r="38" spans="1:3" x14ac:dyDescent="0.2">
      <c r="A38" s="66" t="s">
        <v>120</v>
      </c>
      <c r="B38" s="231">
        <v>1</v>
      </c>
      <c r="C38" s="226"/>
    </row>
    <row r="39" spans="1:3" x14ac:dyDescent="0.2">
      <c r="A39" s="223" t="s">
        <v>124</v>
      </c>
      <c r="B39" s="231">
        <f>B37/(B38*C37)</f>
        <v>1</v>
      </c>
      <c r="C39" s="226"/>
    </row>
    <row r="40" spans="1:3" ht="16" thickBot="1" x14ac:dyDescent="0.25">
      <c r="A40" s="224"/>
      <c r="B40" s="232"/>
      <c r="C40" s="228"/>
    </row>
  </sheetData>
  <mergeCells count="7">
    <mergeCell ref="A39:A40"/>
    <mergeCell ref="B39:C40"/>
    <mergeCell ref="A2:B2"/>
    <mergeCell ref="F2:I2"/>
    <mergeCell ref="A6:D6"/>
    <mergeCell ref="A34:C34"/>
    <mergeCell ref="B38:C38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7E06D-5F99-C741-ADFF-9E894DD407DB}">
  <dimension ref="A1:I82"/>
  <sheetViews>
    <sheetView workbookViewId="0">
      <selection sqref="A1:J1048576"/>
    </sheetView>
  </sheetViews>
  <sheetFormatPr baseColWidth="10" defaultRowHeight="15" x14ac:dyDescent="0.2"/>
  <cols>
    <col min="1" max="1" width="28.5" bestFit="1" customWidth="1"/>
    <col min="2" max="2" width="28" bestFit="1" customWidth="1"/>
    <col min="3" max="3" width="21.1640625" customWidth="1"/>
    <col min="4" max="4" width="16.83203125" bestFit="1" customWidth="1"/>
    <col min="5" max="5" width="8.83203125"/>
    <col min="6" max="6" width="21.5" customWidth="1"/>
    <col min="7" max="7" width="23.1640625" customWidth="1"/>
    <col min="8" max="8" width="36.1640625" bestFit="1" customWidth="1"/>
    <col min="9" max="9" width="25.1640625" customWidth="1"/>
    <col min="10" max="10" width="9.33203125" customWidth="1"/>
  </cols>
  <sheetData>
    <row r="1" spans="1:9" ht="16" thickBot="1" x14ac:dyDescent="0.25"/>
    <row r="2" spans="1:9" ht="19" x14ac:dyDescent="0.25">
      <c r="A2" s="212" t="s">
        <v>243</v>
      </c>
      <c r="B2" s="214"/>
      <c r="F2" s="215" t="s">
        <v>233</v>
      </c>
      <c r="G2" s="216"/>
      <c r="H2" s="216"/>
      <c r="I2" s="217"/>
    </row>
    <row r="3" spans="1:9" ht="16" x14ac:dyDescent="0.2">
      <c r="A3" s="29" t="s">
        <v>57</v>
      </c>
      <c r="B3" s="94" t="s">
        <v>244</v>
      </c>
      <c r="F3" s="46"/>
      <c r="G3" s="110" t="s">
        <v>149</v>
      </c>
      <c r="H3" s="110" t="s">
        <v>140</v>
      </c>
      <c r="I3" s="109" t="s">
        <v>191</v>
      </c>
    </row>
    <row r="4" spans="1:9" ht="33" thickBot="1" x14ac:dyDescent="0.25">
      <c r="A4" s="33" t="s">
        <v>38</v>
      </c>
      <c r="B4" s="34">
        <v>1</v>
      </c>
      <c r="F4" s="62"/>
      <c r="G4" s="120" t="s">
        <v>148</v>
      </c>
      <c r="H4" s="121" t="s">
        <v>192</v>
      </c>
      <c r="I4" s="111" t="s">
        <v>192</v>
      </c>
    </row>
    <row r="5" spans="1:9" ht="17" thickBot="1" x14ac:dyDescent="0.25">
      <c r="F5" s="62"/>
      <c r="G5" s="118" t="s">
        <v>169</v>
      </c>
      <c r="H5" s="119"/>
      <c r="I5" s="71"/>
    </row>
    <row r="6" spans="1:9" x14ac:dyDescent="0.2">
      <c r="A6" s="212" t="s">
        <v>147</v>
      </c>
      <c r="B6" s="213"/>
      <c r="C6" s="213"/>
      <c r="D6" s="214"/>
      <c r="F6" s="67" t="s">
        <v>142</v>
      </c>
      <c r="G6" s="37" t="s">
        <v>83</v>
      </c>
      <c r="H6" s="95">
        <v>4.0598113945887553</v>
      </c>
      <c r="I6" s="68">
        <v>36.312328797323588</v>
      </c>
    </row>
    <row r="7" spans="1:9" x14ac:dyDescent="0.2">
      <c r="A7" s="46"/>
      <c r="B7" s="80" t="s">
        <v>164</v>
      </c>
      <c r="C7" s="80" t="s">
        <v>177</v>
      </c>
      <c r="D7" s="80" t="s">
        <v>166</v>
      </c>
      <c r="F7" s="47" t="s">
        <v>89</v>
      </c>
      <c r="G7" s="36" t="s">
        <v>83</v>
      </c>
      <c r="H7" s="41">
        <v>3.4866096771882251</v>
      </c>
      <c r="I7" s="42">
        <v>32.41014787501998</v>
      </c>
    </row>
    <row r="8" spans="1:9" x14ac:dyDescent="0.2">
      <c r="A8" s="43" t="s">
        <v>121</v>
      </c>
      <c r="B8" s="81"/>
      <c r="C8" s="81"/>
      <c r="D8" s="81"/>
      <c r="F8" s="47" t="s">
        <v>91</v>
      </c>
      <c r="G8" s="36" t="s">
        <v>83</v>
      </c>
      <c r="H8" s="41">
        <v>0.80248240436074236</v>
      </c>
      <c r="I8" s="42">
        <v>9.2616169799985677</v>
      </c>
    </row>
    <row r="9" spans="1:9" x14ac:dyDescent="0.2">
      <c r="A9" s="43" t="s">
        <v>126</v>
      </c>
      <c r="B9" s="49">
        <f>(I16)*$B$4*$B$39</f>
        <v>2.9861604854577621E-4</v>
      </c>
      <c r="C9" s="49">
        <f>H16*$B$4*$B$39</f>
        <v>3.2443106973770514E-5</v>
      </c>
      <c r="D9" s="42">
        <f>B9-C9</f>
        <v>2.6617294157200571E-4</v>
      </c>
      <c r="F9" s="47" t="s">
        <v>90</v>
      </c>
      <c r="G9" s="36" t="s">
        <v>83</v>
      </c>
      <c r="H9" s="41">
        <v>1.3922187866862878</v>
      </c>
      <c r="I9" s="42">
        <v>19.87025799588838</v>
      </c>
    </row>
    <row r="10" spans="1:9" x14ac:dyDescent="0.2">
      <c r="A10" s="43" t="s">
        <v>127</v>
      </c>
      <c r="B10" s="49">
        <f t="shared" ref="B10:B19" si="0">(I17)*$B$4*$B$39</f>
        <v>2.0386139541548856E-3</v>
      </c>
      <c r="C10" s="49">
        <f t="shared" ref="C10:C19" si="1">H17*$B$4*$B$39</f>
        <v>2.5882262162623944E-4</v>
      </c>
      <c r="D10" s="42">
        <f t="shared" ref="D10:D19" si="2">B10-C10</f>
        <v>1.7797913325286463E-3</v>
      </c>
      <c r="F10" s="47" t="s">
        <v>92</v>
      </c>
      <c r="G10" s="36" t="s">
        <v>83</v>
      </c>
      <c r="H10" s="41">
        <v>1.2908061751461941</v>
      </c>
      <c r="I10" s="42">
        <v>3.2782728991330328</v>
      </c>
    </row>
    <row r="11" spans="1:9" x14ac:dyDescent="0.2">
      <c r="A11" s="43" t="s">
        <v>128</v>
      </c>
      <c r="B11" s="49">
        <f t="shared" si="0"/>
        <v>2.4708300952947853E-3</v>
      </c>
      <c r="C11" s="49">
        <f t="shared" si="1"/>
        <v>2.4581535188522742E-4</v>
      </c>
      <c r="D11" s="42">
        <f t="shared" si="2"/>
        <v>2.2250147434095579E-3</v>
      </c>
      <c r="F11" s="47" t="s">
        <v>93</v>
      </c>
      <c r="G11" s="36" t="s">
        <v>83</v>
      </c>
      <c r="H11" s="41">
        <v>0.57320171740053028</v>
      </c>
      <c r="I11" s="42">
        <v>3.9021809223036099</v>
      </c>
    </row>
    <row r="12" spans="1:9" x14ac:dyDescent="0.2">
      <c r="A12" s="43" t="s">
        <v>129</v>
      </c>
      <c r="B12" s="49">
        <f t="shared" si="0"/>
        <v>2.9277380027227084E-4</v>
      </c>
      <c r="C12" s="49">
        <f t="shared" si="1"/>
        <v>8.3949800757287659E-5</v>
      </c>
      <c r="D12" s="42">
        <f t="shared" si="2"/>
        <v>2.0882399951498317E-4</v>
      </c>
      <c r="F12" s="47" t="s">
        <v>95</v>
      </c>
      <c r="G12" s="36" t="s">
        <v>83</v>
      </c>
      <c r="H12" s="41">
        <v>0.2899077916852682</v>
      </c>
      <c r="I12" s="42">
        <v>1.9709320590618233</v>
      </c>
    </row>
    <row r="13" spans="1:9" x14ac:dyDescent="0.2">
      <c r="A13" s="43" t="s">
        <v>130</v>
      </c>
      <c r="B13" s="49">
        <f t="shared" si="0"/>
        <v>1.8188131417516825E-4</v>
      </c>
      <c r="C13" s="49">
        <f t="shared" si="1"/>
        <v>4.1628554264014509E-5</v>
      </c>
      <c r="D13" s="42">
        <f t="shared" si="2"/>
        <v>1.4025275991115375E-4</v>
      </c>
      <c r="F13" s="47" t="s">
        <v>94</v>
      </c>
      <c r="G13" s="36" t="s">
        <v>83</v>
      </c>
      <c r="H13" s="41">
        <v>0.28329392571526207</v>
      </c>
      <c r="I13" s="42">
        <v>1.9301465522467856</v>
      </c>
    </row>
    <row r="14" spans="1:9" x14ac:dyDescent="0.2">
      <c r="A14" s="43" t="s">
        <v>131</v>
      </c>
      <c r="B14" s="49">
        <f t="shared" si="0"/>
        <v>0.14038217122196686</v>
      </c>
      <c r="C14" s="49">
        <f t="shared" si="1"/>
        <v>9.978493912487531E-5</v>
      </c>
      <c r="D14" s="42">
        <f t="shared" si="2"/>
        <v>0.14028238628284198</v>
      </c>
      <c r="F14" s="47" t="s">
        <v>96</v>
      </c>
      <c r="G14" s="36" t="s">
        <v>83</v>
      </c>
      <c r="H14" s="41">
        <v>2.0943908905019376E-2</v>
      </c>
      <c r="I14" s="42">
        <v>0.13999349636512951</v>
      </c>
    </row>
    <row r="15" spans="1:9" x14ac:dyDescent="0.2">
      <c r="A15" s="43" t="s">
        <v>132</v>
      </c>
      <c r="B15" s="49">
        <f t="shared" si="0"/>
        <v>3.8754719268947349E-5</v>
      </c>
      <c r="C15" s="49">
        <f t="shared" si="1"/>
        <v>7.6158666644620442E-7</v>
      </c>
      <c r="D15" s="42">
        <f t="shared" si="2"/>
        <v>3.7993132602501144E-5</v>
      </c>
      <c r="F15" s="67" t="s">
        <v>84</v>
      </c>
      <c r="G15" s="37" t="s">
        <v>85</v>
      </c>
      <c r="H15" s="95">
        <v>947.10560690487614</v>
      </c>
      <c r="I15" s="68">
        <v>6204.136973164239</v>
      </c>
    </row>
    <row r="16" spans="1:9" x14ac:dyDescent="0.2">
      <c r="A16" s="43" t="s">
        <v>133</v>
      </c>
      <c r="B16" s="49">
        <f t="shared" si="0"/>
        <v>4.1659639434073537E-5</v>
      </c>
      <c r="C16" s="49">
        <f t="shared" si="1"/>
        <v>3.041937421804814E-6</v>
      </c>
      <c r="D16" s="42">
        <f t="shared" si="2"/>
        <v>3.8617702012268723E-5</v>
      </c>
      <c r="F16" s="67" t="s">
        <v>70</v>
      </c>
      <c r="G16" s="37" t="s">
        <v>56</v>
      </c>
      <c r="H16" s="95">
        <v>3.2443106973770514E-5</v>
      </c>
      <c r="I16" s="68">
        <v>2.9861604854577621E-4</v>
      </c>
    </row>
    <row r="17" spans="1:9" x14ac:dyDescent="0.2">
      <c r="A17" s="43" t="s">
        <v>134</v>
      </c>
      <c r="B17" s="49">
        <f t="shared" si="0"/>
        <v>5.1279507487447442E-3</v>
      </c>
      <c r="C17" s="49">
        <f t="shared" si="1"/>
        <v>4.5150658355241772E-4</v>
      </c>
      <c r="D17" s="42">
        <f t="shared" si="2"/>
        <v>4.6764441651923269E-3</v>
      </c>
      <c r="F17" s="47" t="s">
        <v>72</v>
      </c>
      <c r="G17" s="36" t="s">
        <v>56</v>
      </c>
      <c r="H17" s="41">
        <v>2.5882262162623944E-4</v>
      </c>
      <c r="I17" s="42">
        <v>2.0386139541548856E-3</v>
      </c>
    </row>
    <row r="18" spans="1:9" x14ac:dyDescent="0.2">
      <c r="A18" s="43" t="s">
        <v>135</v>
      </c>
      <c r="B18" s="49">
        <f t="shared" si="0"/>
        <v>4.5582654034182673E-5</v>
      </c>
      <c r="C18" s="49">
        <f t="shared" si="1"/>
        <v>3.324018805425575E-6</v>
      </c>
      <c r="D18" s="42">
        <f t="shared" si="2"/>
        <v>4.2258635228757095E-5</v>
      </c>
      <c r="F18" s="47" t="s">
        <v>73</v>
      </c>
      <c r="G18" s="36" t="s">
        <v>56</v>
      </c>
      <c r="H18" s="41">
        <v>2.4581535188522742E-4</v>
      </c>
      <c r="I18" s="42">
        <v>2.4708300952947853E-3</v>
      </c>
    </row>
    <row r="19" spans="1:9" x14ac:dyDescent="0.2">
      <c r="A19" s="43" t="s">
        <v>136</v>
      </c>
      <c r="B19" s="49">
        <f t="shared" si="0"/>
        <v>2.2411083737054738</v>
      </c>
      <c r="C19" s="49">
        <f t="shared" si="1"/>
        <v>0.25148343502152265</v>
      </c>
      <c r="D19" s="42">
        <f t="shared" si="2"/>
        <v>1.9896249386839511</v>
      </c>
      <c r="F19" s="47" t="s">
        <v>74</v>
      </c>
      <c r="G19" s="36" t="s">
        <v>56</v>
      </c>
      <c r="H19" s="41">
        <v>8.3949800757287659E-5</v>
      </c>
      <c r="I19" s="42">
        <v>2.9277380027227084E-4</v>
      </c>
    </row>
    <row r="20" spans="1:9" x14ac:dyDescent="0.2">
      <c r="A20" s="53" t="s">
        <v>122</v>
      </c>
      <c r="B20" s="79"/>
      <c r="C20" s="79"/>
      <c r="D20" s="59"/>
      <c r="F20" s="47" t="s">
        <v>75</v>
      </c>
      <c r="G20" s="36" t="s">
        <v>56</v>
      </c>
      <c r="H20" s="41">
        <v>4.1628554264014509E-5</v>
      </c>
      <c r="I20" s="42">
        <v>1.8188131417516825E-4</v>
      </c>
    </row>
    <row r="21" spans="1:9" x14ac:dyDescent="0.2">
      <c r="A21" s="72" t="s">
        <v>142</v>
      </c>
      <c r="B21" s="49">
        <f>(I6)*$B$4*$B$39</f>
        <v>36.312328797323588</v>
      </c>
      <c r="C21" s="49">
        <f>H6*$B$4*$B$39</f>
        <v>4.0598113945887553</v>
      </c>
      <c r="D21" s="42">
        <f>B21-C21</f>
        <v>32.252517402734831</v>
      </c>
      <c r="F21" s="47" t="s">
        <v>76</v>
      </c>
      <c r="G21" s="36" t="s">
        <v>56</v>
      </c>
      <c r="H21" s="41">
        <v>9.978493912487531E-5</v>
      </c>
      <c r="I21" s="42">
        <v>0.14038217122196686</v>
      </c>
    </row>
    <row r="22" spans="1:9" x14ac:dyDescent="0.2">
      <c r="A22" s="72" t="s">
        <v>89</v>
      </c>
      <c r="B22" s="49">
        <f t="shared" ref="B22:B29" si="3">(I7)*$B$4*$B$39</f>
        <v>32.41014787501998</v>
      </c>
      <c r="C22" s="49">
        <f t="shared" ref="C22:C29" si="4">H7*$B$4*$B$39</f>
        <v>3.4866096771882251</v>
      </c>
      <c r="D22" s="42">
        <f t="shared" ref="D22:D29" si="5">B22-C22</f>
        <v>28.923538197831753</v>
      </c>
      <c r="F22" s="47" t="s">
        <v>80</v>
      </c>
      <c r="G22" s="36" t="s">
        <v>56</v>
      </c>
      <c r="H22" s="41">
        <v>7.6158666644620442E-7</v>
      </c>
      <c r="I22" s="42">
        <v>3.8754719268947349E-5</v>
      </c>
    </row>
    <row r="23" spans="1:9" x14ac:dyDescent="0.2">
      <c r="A23" s="72" t="s">
        <v>91</v>
      </c>
      <c r="B23" s="49">
        <f t="shared" si="3"/>
        <v>9.2616169799985677</v>
      </c>
      <c r="C23" s="49">
        <f t="shared" si="4"/>
        <v>0.80248240436074236</v>
      </c>
      <c r="D23" s="42">
        <f t="shared" si="5"/>
        <v>8.459134575637826</v>
      </c>
      <c r="F23" s="47" t="s">
        <v>81</v>
      </c>
      <c r="G23" s="36" t="s">
        <v>56</v>
      </c>
      <c r="H23" s="41">
        <v>3.041937421804814E-6</v>
      </c>
      <c r="I23" s="42">
        <v>4.1659639434073537E-5</v>
      </c>
    </row>
    <row r="24" spans="1:9" x14ac:dyDescent="0.2">
      <c r="A24" s="72" t="s">
        <v>90</v>
      </c>
      <c r="B24" s="49">
        <f t="shared" si="3"/>
        <v>19.87025799588838</v>
      </c>
      <c r="C24" s="49">
        <f t="shared" si="4"/>
        <v>1.3922187866862878</v>
      </c>
      <c r="D24" s="42">
        <f t="shared" si="5"/>
        <v>18.478039209202091</v>
      </c>
      <c r="F24" s="47" t="s">
        <v>77</v>
      </c>
      <c r="G24" s="36" t="s">
        <v>56</v>
      </c>
      <c r="H24" s="41">
        <v>4.5150658355241772E-4</v>
      </c>
      <c r="I24" s="42">
        <v>5.1279507487447442E-3</v>
      </c>
    </row>
    <row r="25" spans="1:9" x14ac:dyDescent="0.2">
      <c r="A25" s="72" t="s">
        <v>92</v>
      </c>
      <c r="B25" s="49">
        <f t="shared" si="3"/>
        <v>3.2782728991330328</v>
      </c>
      <c r="C25" s="49">
        <f t="shared" si="4"/>
        <v>1.2908061751461941</v>
      </c>
      <c r="D25" s="42">
        <f t="shared" si="5"/>
        <v>1.9874667239868387</v>
      </c>
      <c r="F25" s="47" t="s">
        <v>78</v>
      </c>
      <c r="G25" s="36" t="s">
        <v>56</v>
      </c>
      <c r="H25" s="41">
        <v>3.324018805425575E-6</v>
      </c>
      <c r="I25" s="42">
        <v>4.5582654034182673E-5</v>
      </c>
    </row>
    <row r="26" spans="1:9" ht="16" thickBot="1" x14ac:dyDescent="0.25">
      <c r="A26" s="72" t="s">
        <v>93</v>
      </c>
      <c r="B26" s="49">
        <f t="shared" si="3"/>
        <v>3.9021809223036099</v>
      </c>
      <c r="C26" s="49">
        <f t="shared" si="4"/>
        <v>0.57320171740053028</v>
      </c>
      <c r="D26" s="42">
        <f t="shared" si="5"/>
        <v>3.3289792049030797</v>
      </c>
      <c r="F26" s="69" t="s">
        <v>68</v>
      </c>
      <c r="G26" s="74" t="s">
        <v>56</v>
      </c>
      <c r="H26" s="52">
        <v>0.25148343502152265</v>
      </c>
      <c r="I26" s="34">
        <v>2.2411083737054738</v>
      </c>
    </row>
    <row r="27" spans="1:9" x14ac:dyDescent="0.2">
      <c r="A27" s="72" t="s">
        <v>95</v>
      </c>
      <c r="B27" s="49">
        <f t="shared" si="3"/>
        <v>1.9709320590618233</v>
      </c>
      <c r="C27" s="49">
        <f t="shared" si="4"/>
        <v>0.2899077916852682</v>
      </c>
      <c r="D27" s="42">
        <f t="shared" si="5"/>
        <v>1.6810242673765552</v>
      </c>
      <c r="F27" s="186" t="s">
        <v>285</v>
      </c>
    </row>
    <row r="28" spans="1:9" x14ac:dyDescent="0.2">
      <c r="A28" s="72" t="s">
        <v>94</v>
      </c>
      <c r="B28" s="49">
        <f t="shared" si="3"/>
        <v>1.9301465522467856</v>
      </c>
      <c r="C28" s="49">
        <f t="shared" si="4"/>
        <v>0.28329392571526207</v>
      </c>
      <c r="D28" s="42">
        <f t="shared" si="5"/>
        <v>1.6468526265315235</v>
      </c>
    </row>
    <row r="29" spans="1:9" x14ac:dyDescent="0.2">
      <c r="A29" s="43" t="s">
        <v>96</v>
      </c>
      <c r="B29" s="49">
        <f t="shared" si="3"/>
        <v>0.13999349636512951</v>
      </c>
      <c r="C29" s="49">
        <f t="shared" si="4"/>
        <v>2.0943908905019376E-2</v>
      </c>
      <c r="D29" s="42">
        <f t="shared" si="5"/>
        <v>0.11904958746011013</v>
      </c>
    </row>
    <row r="30" spans="1:9" x14ac:dyDescent="0.2">
      <c r="A30" s="44" t="s">
        <v>123</v>
      </c>
      <c r="B30" s="79"/>
      <c r="C30" s="79"/>
      <c r="D30" s="79"/>
    </row>
    <row r="31" spans="1:9" ht="16" thickBot="1" x14ac:dyDescent="0.25">
      <c r="A31" s="61" t="s">
        <v>86</v>
      </c>
      <c r="B31" s="50">
        <f>(I15)*$B$4*$B$39</f>
        <v>6204.136973164239</v>
      </c>
      <c r="C31" s="50">
        <f>H15*$B$4*$B$39</f>
        <v>947.10560690487614</v>
      </c>
      <c r="D31" s="34">
        <f>B31-C31</f>
        <v>5257.0313662593626</v>
      </c>
    </row>
    <row r="32" spans="1:9" x14ac:dyDescent="0.2">
      <c r="A32" s="63"/>
    </row>
    <row r="33" spans="1:3" ht="16" thickBot="1" x14ac:dyDescent="0.25"/>
    <row r="34" spans="1:3" x14ac:dyDescent="0.2">
      <c r="A34" s="218" t="s">
        <v>150</v>
      </c>
      <c r="B34" s="219"/>
      <c r="C34" s="220"/>
    </row>
    <row r="35" spans="1:3" x14ac:dyDescent="0.2">
      <c r="A35" s="46"/>
      <c r="B35" s="28" t="s">
        <v>117</v>
      </c>
      <c r="C35" s="60" t="s">
        <v>57</v>
      </c>
    </row>
    <row r="36" spans="1:3" x14ac:dyDescent="0.2">
      <c r="A36" s="64" t="s">
        <v>58</v>
      </c>
      <c r="B36" s="37" t="s">
        <v>38</v>
      </c>
      <c r="C36" s="42" t="str">
        <f>A4</f>
        <v>Cu</v>
      </c>
    </row>
    <row r="37" spans="1:3" x14ac:dyDescent="0.2">
      <c r="A37" s="65" t="s">
        <v>119</v>
      </c>
      <c r="B37" s="39">
        <f>C37</f>
        <v>6.3546000000000005E-2</v>
      </c>
      <c r="C37" s="58">
        <f>VLOOKUP(C36,Atomic_Mass,2,FALSE)/1000</f>
        <v>6.3546000000000005E-2</v>
      </c>
    </row>
    <row r="38" spans="1:3" x14ac:dyDescent="0.2">
      <c r="A38" s="66" t="s">
        <v>120</v>
      </c>
      <c r="B38" s="231">
        <v>1</v>
      </c>
      <c r="C38" s="226"/>
    </row>
    <row r="39" spans="1:3" x14ac:dyDescent="0.2">
      <c r="A39" s="223" t="s">
        <v>124</v>
      </c>
      <c r="B39" s="231">
        <f>B37/(B38*C37)</f>
        <v>1</v>
      </c>
      <c r="C39" s="226"/>
    </row>
    <row r="40" spans="1:3" ht="16" thickBot="1" x14ac:dyDescent="0.25">
      <c r="A40" s="224"/>
      <c r="B40" s="232"/>
      <c r="C40" s="228"/>
    </row>
    <row r="82" spans="7:7" x14ac:dyDescent="0.2">
      <c r="G82" s="40"/>
    </row>
  </sheetData>
  <mergeCells count="7">
    <mergeCell ref="A39:A40"/>
    <mergeCell ref="B39:C40"/>
    <mergeCell ref="A2:B2"/>
    <mergeCell ref="F2:I2"/>
    <mergeCell ref="A6:D6"/>
    <mergeCell ref="A34:C34"/>
    <mergeCell ref="B38:C38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4ED3E-78CE-1649-82EA-F5A9735B8129}">
  <dimension ref="A1:I86"/>
  <sheetViews>
    <sheetView workbookViewId="0">
      <selection sqref="A1:J1048576"/>
    </sheetView>
  </sheetViews>
  <sheetFormatPr baseColWidth="10" defaultRowHeight="15" x14ac:dyDescent="0.2"/>
  <cols>
    <col min="1" max="1" width="28.5" bestFit="1" customWidth="1"/>
    <col min="2" max="2" width="28" bestFit="1" customWidth="1"/>
    <col min="3" max="3" width="21.1640625" customWidth="1"/>
    <col min="4" max="4" width="16.83203125" bestFit="1" customWidth="1"/>
    <col min="5" max="5" width="8.83203125"/>
    <col min="6" max="6" width="21.5" customWidth="1"/>
    <col min="7" max="7" width="23.1640625" customWidth="1"/>
    <col min="8" max="8" width="36.1640625" bestFit="1" customWidth="1"/>
    <col min="9" max="9" width="30.1640625" bestFit="1" customWidth="1"/>
  </cols>
  <sheetData>
    <row r="1" spans="1:9" ht="16" thickBot="1" x14ac:dyDescent="0.25"/>
    <row r="2" spans="1:9" ht="19" x14ac:dyDescent="0.25">
      <c r="A2" s="212" t="s">
        <v>243</v>
      </c>
      <c r="B2" s="214"/>
      <c r="F2" s="215" t="s">
        <v>233</v>
      </c>
      <c r="G2" s="216"/>
      <c r="H2" s="216"/>
      <c r="I2" s="217"/>
    </row>
    <row r="3" spans="1:9" ht="16" x14ac:dyDescent="0.2">
      <c r="A3" s="29" t="s">
        <v>57</v>
      </c>
      <c r="B3" s="94" t="s">
        <v>244</v>
      </c>
      <c r="F3" s="46"/>
      <c r="G3" s="110" t="s">
        <v>149</v>
      </c>
      <c r="H3" s="121" t="s">
        <v>193</v>
      </c>
      <c r="I3" s="109" t="s">
        <v>180</v>
      </c>
    </row>
    <row r="4" spans="1:9" ht="33" thickBot="1" x14ac:dyDescent="0.25">
      <c r="A4" s="33" t="s">
        <v>19</v>
      </c>
      <c r="B4" s="34">
        <v>1</v>
      </c>
      <c r="F4" s="62"/>
      <c r="G4" s="120" t="s">
        <v>148</v>
      </c>
      <c r="H4" s="85" t="s">
        <v>193</v>
      </c>
      <c r="I4" s="111" t="s">
        <v>182</v>
      </c>
    </row>
    <row r="5" spans="1:9" ht="17" thickBot="1" x14ac:dyDescent="0.25">
      <c r="F5" s="62"/>
      <c r="G5" s="118" t="s">
        <v>169</v>
      </c>
      <c r="H5" s="119"/>
      <c r="I5" s="71"/>
    </row>
    <row r="6" spans="1:9" x14ac:dyDescent="0.2">
      <c r="A6" s="212" t="s">
        <v>147</v>
      </c>
      <c r="B6" s="213"/>
      <c r="C6" s="213"/>
      <c r="D6" s="214"/>
      <c r="F6" s="67" t="s">
        <v>142</v>
      </c>
      <c r="G6" s="37" t="s">
        <v>83</v>
      </c>
      <c r="H6" s="95">
        <v>23.11105232119138</v>
      </c>
      <c r="I6" s="68">
        <v>8.8008509840881413</v>
      </c>
    </row>
    <row r="7" spans="1:9" x14ac:dyDescent="0.2">
      <c r="A7" s="46"/>
      <c r="B7" s="80" t="s">
        <v>164</v>
      </c>
      <c r="C7" s="80" t="s">
        <v>177</v>
      </c>
      <c r="D7" s="80" t="s">
        <v>166</v>
      </c>
      <c r="F7" s="47" t="s">
        <v>89</v>
      </c>
      <c r="G7" s="36" t="s">
        <v>83</v>
      </c>
      <c r="H7" s="41">
        <v>18.734877671037331</v>
      </c>
      <c r="I7" s="42">
        <v>7.1848630654166463</v>
      </c>
    </row>
    <row r="8" spans="1:9" x14ac:dyDescent="0.2">
      <c r="A8" s="43" t="s">
        <v>121</v>
      </c>
      <c r="B8" s="81"/>
      <c r="C8" s="81"/>
      <c r="D8" s="81"/>
      <c r="F8" s="47" t="s">
        <v>91</v>
      </c>
      <c r="G8" s="36" t="s">
        <v>83</v>
      </c>
      <c r="H8" s="41">
        <v>6.1277468212106685</v>
      </c>
      <c r="I8" s="42">
        <v>2.2619421617420925</v>
      </c>
    </row>
    <row r="9" spans="1:9" x14ac:dyDescent="0.2">
      <c r="A9" s="43" t="s">
        <v>126</v>
      </c>
      <c r="B9" s="49">
        <f t="shared" ref="B9:B19" si="0">(I16*$B$39)*$B$4</f>
        <v>1.9610334315300456E-4</v>
      </c>
      <c r="C9" s="49">
        <f>H16*$B$4*$B$43</f>
        <v>1.6369318275765143E-4</v>
      </c>
      <c r="D9" s="42">
        <f>B9-C9</f>
        <v>3.2410160395353137E-5</v>
      </c>
      <c r="F9" s="47" t="s">
        <v>90</v>
      </c>
      <c r="G9" s="36" t="s">
        <v>83</v>
      </c>
      <c r="H9" s="41">
        <v>9.8811157591891412</v>
      </c>
      <c r="I9" s="42">
        <v>3.6927418332534159</v>
      </c>
    </row>
    <row r="10" spans="1:9" x14ac:dyDescent="0.2">
      <c r="A10" s="43" t="s">
        <v>127</v>
      </c>
      <c r="B10" s="49">
        <f t="shared" si="0"/>
        <v>9.3225718204947156E-4</v>
      </c>
      <c r="C10" s="49">
        <f t="shared" ref="C10:C19" si="1">H17*$B$4*$B$43</f>
        <v>8.5903095840429461E-4</v>
      </c>
      <c r="D10" s="42">
        <f t="shared" ref="D10:D19" si="2">B10-C10</f>
        <v>7.3226223645176942E-5</v>
      </c>
      <c r="F10" s="47" t="s">
        <v>92</v>
      </c>
      <c r="G10" s="36" t="s">
        <v>83</v>
      </c>
      <c r="H10" s="41">
        <v>2.7260150906375218</v>
      </c>
      <c r="I10" s="42">
        <v>1.2301790704211379</v>
      </c>
    </row>
    <row r="11" spans="1:9" x14ac:dyDescent="0.2">
      <c r="A11" s="43" t="s">
        <v>128</v>
      </c>
      <c r="B11" s="49">
        <f t="shared" si="0"/>
        <v>1.6833347102589743E-3</v>
      </c>
      <c r="C11" s="49">
        <f t="shared" si="1"/>
        <v>1.1124522561550291E-3</v>
      </c>
      <c r="D11" s="42">
        <f t="shared" si="2"/>
        <v>5.7088245410394519E-4</v>
      </c>
      <c r="F11" s="47" t="s">
        <v>93</v>
      </c>
      <c r="G11" s="36" t="s">
        <v>83</v>
      </c>
      <c r="H11" s="41">
        <v>4.3761746501540486</v>
      </c>
      <c r="I11" s="42">
        <v>1.6159879186714949</v>
      </c>
    </row>
    <row r="12" spans="1:9" x14ac:dyDescent="0.2">
      <c r="A12" s="43" t="s">
        <v>129</v>
      </c>
      <c r="B12" s="49">
        <f t="shared" si="0"/>
        <v>5.3284390837517251E-3</v>
      </c>
      <c r="C12" s="49">
        <f t="shared" si="1"/>
        <v>5.2876756119203915E-3</v>
      </c>
      <c r="D12" s="42">
        <f t="shared" si="2"/>
        <v>4.0763471831333636E-5</v>
      </c>
      <c r="F12" s="47" t="s">
        <v>95</v>
      </c>
      <c r="G12" s="36" t="s">
        <v>83</v>
      </c>
      <c r="H12" s="41">
        <v>2.2112358559720455</v>
      </c>
      <c r="I12" s="42">
        <v>0.81681244729575564</v>
      </c>
    </row>
    <row r="13" spans="1:9" x14ac:dyDescent="0.2">
      <c r="A13" s="43" t="s">
        <v>130</v>
      </c>
      <c r="B13" s="49">
        <f t="shared" si="0"/>
        <v>2.6858823265741194E-3</v>
      </c>
      <c r="C13" s="49">
        <f t="shared" si="1"/>
        <v>2.6499556319824515E-3</v>
      </c>
      <c r="D13" s="42">
        <f t="shared" si="2"/>
        <v>3.5926694591667963E-5</v>
      </c>
      <c r="F13" s="47" t="s">
        <v>94</v>
      </c>
      <c r="G13" s="36" t="s">
        <v>83</v>
      </c>
      <c r="H13" s="41">
        <v>2.1649387941820026</v>
      </c>
      <c r="I13" s="42">
        <v>0.7991754713757393</v>
      </c>
    </row>
    <row r="14" spans="1:9" x14ac:dyDescent="0.2">
      <c r="A14" s="43" t="s">
        <v>131</v>
      </c>
      <c r="B14" s="49">
        <f t="shared" si="0"/>
        <v>4.5743317954445636E-3</v>
      </c>
      <c r="C14" s="49">
        <f t="shared" si="1"/>
        <v>7.3380842937217873E-4</v>
      </c>
      <c r="D14" s="42">
        <f t="shared" si="2"/>
        <v>3.8405233660723848E-3</v>
      </c>
      <c r="F14" s="47" t="s">
        <v>96</v>
      </c>
      <c r="G14" s="36" t="s">
        <v>83</v>
      </c>
      <c r="H14" s="41">
        <v>0.1565281612901448</v>
      </c>
      <c r="I14" s="42">
        <v>5.8422482735054043E-2</v>
      </c>
    </row>
    <row r="15" spans="1:9" x14ac:dyDescent="0.2">
      <c r="A15" s="43" t="s">
        <v>132</v>
      </c>
      <c r="B15" s="49">
        <f t="shared" si="0"/>
        <v>9.4837550576901409E-6</v>
      </c>
      <c r="C15" s="49">
        <f t="shared" si="1"/>
        <v>4.544277076891703E-6</v>
      </c>
      <c r="D15" s="42">
        <f t="shared" si="2"/>
        <v>4.9394779807984379E-6</v>
      </c>
      <c r="F15" s="67" t="s">
        <v>84</v>
      </c>
      <c r="G15" s="37" t="s">
        <v>85</v>
      </c>
      <c r="H15" s="95">
        <v>6729.608624481225</v>
      </c>
      <c r="I15" s="68">
        <v>2657.3411156489583</v>
      </c>
    </row>
    <row r="16" spans="1:9" x14ac:dyDescent="0.2">
      <c r="A16" s="43" t="s">
        <v>133</v>
      </c>
      <c r="B16" s="49">
        <f t="shared" si="0"/>
        <v>3.5676940029975798E-5</v>
      </c>
      <c r="C16" s="49">
        <f t="shared" si="1"/>
        <v>2.1082248934892003E-5</v>
      </c>
      <c r="D16" s="42">
        <f t="shared" si="2"/>
        <v>1.4594691095083795E-5</v>
      </c>
      <c r="F16" s="67" t="s">
        <v>70</v>
      </c>
      <c r="G16" s="37" t="s">
        <v>56</v>
      </c>
      <c r="H16" s="95">
        <v>1.6369318275765143E-4</v>
      </c>
      <c r="I16" s="68">
        <v>7.1347850769137519E-5</v>
      </c>
    </row>
    <row r="17" spans="1:9" x14ac:dyDescent="0.2">
      <c r="A17" s="43" t="s">
        <v>134</v>
      </c>
      <c r="B17" s="49">
        <f t="shared" si="0"/>
        <v>2.8706976925312782E-3</v>
      </c>
      <c r="C17" s="49">
        <f t="shared" si="1"/>
        <v>2.7567695673980505E-3</v>
      </c>
      <c r="D17" s="42">
        <f t="shared" si="2"/>
        <v>1.1392812513322768E-4</v>
      </c>
      <c r="F17" s="47" t="s">
        <v>72</v>
      </c>
      <c r="G17" s="36" t="s">
        <v>56</v>
      </c>
      <c r="H17" s="41">
        <v>8.5903095840429461E-4</v>
      </c>
      <c r="I17" s="42">
        <v>3.3918109316181374E-4</v>
      </c>
    </row>
    <row r="18" spans="1:9" x14ac:dyDescent="0.2">
      <c r="A18" s="43" t="s">
        <v>135</v>
      </c>
      <c r="B18" s="49">
        <f t="shared" si="0"/>
        <v>2.5226994477142408E-5</v>
      </c>
      <c r="C18" s="49">
        <f t="shared" si="1"/>
        <v>2.3446595788069689E-5</v>
      </c>
      <c r="D18" s="42">
        <f t="shared" si="2"/>
        <v>1.7803986890727192E-6</v>
      </c>
      <c r="F18" s="47" t="s">
        <v>73</v>
      </c>
      <c r="G18" s="36" t="s">
        <v>56</v>
      </c>
      <c r="H18" s="41">
        <v>1.1124522561550291E-3</v>
      </c>
      <c r="I18" s="42">
        <v>6.1244398882256653E-4</v>
      </c>
    </row>
    <row r="19" spans="1:9" x14ac:dyDescent="0.2">
      <c r="A19" s="43" t="s">
        <v>136</v>
      </c>
      <c r="B19" s="49">
        <f t="shared" si="0"/>
        <v>2.2179443628190625</v>
      </c>
      <c r="C19" s="49">
        <f t="shared" si="1"/>
        <v>1.3428490329976799</v>
      </c>
      <c r="D19" s="42">
        <f t="shared" si="2"/>
        <v>0.87509532982138261</v>
      </c>
      <c r="F19" s="47" t="s">
        <v>74</v>
      </c>
      <c r="G19" s="36" t="s">
        <v>56</v>
      </c>
      <c r="H19" s="41">
        <v>5.2876756119203915E-3</v>
      </c>
      <c r="I19" s="42">
        <v>1.9386343469082934E-3</v>
      </c>
    </row>
    <row r="20" spans="1:9" x14ac:dyDescent="0.2">
      <c r="A20" s="53" t="s">
        <v>122</v>
      </c>
      <c r="B20" s="79"/>
      <c r="C20" s="79"/>
      <c r="D20" s="59"/>
      <c r="F20" s="47" t="s">
        <v>75</v>
      </c>
      <c r="G20" s="36" t="s">
        <v>56</v>
      </c>
      <c r="H20" s="41">
        <v>2.6499556319824515E-3</v>
      </c>
      <c r="I20" s="42">
        <v>9.7719869706840395E-4</v>
      </c>
    </row>
    <row r="21" spans="1:9" x14ac:dyDescent="0.2">
      <c r="A21" s="72" t="s">
        <v>142</v>
      </c>
      <c r="B21" s="49">
        <f t="shared" ref="B21:B29" si="3">(I6*$B$39)*$B$4</f>
        <v>24.189604619704198</v>
      </c>
      <c r="C21" s="49">
        <f>H6*$B$4*$B$43</f>
        <v>23.11105232119138</v>
      </c>
      <c r="D21" s="42">
        <f>B21-C21</f>
        <v>1.0785522985128182</v>
      </c>
      <c r="F21" s="47" t="s">
        <v>76</v>
      </c>
      <c r="G21" s="36" t="s">
        <v>56</v>
      </c>
      <c r="H21" s="41">
        <v>7.3380842937217873E-4</v>
      </c>
      <c r="I21" s="42">
        <v>1.6642691402525395E-3</v>
      </c>
    </row>
    <row r="22" spans="1:9" x14ac:dyDescent="0.2">
      <c r="A22" s="72" t="s">
        <v>89</v>
      </c>
      <c r="B22" s="49">
        <f t="shared" si="3"/>
        <v>19.74797631653707</v>
      </c>
      <c r="C22" s="49">
        <f t="shared" ref="C22:C29" si="4">H7*$B$4*$B$43</f>
        <v>18.734877671037331</v>
      </c>
      <c r="D22" s="42">
        <f t="shared" ref="D22:D29" si="5">B22-C22</f>
        <v>1.0130986454997384</v>
      </c>
      <c r="F22" s="47" t="s">
        <v>80</v>
      </c>
      <c r="G22" s="36" t="s">
        <v>56</v>
      </c>
      <c r="H22" s="41">
        <v>4.544277076891703E-6</v>
      </c>
      <c r="I22" s="42">
        <v>3.450453876552192E-6</v>
      </c>
    </row>
    <row r="23" spans="1:9" x14ac:dyDescent="0.2">
      <c r="A23" s="72" t="s">
        <v>91</v>
      </c>
      <c r="B23" s="49">
        <f t="shared" si="3"/>
        <v>6.2170677203949163</v>
      </c>
      <c r="C23" s="49">
        <f t="shared" si="4"/>
        <v>6.1277468212106685</v>
      </c>
      <c r="D23" s="42">
        <f t="shared" si="5"/>
        <v>8.9320899184247793E-2</v>
      </c>
      <c r="F23" s="47" t="s">
        <v>81</v>
      </c>
      <c r="G23" s="36" t="s">
        <v>56</v>
      </c>
      <c r="H23" s="41">
        <v>2.1082248934892003E-5</v>
      </c>
      <c r="I23" s="42">
        <v>1.2980263121634508E-5</v>
      </c>
    </row>
    <row r="24" spans="1:9" x14ac:dyDescent="0.2">
      <c r="A24" s="72" t="s">
        <v>90</v>
      </c>
      <c r="B24" s="49">
        <f t="shared" si="3"/>
        <v>10.149696327155443</v>
      </c>
      <c r="C24" s="49">
        <f t="shared" si="4"/>
        <v>9.8811157591891412</v>
      </c>
      <c r="D24" s="42">
        <f t="shared" si="5"/>
        <v>0.26858056796630159</v>
      </c>
      <c r="F24" s="47" t="s">
        <v>77</v>
      </c>
      <c r="G24" s="36" t="s">
        <v>56</v>
      </c>
      <c r="H24" s="41">
        <v>2.7567695673980505E-3</v>
      </c>
      <c r="I24" s="42">
        <v>1.0444396677634661E-3</v>
      </c>
    </row>
    <row r="25" spans="1:9" x14ac:dyDescent="0.2">
      <c r="A25" s="72" t="s">
        <v>92</v>
      </c>
      <c r="B25" s="49">
        <f t="shared" si="3"/>
        <v>3.381212268986709</v>
      </c>
      <c r="C25" s="49">
        <f t="shared" si="4"/>
        <v>2.7260150906375218</v>
      </c>
      <c r="D25" s="42">
        <f t="shared" si="5"/>
        <v>0.65519717834918723</v>
      </c>
      <c r="F25" s="47" t="s">
        <v>78</v>
      </c>
      <c r="G25" s="36" t="s">
        <v>56</v>
      </c>
      <c r="H25" s="41">
        <v>2.3446595788069689E-5</v>
      </c>
      <c r="I25" s="42">
        <v>9.178282268776489E-6</v>
      </c>
    </row>
    <row r="26" spans="1:9" ht="16" thickBot="1" x14ac:dyDescent="0.25">
      <c r="A26" s="72" t="s">
        <v>93</v>
      </c>
      <c r="B26" s="49">
        <f t="shared" si="3"/>
        <v>4.4416283031671284</v>
      </c>
      <c r="C26" s="49">
        <f t="shared" si="4"/>
        <v>4.3761746501540486</v>
      </c>
      <c r="D26" s="42">
        <f t="shared" si="5"/>
        <v>6.5453653013079816E-2</v>
      </c>
      <c r="F26" s="69" t="s">
        <v>68</v>
      </c>
      <c r="G26" s="74" t="s">
        <v>56</v>
      </c>
      <c r="H26" s="52">
        <v>1.3428490329976799</v>
      </c>
      <c r="I26" s="34">
        <v>0.80694985036128253</v>
      </c>
    </row>
    <row r="27" spans="1:9" x14ac:dyDescent="0.2">
      <c r="A27" s="72" t="s">
        <v>95</v>
      </c>
      <c r="B27" s="49">
        <f t="shared" si="3"/>
        <v>2.2450522323648312</v>
      </c>
      <c r="C27" s="49">
        <f t="shared" si="4"/>
        <v>2.2112358559720455</v>
      </c>
      <c r="D27" s="42">
        <f t="shared" si="5"/>
        <v>3.3816376392785674E-2</v>
      </c>
      <c r="F27" s="186" t="s">
        <v>285</v>
      </c>
    </row>
    <row r="28" spans="1:9" x14ac:dyDescent="0.2">
      <c r="A28" s="72" t="s">
        <v>94</v>
      </c>
      <c r="B28" s="49">
        <f t="shared" si="3"/>
        <v>2.1965760708022977</v>
      </c>
      <c r="C28" s="49">
        <f t="shared" si="4"/>
        <v>2.1649387941820026</v>
      </c>
      <c r="D28" s="42">
        <f t="shared" si="5"/>
        <v>3.163727662029503E-2</v>
      </c>
    </row>
    <row r="29" spans="1:9" x14ac:dyDescent="0.2">
      <c r="A29" s="43" t="s">
        <v>96</v>
      </c>
      <c r="B29" s="49">
        <f t="shared" si="3"/>
        <v>0.16057728517589209</v>
      </c>
      <c r="C29" s="49">
        <f t="shared" si="4"/>
        <v>0.1565281612901448</v>
      </c>
      <c r="D29" s="42">
        <f t="shared" si="5"/>
        <v>4.0491238857472966E-3</v>
      </c>
    </row>
    <row r="30" spans="1:9" x14ac:dyDescent="0.2">
      <c r="A30" s="44" t="s">
        <v>123</v>
      </c>
      <c r="B30" s="79"/>
      <c r="C30" s="79"/>
      <c r="D30" s="79"/>
    </row>
    <row r="31" spans="1:9" ht="16" thickBot="1" x14ac:dyDescent="0.25">
      <c r="A31" s="61" t="s">
        <v>86</v>
      </c>
      <c r="B31" s="50">
        <f>(I15*$B$39)*$B$4</f>
        <v>7303.842667424964</v>
      </c>
      <c r="C31" s="50">
        <f>H15*$B$4*$B$43</f>
        <v>6729.608624481225</v>
      </c>
      <c r="D31" s="34">
        <f>B31-C31</f>
        <v>574.23404294373904</v>
      </c>
    </row>
    <row r="32" spans="1:9" x14ac:dyDescent="0.2">
      <c r="A32" s="63"/>
    </row>
    <row r="33" spans="1:3" ht="16" thickBot="1" x14ac:dyDescent="0.25"/>
    <row r="34" spans="1:3" x14ac:dyDescent="0.2">
      <c r="A34" s="218" t="s">
        <v>150</v>
      </c>
      <c r="B34" s="219"/>
      <c r="C34" s="220"/>
    </row>
    <row r="35" spans="1:3" x14ac:dyDescent="0.2">
      <c r="A35" s="46"/>
      <c r="B35" s="28" t="s">
        <v>117</v>
      </c>
      <c r="C35" s="60" t="s">
        <v>57</v>
      </c>
    </row>
    <row r="36" spans="1:3" x14ac:dyDescent="0.2">
      <c r="A36" s="64" t="s">
        <v>58</v>
      </c>
      <c r="B36" s="37" t="s">
        <v>181</v>
      </c>
      <c r="C36" s="42" t="str">
        <f>A4</f>
        <v>Mn</v>
      </c>
    </row>
    <row r="37" spans="1:3" x14ac:dyDescent="0.2">
      <c r="A37" s="65" t="s">
        <v>119</v>
      </c>
      <c r="B37" s="39">
        <f>151/1000</f>
        <v>0.151</v>
      </c>
      <c r="C37" s="58">
        <f>VLOOKUP(C36,Atomic_Mass,2,FALSE)/1000</f>
        <v>5.4938000000000001E-2</v>
      </c>
    </row>
    <row r="38" spans="1:3" x14ac:dyDescent="0.2">
      <c r="A38" s="66" t="s">
        <v>120</v>
      </c>
      <c r="B38" s="231">
        <v>1</v>
      </c>
      <c r="C38" s="226"/>
    </row>
    <row r="39" spans="1:3" x14ac:dyDescent="0.2">
      <c r="A39" s="223" t="s">
        <v>124</v>
      </c>
      <c r="B39" s="231">
        <f>B37/(B38*C37)</f>
        <v>2.7485529141941822</v>
      </c>
      <c r="C39" s="226"/>
    </row>
    <row r="40" spans="1:3" ht="16" thickBot="1" x14ac:dyDescent="0.25">
      <c r="A40" s="224"/>
      <c r="B40" s="232"/>
      <c r="C40" s="228"/>
    </row>
    <row r="41" spans="1:3" x14ac:dyDescent="0.2">
      <c r="A41" s="64" t="s">
        <v>58</v>
      </c>
      <c r="B41" s="37" t="s">
        <v>19</v>
      </c>
      <c r="C41" s="42" t="str">
        <f>$A$4</f>
        <v>Mn</v>
      </c>
    </row>
    <row r="42" spans="1:3" x14ac:dyDescent="0.2">
      <c r="A42" s="66" t="s">
        <v>153</v>
      </c>
      <c r="B42" s="229">
        <v>1</v>
      </c>
      <c r="C42" s="230"/>
    </row>
    <row r="43" spans="1:3" x14ac:dyDescent="0.2">
      <c r="A43" s="223" t="s">
        <v>124</v>
      </c>
      <c r="B43" s="225">
        <f>1/(B42)</f>
        <v>1</v>
      </c>
      <c r="C43" s="226"/>
    </row>
    <row r="44" spans="1:3" ht="16" thickBot="1" x14ac:dyDescent="0.25">
      <c r="A44" s="224"/>
      <c r="B44" s="227"/>
      <c r="C44" s="228"/>
    </row>
    <row r="86" spans="7:7" x14ac:dyDescent="0.2">
      <c r="G86" s="40"/>
    </row>
  </sheetData>
  <mergeCells count="10">
    <mergeCell ref="B42:C42"/>
    <mergeCell ref="A43:A44"/>
    <mergeCell ref="B43:C44"/>
    <mergeCell ref="A2:B2"/>
    <mergeCell ref="F2:I2"/>
    <mergeCell ref="A6:D6"/>
    <mergeCell ref="A34:C34"/>
    <mergeCell ref="B38:C38"/>
    <mergeCell ref="A39:A40"/>
    <mergeCell ref="B39:C40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841B6-D8C5-8C4E-876B-09FE58016CAB}">
  <dimension ref="A1:DQ72"/>
  <sheetViews>
    <sheetView workbookViewId="0">
      <selection sqref="A1:DQ1048576"/>
    </sheetView>
  </sheetViews>
  <sheetFormatPr baseColWidth="10" defaultRowHeight="15" x14ac:dyDescent="0.2"/>
  <cols>
    <col min="1" max="1" width="20.1640625" customWidth="1"/>
    <col min="2" max="2" width="28.33203125" style="27" bestFit="1" customWidth="1"/>
    <col min="3" max="3" width="16.83203125" customWidth="1"/>
    <col min="4" max="4" width="17.83203125" bestFit="1" customWidth="1"/>
    <col min="5" max="5" width="12" bestFit="1" customWidth="1"/>
    <col min="6" max="6" width="17.83203125" bestFit="1" customWidth="1"/>
    <col min="7" max="7" width="13.1640625" customWidth="1"/>
    <col min="8" max="8" width="13" customWidth="1"/>
    <col min="9" max="9" width="28.33203125" bestFit="1" customWidth="1"/>
    <col min="10" max="10" width="15.6640625" customWidth="1"/>
    <col min="11" max="11" width="28.33203125" bestFit="1" customWidth="1"/>
    <col min="12" max="12" width="8.83203125"/>
    <col min="13" max="14" width="12" bestFit="1" customWidth="1"/>
    <col min="15" max="16" width="8.83203125"/>
    <col min="17" max="17" width="28.33203125" bestFit="1" customWidth="1"/>
    <col min="18" max="18" width="14.33203125" customWidth="1"/>
    <col min="19" max="19" width="12" bestFit="1" customWidth="1"/>
    <col min="20" max="20" width="29" bestFit="1" customWidth="1"/>
    <col min="21" max="21" width="12" bestFit="1" customWidth="1"/>
    <col min="22" max="23" width="8.83203125"/>
    <col min="24" max="24" width="20.1640625" bestFit="1" customWidth="1"/>
    <col min="25" max="25" width="12.6640625" bestFit="1" customWidth="1"/>
    <col min="26" max="26" width="12" bestFit="1" customWidth="1"/>
  </cols>
  <sheetData>
    <row r="1" spans="1:121" ht="16" thickBot="1" x14ac:dyDescent="0.25"/>
    <row r="2" spans="1:121" ht="16" thickBot="1" x14ac:dyDescent="0.25">
      <c r="B2" s="237" t="s">
        <v>254</v>
      </c>
      <c r="C2" s="238"/>
      <c r="D2" s="238"/>
      <c r="E2" s="238"/>
      <c r="F2" s="238"/>
      <c r="G2" s="238"/>
      <c r="H2" s="238"/>
      <c r="I2" s="239"/>
    </row>
    <row r="3" spans="1:121" x14ac:dyDescent="0.2">
      <c r="B3" s="235" t="s">
        <v>179</v>
      </c>
      <c r="C3" s="236"/>
      <c r="D3" s="235" t="s">
        <v>183</v>
      </c>
      <c r="E3" s="236"/>
      <c r="F3" s="235" t="s">
        <v>184</v>
      </c>
      <c r="G3" s="236"/>
      <c r="H3" s="235" t="s">
        <v>185</v>
      </c>
      <c r="I3" s="236"/>
    </row>
    <row r="4" spans="1:121" x14ac:dyDescent="0.2">
      <c r="B4" s="124" t="s">
        <v>187</v>
      </c>
      <c r="C4" s="127">
        <v>0.6</v>
      </c>
      <c r="D4" s="124" t="s">
        <v>186</v>
      </c>
      <c r="E4" s="127">
        <v>1</v>
      </c>
      <c r="F4" s="124" t="s">
        <v>188</v>
      </c>
      <c r="G4" s="127">
        <v>0.45</v>
      </c>
      <c r="H4" s="124" t="s">
        <v>141</v>
      </c>
      <c r="I4" s="127">
        <v>1</v>
      </c>
    </row>
    <row r="5" spans="1:121" ht="16" thickBot="1" x14ac:dyDescent="0.25">
      <c r="B5" s="125" t="s">
        <v>190</v>
      </c>
      <c r="C5" s="128">
        <f>1-C4</f>
        <v>0.4</v>
      </c>
      <c r="D5" s="125"/>
      <c r="E5" s="128"/>
      <c r="F5" s="125" t="s">
        <v>189</v>
      </c>
      <c r="G5" s="128">
        <f>1-G4</f>
        <v>0.55000000000000004</v>
      </c>
      <c r="H5" s="125"/>
      <c r="I5" s="128">
        <f>1-I4</f>
        <v>0</v>
      </c>
    </row>
    <row r="7" spans="1:121" x14ac:dyDescent="0.2">
      <c r="A7" s="117"/>
      <c r="B7" s="116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  <c r="Y7" s="117"/>
      <c r="Z7" s="117"/>
      <c r="AA7" s="117"/>
      <c r="AB7" s="117"/>
      <c r="AC7" s="117"/>
      <c r="AD7" s="117"/>
      <c r="AE7" s="117"/>
      <c r="AF7" s="117"/>
      <c r="AG7" s="117"/>
      <c r="AH7" s="117"/>
      <c r="AI7" s="117"/>
      <c r="AJ7" s="117"/>
      <c r="AK7" s="117"/>
      <c r="AL7" s="117"/>
      <c r="AM7" s="117"/>
      <c r="AN7" s="117"/>
      <c r="AO7" s="117"/>
      <c r="AP7" s="117"/>
      <c r="AQ7" s="117"/>
      <c r="AR7" s="117"/>
      <c r="AS7" s="117"/>
      <c r="AT7" s="117"/>
      <c r="AU7" s="117"/>
      <c r="AV7" s="117"/>
      <c r="AW7" s="117"/>
      <c r="AX7" s="117"/>
      <c r="AY7" s="117"/>
      <c r="AZ7" s="117"/>
      <c r="BA7" s="117"/>
      <c r="BB7" s="117"/>
      <c r="BC7" s="117"/>
      <c r="BD7" s="117"/>
      <c r="BE7" s="117"/>
      <c r="BF7" s="117"/>
      <c r="BG7" s="117"/>
      <c r="BH7" s="117"/>
      <c r="BI7" s="117"/>
      <c r="BJ7" s="117"/>
      <c r="BK7" s="117"/>
      <c r="BL7" s="117"/>
      <c r="BM7" s="117"/>
      <c r="BN7" s="117"/>
      <c r="BO7" s="117"/>
      <c r="BP7" s="117"/>
      <c r="BQ7" s="117"/>
      <c r="BR7" s="117"/>
      <c r="BS7" s="117"/>
      <c r="BT7" s="117"/>
      <c r="BU7" s="117"/>
      <c r="BV7" s="117"/>
      <c r="BW7" s="117"/>
      <c r="BX7" s="117"/>
      <c r="BY7" s="117"/>
      <c r="BZ7" s="117"/>
      <c r="CA7" s="117"/>
      <c r="CB7" s="117"/>
      <c r="CC7" s="117"/>
      <c r="CD7" s="117"/>
      <c r="CE7" s="117"/>
      <c r="CF7" s="117"/>
      <c r="CG7" s="117"/>
      <c r="CH7" s="117"/>
      <c r="CI7" s="117"/>
      <c r="CJ7" s="117"/>
      <c r="CK7" s="117"/>
      <c r="CL7" s="117"/>
      <c r="CM7" s="117"/>
      <c r="CN7" s="117"/>
      <c r="CO7" s="117"/>
      <c r="CP7" s="117"/>
      <c r="CQ7" s="117"/>
      <c r="CR7" s="117"/>
      <c r="CS7" s="117"/>
      <c r="CT7" s="117"/>
      <c r="CU7" s="117"/>
      <c r="CV7" s="117"/>
      <c r="CW7" s="117"/>
      <c r="CX7" s="117"/>
      <c r="CY7" s="117"/>
      <c r="CZ7" s="117"/>
      <c r="DA7" s="117"/>
      <c r="DB7" s="117"/>
      <c r="DC7" s="117"/>
      <c r="DD7" s="117"/>
      <c r="DE7" s="117"/>
      <c r="DF7" s="117"/>
      <c r="DG7" s="117"/>
      <c r="DH7" s="117"/>
      <c r="DI7" s="117"/>
      <c r="DJ7" s="117"/>
      <c r="DK7" s="117"/>
      <c r="DL7" s="117"/>
      <c r="DM7" s="117"/>
      <c r="DN7" s="117"/>
      <c r="DO7" s="117"/>
      <c r="DP7" s="117"/>
      <c r="DQ7" s="117"/>
    </row>
    <row r="8" spans="1:121" ht="25" thickBot="1" x14ac:dyDescent="0.35">
      <c r="A8" s="170" t="s">
        <v>269</v>
      </c>
    </row>
    <row r="9" spans="1:121" x14ac:dyDescent="0.2">
      <c r="B9" s="31" t="s">
        <v>155</v>
      </c>
      <c r="C9" s="100" t="s">
        <v>156</v>
      </c>
      <c r="D9" s="100"/>
      <c r="E9" s="103"/>
      <c r="F9" s="103"/>
      <c r="G9" s="32"/>
      <c r="I9" s="31" t="s">
        <v>155</v>
      </c>
      <c r="J9" s="100" t="s">
        <v>156</v>
      </c>
      <c r="K9" s="100"/>
      <c r="L9" s="103"/>
      <c r="M9" s="103"/>
      <c r="N9" s="32"/>
      <c r="Q9" s="31" t="s">
        <v>155</v>
      </c>
      <c r="R9" s="100" t="s">
        <v>156</v>
      </c>
      <c r="S9" s="100"/>
      <c r="T9" s="103"/>
      <c r="U9" s="103"/>
      <c r="V9" s="32"/>
    </row>
    <row r="10" spans="1:121" ht="16" thickBot="1" x14ac:dyDescent="0.25">
      <c r="B10" s="101" t="s">
        <v>157</v>
      </c>
      <c r="C10" s="84" t="s">
        <v>165</v>
      </c>
      <c r="D10" s="84"/>
      <c r="E10" s="104"/>
      <c r="F10" s="104"/>
      <c r="G10" s="102"/>
      <c r="I10" s="101" t="s">
        <v>157</v>
      </c>
      <c r="J10" s="84" t="s">
        <v>158</v>
      </c>
      <c r="K10" s="84"/>
      <c r="L10" s="104"/>
      <c r="M10" s="104"/>
      <c r="N10" s="102"/>
      <c r="Q10" s="83" t="s">
        <v>157</v>
      </c>
      <c r="R10" s="114" t="s">
        <v>159</v>
      </c>
      <c r="S10" s="114"/>
      <c r="T10" s="115"/>
      <c r="U10" s="115"/>
      <c r="V10" s="80"/>
    </row>
    <row r="11" spans="1:121" x14ac:dyDescent="0.2">
      <c r="B11" s="86"/>
      <c r="C11" s="99" t="s">
        <v>16</v>
      </c>
      <c r="D11" s="99" t="s">
        <v>23</v>
      </c>
      <c r="E11" s="99" t="s">
        <v>14</v>
      </c>
      <c r="F11" s="93" t="s">
        <v>20</v>
      </c>
      <c r="G11" s="93" t="s">
        <v>42</v>
      </c>
      <c r="I11" s="86"/>
      <c r="J11" s="99" t="s">
        <v>16</v>
      </c>
      <c r="K11" s="99" t="s">
        <v>23</v>
      </c>
      <c r="L11" s="99" t="s">
        <v>14</v>
      </c>
      <c r="M11" s="93" t="s">
        <v>20</v>
      </c>
      <c r="N11" s="93" t="s">
        <v>42</v>
      </c>
      <c r="Q11" s="86"/>
      <c r="R11" s="123" t="s">
        <v>16</v>
      </c>
      <c r="S11" s="123" t="s">
        <v>23</v>
      </c>
      <c r="T11" s="99" t="s">
        <v>14</v>
      </c>
      <c r="U11" s="93" t="s">
        <v>20</v>
      </c>
      <c r="V11" s="93" t="s">
        <v>42</v>
      </c>
      <c r="X11" s="105" t="s">
        <v>194</v>
      </c>
    </row>
    <row r="12" spans="1:121" x14ac:dyDescent="0.2">
      <c r="B12" s="43" t="s">
        <v>121</v>
      </c>
      <c r="C12" s="56"/>
      <c r="D12" s="56"/>
      <c r="E12" s="56"/>
      <c r="F12" s="55"/>
      <c r="G12" s="55"/>
      <c r="I12" s="43" t="s">
        <v>121</v>
      </c>
      <c r="J12" s="56"/>
      <c r="K12" s="56"/>
      <c r="L12" s="56"/>
      <c r="M12" s="55"/>
      <c r="N12" s="55"/>
      <c r="Q12" s="72" t="s">
        <v>121</v>
      </c>
      <c r="R12" s="56"/>
      <c r="S12" s="56"/>
      <c r="T12" s="56"/>
      <c r="U12" s="55"/>
      <c r="V12" s="55"/>
      <c r="X12" s="106"/>
      <c r="Z12" s="177"/>
    </row>
    <row r="13" spans="1:121" x14ac:dyDescent="0.2">
      <c r="B13" s="43" t="s">
        <v>126</v>
      </c>
      <c r="C13" s="41">
        <f>[1]Ni_MHP!B9*[1]Final!$C$4+[1]Ni_Class1!B9*[1]Final!$C$5</f>
        <v>2.4139393165342996E-3</v>
      </c>
      <c r="D13">
        <f>[1]Co_SO4!B9*[1]Final!$E$4</f>
        <v>3.8313575615289811E-4</v>
      </c>
      <c r="E13" s="41">
        <f>[1]Li_brine!B9*[1]Final!$G$4+[1]Li_ore!B9*[1]Final!$G$5</f>
        <v>6.9362751416026985E-4</v>
      </c>
      <c r="F13" s="42">
        <f>[1]Al!B9*$I$4</f>
        <v>2.1166499667676265E-6</v>
      </c>
      <c r="G13" s="42">
        <f t="shared" ref="G13:G23" si="0">SUM(C13:F13)</f>
        <v>3.4928192368142356E-3</v>
      </c>
      <c r="I13" s="43" t="s">
        <v>126</v>
      </c>
      <c r="J13" s="41">
        <f>[1]Ni_MHP!D9*[1]Final!$C$4+[1]Ni_Class1!D9*[1]Final!$C$5</f>
        <v>2.0906641349594354E-3</v>
      </c>
      <c r="K13">
        <f>[1]Co_SO4!D9*[1]Final!$E$4</f>
        <v>3.136066049489204E-4</v>
      </c>
      <c r="L13" s="41">
        <f>[1]Li_brine!D9*[1]Final!$G$4+[1]Li_ore!D9*[1]Final!$G$5</f>
        <v>5.7865085134720963E-4</v>
      </c>
      <c r="M13" s="42">
        <f>[1]Al!D9*$I$4</f>
        <v>2.0774632971561011E-6</v>
      </c>
      <c r="N13" s="42">
        <f t="shared" ref="N13:N23" si="1">SUM(J13:M13)</f>
        <v>2.9849990545527216E-3</v>
      </c>
      <c r="Q13" s="72" t="s">
        <v>126</v>
      </c>
      <c r="R13" s="41">
        <f>[1]Ni_MHP!C9*[1]Final!$C$4+[1]Ni_Class1!C9*[1]Final!$C$5</f>
        <v>3.2327518157486391E-4</v>
      </c>
      <c r="S13">
        <f>[1]Co_SO4!C9*[1]Final!$E$4</f>
        <v>6.9529151203977715E-5</v>
      </c>
      <c r="T13" s="41">
        <f>[1]Li_brine!C9*[1]Final!$G$4+[1]Li_ore!C9*[1]Final!$G$5</f>
        <v>1.1497666281306022E-4</v>
      </c>
      <c r="U13" s="42">
        <f>[1]Al!C9*$I$4</f>
        <v>3.9186669611525312E-8</v>
      </c>
      <c r="V13" s="42">
        <f t="shared" ref="V13:V23" si="2">SUM(R13:U13)</f>
        <v>5.0782018226151336E-4</v>
      </c>
      <c r="X13" s="107">
        <f>N13/V13</f>
        <v>5.8780630601552764</v>
      </c>
      <c r="Z13" s="176"/>
    </row>
    <row r="14" spans="1:121" x14ac:dyDescent="0.2">
      <c r="B14" s="43" t="s">
        <v>127</v>
      </c>
      <c r="C14" s="41">
        <f>[1]Ni_MHP!B10*[1]Final!$C$4+[1]Ni_Class1!B10*[1]Final!$C$5</f>
        <v>1.2700193364906784E-2</v>
      </c>
      <c r="D14">
        <f>[1]Co_SO4!B10*[1]Final!$E$4</f>
        <v>1.2448690784219551E-3</v>
      </c>
      <c r="E14" s="41">
        <f>[1]Li_brine!B10*[1]Final!$G$4+[1]Li_ore!B10*[1]Final!$G$5</f>
        <v>3.1675232152989104E-3</v>
      </c>
      <c r="F14" s="42">
        <f>[1]Al!B10*$I$4</f>
        <v>8.9651816441730489E-6</v>
      </c>
      <c r="G14" s="42">
        <f t="shared" si="0"/>
        <v>1.712155084027182E-2</v>
      </c>
      <c r="I14" s="43" t="s">
        <v>127</v>
      </c>
      <c r="J14" s="41">
        <f>[1]Ni_MHP!D10*[1]Final!$C$4+[1]Ni_Class1!D10*[1]Final!$C$5</f>
        <v>1.1391268674276516E-2</v>
      </c>
      <c r="K14">
        <f>[1]Co_SO4!D10*[1]Final!$E$4</f>
        <v>1.0325378254820972E-3</v>
      </c>
      <c r="L14" s="41">
        <f>[1]Li_brine!D10*[1]Final!$G$4+[1]Li_ore!D10*[1]Final!$G$5</f>
        <v>2.8418560498243654E-3</v>
      </c>
      <c r="M14" s="42">
        <f>[1]Al!D10*$I$4</f>
        <v>8.8525145496727717E-6</v>
      </c>
      <c r="N14" s="42">
        <f t="shared" si="1"/>
        <v>1.5274515064132651E-2</v>
      </c>
      <c r="Q14" s="72" t="s">
        <v>127</v>
      </c>
      <c r="R14" s="41">
        <f>[1]Ni_MHP!C10*[1]Final!$C$4+[1]Ni_Class1!C10*[1]Final!$C$5</f>
        <v>1.3089246906302691E-3</v>
      </c>
      <c r="S14">
        <f>[1]Co_SO4!C10*[1]Final!$E$4</f>
        <v>2.1233125293985784E-4</v>
      </c>
      <c r="T14" s="41">
        <f>[1]Li_brine!C10*[1]Final!$G$4+[1]Li_ore!C10*[1]Final!$G$5</f>
        <v>3.2566716547454457E-4</v>
      </c>
      <c r="U14" s="42">
        <f>[1]Al!C10*$I$4</f>
        <v>1.1266709450027769E-7</v>
      </c>
      <c r="V14" s="42">
        <f t="shared" si="2"/>
        <v>1.8470357761391719E-3</v>
      </c>
      <c r="X14" s="107">
        <f t="shared" ref="X14:X23" si="3">N14/V14</f>
        <v>8.2697451026426325</v>
      </c>
    </row>
    <row r="15" spans="1:121" x14ac:dyDescent="0.2">
      <c r="B15" s="43" t="s">
        <v>128</v>
      </c>
      <c r="C15" s="41">
        <f>[1]Ni_MHP!B11*[1]Final!$C$4+[1]Ni_Class1!B11*[1]Final!$C$5</f>
        <v>2.3453792567153752E-2</v>
      </c>
      <c r="D15">
        <f>[1]Co_SO4!B11*[1]Final!$E$4</f>
        <v>2.238091938062025E-3</v>
      </c>
      <c r="E15" s="41">
        <f>[1]Li_brine!B11*[1]Final!$G$4+[1]Li_ore!B11*[1]Final!$G$5</f>
        <v>4.8495297909891448E-3</v>
      </c>
      <c r="F15" s="42">
        <f>[1]Al!B11*$I$4</f>
        <v>1.6539908518662613E-5</v>
      </c>
      <c r="G15" s="42">
        <f t="shared" si="0"/>
        <v>3.0557954204723584E-2</v>
      </c>
      <c r="I15" s="43" t="s">
        <v>128</v>
      </c>
      <c r="J15" s="41">
        <f>[1]Ni_MHP!D11*[1]Final!$C$4+[1]Ni_Class1!D11*[1]Final!$C$5</f>
        <v>1.6923211497041981E-2</v>
      </c>
      <c r="K15">
        <f>[1]Co_SO4!D11*[1]Final!$E$4</f>
        <v>1.7520676480758366E-3</v>
      </c>
      <c r="L15" s="41">
        <f>[1]Li_brine!D11*[1]Final!$G$4+[1]Li_ore!D11*[1]Final!$G$5</f>
        <v>3.6266329526090818E-3</v>
      </c>
      <c r="M15" s="42">
        <f>[1]Al!D11*$I$4</f>
        <v>1.6109006895215821E-5</v>
      </c>
      <c r="N15" s="42">
        <f t="shared" si="1"/>
        <v>2.2318021104622117E-2</v>
      </c>
      <c r="Q15" s="72" t="s">
        <v>128</v>
      </c>
      <c r="R15" s="41">
        <f>[1]Ni_MHP!C11*[1]Final!$C$4+[1]Ni_Class1!C11*[1]Final!$C$5</f>
        <v>6.5305810701117737E-3</v>
      </c>
      <c r="S15">
        <f>[1]Co_SO4!C11*[1]Final!$E$4</f>
        <v>4.8602428998618838E-4</v>
      </c>
      <c r="T15" s="41">
        <f>[1]Li_brine!C11*[1]Final!$G$4+[1]Li_ore!C11*[1]Final!$G$5</f>
        <v>1.2228968383800624E-3</v>
      </c>
      <c r="U15" s="42">
        <f>[1]Al!C11*$I$4</f>
        <v>4.309016234467907E-7</v>
      </c>
      <c r="V15" s="42">
        <f t="shared" si="2"/>
        <v>8.2399331001014719E-3</v>
      </c>
      <c r="X15" s="107">
        <f t="shared" si="3"/>
        <v>2.7085196971256087</v>
      </c>
    </row>
    <row r="16" spans="1:121" x14ac:dyDescent="0.2">
      <c r="B16" s="43" t="s">
        <v>129</v>
      </c>
      <c r="C16" s="41">
        <f>[1]Ni_MHP!B12*[1]Final!$C$4+[1]Ni_Class1!B12*[1]Final!$C$5</f>
        <v>6.7535850676592275E-3</v>
      </c>
      <c r="D16">
        <f>[1]Co_SO4!B12*[1]Final!$E$4</f>
        <v>1.1524692701854361E-2</v>
      </c>
      <c r="E16" s="41">
        <f>[1]Li_brine!B12*[1]Final!$G$4+[1]Li_ore!B12*[1]Final!$G$5</f>
        <v>1.0818254497789795E-3</v>
      </c>
      <c r="F16" s="42">
        <f>[1]Al!B12*$I$4</f>
        <v>1.4822743329821867E-5</v>
      </c>
      <c r="G16" s="42">
        <f t="shared" si="0"/>
        <v>1.9374925962622389E-2</v>
      </c>
      <c r="I16" s="43" t="s">
        <v>129</v>
      </c>
      <c r="J16" s="41">
        <f>[1]Ni_MHP!D12*[1]Final!$C$4+[1]Ni_Class1!D12*[1]Final!$C$5</f>
        <v>6.2335873793749625E-3</v>
      </c>
      <c r="K16">
        <f>[1]Co_SO4!D12*[1]Final!$E$4</f>
        <v>5.8285679721016099E-3</v>
      </c>
      <c r="L16" s="41">
        <f>[1]Li_brine!D12*[1]Final!$G$4+[1]Li_ore!D12*[1]Final!$G$5</f>
        <v>1.02522979288568E-3</v>
      </c>
      <c r="M16" s="42">
        <f>[1]Al!D12*$I$4</f>
        <v>1.2427383052872695E-5</v>
      </c>
      <c r="N16" s="42">
        <f t="shared" si="1"/>
        <v>1.3099812527415124E-2</v>
      </c>
      <c r="Q16" s="72" t="s">
        <v>129</v>
      </c>
      <c r="R16" s="41">
        <f>[1]Ni_MHP!C12*[1]Final!$C$4+[1]Ni_Class1!C12*[1]Final!$C$5</f>
        <v>5.199976882842638E-4</v>
      </c>
      <c r="S16">
        <f>[1]Co_SO4!C12*[1]Final!$E$4</f>
        <v>5.6961247297527507E-3</v>
      </c>
      <c r="T16" s="41">
        <f>[1]Li_brine!C12*[1]Final!$G$4+[1]Li_ore!C12*[1]Final!$G$5</f>
        <v>5.6595656893299639E-5</v>
      </c>
      <c r="U16" s="42">
        <f>[1]Al!C12*$I$4</f>
        <v>2.3953602769491723E-6</v>
      </c>
      <c r="V16" s="42">
        <f t="shared" si="2"/>
        <v>6.275113435207264E-3</v>
      </c>
      <c r="X16" s="107">
        <f t="shared" si="3"/>
        <v>2.0875817883892078</v>
      </c>
    </row>
    <row r="17" spans="1:121" x14ac:dyDescent="0.2">
      <c r="B17" s="43" t="s">
        <v>130</v>
      </c>
      <c r="C17" s="41">
        <f>[1]Ni_MHP!B13*[1]Final!$C$4+[1]Ni_Class1!B13*[1]Final!$C$5</f>
        <v>3.8787232183982463E-3</v>
      </c>
      <c r="D17">
        <f>[1]Co_SO4!B13*[1]Final!$E$4</f>
        <v>1.3130285469449849E-3</v>
      </c>
      <c r="E17" s="41">
        <f>[1]Li_brine!B13*[1]Final!$G$4+[1]Li_ore!B13*[1]Final!$G$5</f>
        <v>7.2844953293820522E-4</v>
      </c>
      <c r="F17" s="42">
        <f>[1]Al!B13*$I$4</f>
        <v>7.4740814847017815E-6</v>
      </c>
      <c r="G17" s="42">
        <f t="shared" si="0"/>
        <v>5.9276753797661381E-3</v>
      </c>
      <c r="I17" s="43" t="s">
        <v>130</v>
      </c>
      <c r="J17" s="41">
        <f>[1]Ni_MHP!D13*[1]Final!$C$4+[1]Ni_Class1!D13*[1]Final!$C$5</f>
        <v>3.4821264117356437E-3</v>
      </c>
      <c r="K17">
        <f>[1]Co_SO4!D13*[1]Final!$E$4</f>
        <v>6.9972522560699435E-4</v>
      </c>
      <c r="L17" s="41">
        <f>[1]Li_brine!D13*[1]Final!$G$4+[1]Li_ore!D13*[1]Final!$G$5</f>
        <v>6.8084071031521078E-4</v>
      </c>
      <c r="M17" s="42">
        <f>[1]Al!D13*$I$4</f>
        <v>6.2604374390162412E-6</v>
      </c>
      <c r="N17" s="42">
        <f t="shared" si="1"/>
        <v>4.8689527850968653E-3</v>
      </c>
      <c r="Q17" s="72" t="s">
        <v>130</v>
      </c>
      <c r="R17" s="41">
        <f>[1]Ni_MHP!C13*[1]Final!$C$4+[1]Ni_Class1!C13*[1]Final!$C$5</f>
        <v>3.9659680666260231E-4</v>
      </c>
      <c r="S17">
        <f>[1]Co_SO4!C13*[1]Final!$E$4</f>
        <v>6.1330332133799055E-4</v>
      </c>
      <c r="T17" s="41">
        <f>[1]Li_brine!C13*[1]Final!$G$4+[1]Li_ore!C13*[1]Final!$G$5</f>
        <v>4.760882262299456E-5</v>
      </c>
      <c r="U17" s="42">
        <f>[1]Al!C13*$I$4</f>
        <v>1.2136440456855405E-6</v>
      </c>
      <c r="V17" s="42">
        <f t="shared" si="2"/>
        <v>1.0587225946692732E-3</v>
      </c>
      <c r="X17" s="107">
        <f>N17/V17</f>
        <v>4.5988938080780661</v>
      </c>
    </row>
    <row r="18" spans="1:121" x14ac:dyDescent="0.2">
      <c r="B18" s="43" t="s">
        <v>131</v>
      </c>
      <c r="C18" s="41">
        <f>[1]Ni_MHP!B14*[1]Final!$C$4+[1]Ni_Class1!B14*[1]Final!$C$5</f>
        <v>0.69634373931810822</v>
      </c>
      <c r="D18">
        <f>[1]Co_SO4!B14*[1]Final!$E$4</f>
        <v>5.9167856825523002E-3</v>
      </c>
      <c r="E18" s="41">
        <f>[1]Li_brine!B14*[1]Final!$G$4+[1]Li_ore!B14*[1]Final!$G$5</f>
        <v>4.5713298241471523E-3</v>
      </c>
      <c r="F18" s="42">
        <f>[1]Al!B14*$I$4</f>
        <v>1.9935529131041108E-5</v>
      </c>
      <c r="G18" s="42">
        <f t="shared" si="0"/>
        <v>0.70685179035393864</v>
      </c>
      <c r="I18" s="43" t="s">
        <v>131</v>
      </c>
      <c r="J18" s="41">
        <f>[1]Ni_MHP!D14*[1]Final!$C$4+[1]Ni_Class1!D14*[1]Final!$C$5</f>
        <v>0.6924087945763342</v>
      </c>
      <c r="K18">
        <f>[1]Co_SO4!D14*[1]Final!$E$4</f>
        <v>5.9053412228181569E-3</v>
      </c>
      <c r="L18" s="41">
        <f>[1]Li_brine!D14*[1]Final!$G$4+[1]Li_ore!D14*[1]Final!$G$5</f>
        <v>4.523857170018207E-3</v>
      </c>
      <c r="M18" s="42">
        <f>[1]Al!D14*$I$4</f>
        <v>1.9855042238632516E-5</v>
      </c>
      <c r="N18" s="42">
        <f t="shared" si="1"/>
        <v>0.70285784801140927</v>
      </c>
      <c r="Q18" s="72" t="s">
        <v>131</v>
      </c>
      <c r="R18" s="41">
        <f>[1]Ni_MHP!C14*[1]Final!$C$4+[1]Ni_Class1!C14*[1]Final!$C$5</f>
        <v>3.9349447417740069E-3</v>
      </c>
      <c r="S18">
        <f>[1]Co_SO4!C14*[1]Final!$E$4</f>
        <v>1.1444459734143713E-5</v>
      </c>
      <c r="T18" s="41">
        <f>[1]Li_brine!C14*[1]Final!$G$4+[1]Li_ore!C14*[1]Final!$G$5</f>
        <v>4.7472654128945382E-5</v>
      </c>
      <c r="U18" s="42">
        <f>[1]Al!C14*$I$4</f>
        <v>8.048689240859402E-8</v>
      </c>
      <c r="V18" s="42">
        <f t="shared" si="2"/>
        <v>3.9939423425295042E-3</v>
      </c>
      <c r="X18" s="107">
        <f>N18/V18</f>
        <v>175.98097011241896</v>
      </c>
    </row>
    <row r="19" spans="1:121" x14ac:dyDescent="0.2">
      <c r="B19" s="43" t="s">
        <v>132</v>
      </c>
      <c r="C19" s="41">
        <f>[1]Ni_MHP!B15*[1]Final!$C$4+[1]Ni_Class1!B15*[1]Final!$C$5</f>
        <v>1.404985320363023E-4</v>
      </c>
      <c r="D19">
        <f>[1]Co_SO4!B15*[1]Final!$E$4</f>
        <v>4.9957907562875576E-5</v>
      </c>
      <c r="E19" s="41">
        <f>[1]Li_brine!B15*[1]Final!$G$4+[1]Li_ore!B15*[1]Final!$G$5</f>
        <v>5.8521299261791147E-5</v>
      </c>
      <c r="F19" s="42">
        <f>[1]Al!B15*$I$4</f>
        <v>1.4070844848576543E-7</v>
      </c>
      <c r="G19" s="42">
        <f t="shared" si="0"/>
        <v>2.4911844730945477E-4</v>
      </c>
      <c r="I19" s="43" t="s">
        <v>132</v>
      </c>
      <c r="J19" s="41">
        <f>[1]Ni_MHP!D15*[1]Final!$C$4+[1]Ni_Class1!D15*[1]Final!$C$5</f>
        <v>1.0363347332757429E-4</v>
      </c>
      <c r="K19">
        <f>[1]Co_SO4!D15*[1]Final!$E$4</f>
        <v>2.9524271122657989E-5</v>
      </c>
      <c r="L19" s="41">
        <f>[1]Li_brine!D15*[1]Final!$G$4+[1]Li_ore!D15*[1]Final!$G$5</f>
        <v>4.1372887867972662E-5</v>
      </c>
      <c r="M19" s="42">
        <f>[1]Al!D15*$I$4</f>
        <v>1.3312907643943951E-7</v>
      </c>
      <c r="N19" s="42">
        <f t="shared" si="1"/>
        <v>1.7466376139464439E-4</v>
      </c>
      <c r="Q19" s="72" t="s">
        <v>132</v>
      </c>
      <c r="R19" s="41">
        <f>[1]Ni_MHP!C15*[1]Final!$C$4+[1]Ni_Class1!C15*[1]Final!$C$5</f>
        <v>3.686505870872799E-5</v>
      </c>
      <c r="S19">
        <f>[1]Co_SO4!C15*[1]Final!$E$4</f>
        <v>2.0433636440217587E-5</v>
      </c>
      <c r="T19" s="41">
        <f>[1]Li_brine!C15*[1]Final!$G$4+[1]Li_ore!C15*[1]Final!$G$5</f>
        <v>1.7148411393818482E-5</v>
      </c>
      <c r="U19" s="42">
        <f>[1]Al!C15*$I$4</f>
        <v>7.57937204632592E-9</v>
      </c>
      <c r="V19" s="42">
        <f t="shared" si="2"/>
        <v>7.4454685914810385E-5</v>
      </c>
      <c r="X19" s="107">
        <f t="shared" si="3"/>
        <v>2.3459068995938188</v>
      </c>
    </row>
    <row r="20" spans="1:121" x14ac:dyDescent="0.2">
      <c r="B20" s="43" t="s">
        <v>133</v>
      </c>
      <c r="C20" s="41">
        <f>[1]Ni_MHP!B16*[1]Final!$C$4+[1]Ni_Class1!B16*[1]Final!$C$5</f>
        <v>2.9521322337781425E-4</v>
      </c>
      <c r="D20">
        <f>[1]Co_SO4!B16*[1]Final!$E$4</f>
        <v>3.6981290344430468E-5</v>
      </c>
      <c r="E20" s="41">
        <f>[1]Li_brine!B16*[1]Final!$G$4+[1]Li_ore!B16*[1]Final!$G$5</f>
        <v>9.2634657842980035E-5</v>
      </c>
      <c r="F20" s="42">
        <f>[1]Al!B16*$I$4</f>
        <v>2.6642383067437581E-7</v>
      </c>
      <c r="G20" s="42">
        <f t="shared" si="0"/>
        <v>4.2509559539589915E-4</v>
      </c>
      <c r="I20" s="43" t="s">
        <v>133</v>
      </c>
      <c r="J20" s="41">
        <f>[1]Ni_MHP!D16*[1]Final!$C$4+[1]Ni_Class1!D16*[1]Final!$C$5</f>
        <v>2.2494856541520455E-4</v>
      </c>
      <c r="K20">
        <f>[1]Co_SO4!D16*[1]Final!$E$4</f>
        <v>3.0838111333413908E-5</v>
      </c>
      <c r="L20" s="41">
        <f>[1]Li_brine!D16*[1]Final!$G$4+[1]Li_ore!D16*[1]Final!$G$5</f>
        <v>8.1594965911893497E-5</v>
      </c>
      <c r="M20" s="42">
        <f>[1]Al!D16*$I$4</f>
        <v>2.6360111458848162E-7</v>
      </c>
      <c r="N20" s="42">
        <f t="shared" si="1"/>
        <v>3.3764524377510039E-4</v>
      </c>
      <c r="Q20" s="72" t="s">
        <v>133</v>
      </c>
      <c r="R20" s="41">
        <f>[1]Ni_MHP!C16*[1]Final!$C$4+[1]Ni_Class1!C16*[1]Final!$C$5</f>
        <v>7.0264657962609706E-5</v>
      </c>
      <c r="S20">
        <f>[1]Co_SO4!C16*[1]Final!$E$4</f>
        <v>6.1431790110165587E-6</v>
      </c>
      <c r="T20" s="41">
        <f>[1]Li_brine!C16*[1]Final!$G$4+[1]Li_ore!C16*[1]Final!$G$5</f>
        <v>1.1039691931086548E-5</v>
      </c>
      <c r="U20" s="42">
        <f>[1]Al!C16*$I$4</f>
        <v>2.8227160858942089E-9</v>
      </c>
      <c r="V20" s="42">
        <f t="shared" si="2"/>
        <v>8.7450351620798705E-5</v>
      </c>
      <c r="X20" s="107">
        <f t="shared" si="3"/>
        <v>3.860993552538178</v>
      </c>
    </row>
    <row r="21" spans="1:121" x14ac:dyDescent="0.2">
      <c r="B21" s="43" t="s">
        <v>134</v>
      </c>
      <c r="C21" s="41">
        <f>[1]Ni_MHP!B17*[1]Final!$C$4+[1]Ni_Class1!B17*[1]Final!$C$5</f>
        <v>1.9341382562479446E-2</v>
      </c>
      <c r="D21">
        <f>[1]Co_SO4!B17*[1]Final!$E$4</f>
        <v>3.6918731356202859E-3</v>
      </c>
      <c r="E21" s="41">
        <f>[1]Li_brine!B17*[1]Final!$G$4+[1]Li_ore!B17*[1]Final!$G$5</f>
        <v>6.3456805863070604E-3</v>
      </c>
      <c r="F21" s="42">
        <f>[1]Al!B17*$I$4</f>
        <v>3.4126529091118145E-5</v>
      </c>
      <c r="G21" s="42">
        <f t="shared" si="0"/>
        <v>2.9413062813497912E-2</v>
      </c>
      <c r="I21" s="43" t="s">
        <v>134</v>
      </c>
      <c r="J21" s="41">
        <f>[1]Ni_MHP!D17*[1]Final!$C$4+[1]Ni_Class1!D17*[1]Final!$C$5</f>
        <v>1.6747087990689517E-2</v>
      </c>
      <c r="K21">
        <f>[1]Co_SO4!D17*[1]Final!$E$4</f>
        <v>3.4456041895858263E-3</v>
      </c>
      <c r="L21" s="41">
        <f>[1]Li_brine!D17*[1]Final!$G$4+[1]Li_ore!D17*[1]Final!$G$5</f>
        <v>5.6102442818204458E-3</v>
      </c>
      <c r="M21" s="42">
        <f>[1]Al!D17*$I$4</f>
        <v>3.3945427776734013E-5</v>
      </c>
      <c r="N21" s="42">
        <f t="shared" si="1"/>
        <v>2.5836881889872525E-2</v>
      </c>
      <c r="Q21" s="72" t="s">
        <v>134</v>
      </c>
      <c r="R21" s="41">
        <f>[1]Ni_MHP!C17*[1]Final!$C$4+[1]Ni_Class1!C17*[1]Final!$C$5</f>
        <v>2.594294571789931E-3</v>
      </c>
      <c r="S21">
        <f>[1]Co_SO4!C17*[1]Final!$E$4</f>
        <v>2.4626894603445949E-4</v>
      </c>
      <c r="T21" s="41">
        <f>[1]Li_brine!C17*[1]Final!$G$4+[1]Li_ore!C17*[1]Final!$G$5</f>
        <v>7.3543630448661388E-4</v>
      </c>
      <c r="U21" s="42">
        <f>[1]Al!C17*$I$4</f>
        <v>1.8110131438413196E-7</v>
      </c>
      <c r="V21" s="42">
        <f t="shared" si="2"/>
        <v>3.5761809236253884E-3</v>
      </c>
      <c r="X21" s="107">
        <f t="shared" si="3"/>
        <v>7.2247133021670873</v>
      </c>
    </row>
    <row r="22" spans="1:121" x14ac:dyDescent="0.2">
      <c r="B22" s="43" t="s">
        <v>135</v>
      </c>
      <c r="C22" s="41">
        <f>[1]Ni_MHP!B18*[1]Final!$C$4+[1]Ni_Class1!B18*[1]Final!$C$5</f>
        <v>2.6918171465485728E-4</v>
      </c>
      <c r="D22">
        <f>[1]Co_SO4!B18*[1]Final!$E$4</f>
        <v>4.051268739883182E-5</v>
      </c>
      <c r="E22" s="41">
        <f>[1]Li_brine!B18*[1]Final!$G$4+[1]Li_ore!B18*[1]Final!$G$5</f>
        <v>3.0789028995144515E-5</v>
      </c>
      <c r="F22" s="42">
        <f>[1]Al!B18*$I$4</f>
        <v>3.4941601909337948E-7</v>
      </c>
      <c r="G22" s="42">
        <f t="shared" si="0"/>
        <v>3.4083284706792698E-4</v>
      </c>
      <c r="I22" s="43" t="s">
        <v>135</v>
      </c>
      <c r="J22" s="41">
        <f>[1]Ni_MHP!D18*[1]Final!$C$4+[1]Ni_Class1!D18*[1]Final!$C$5</f>
        <v>1.7140499774844672E-4</v>
      </c>
      <c r="K22">
        <f>[1]Co_SO4!D18*[1]Final!$E$4</f>
        <v>3.5598387689161855E-5</v>
      </c>
      <c r="L22" s="41">
        <f>[1]Li_brine!D18*[1]Final!$G$4+[1]Li_ore!D18*[1]Final!$G$5</f>
        <v>2.3233842560498736E-5</v>
      </c>
      <c r="M22" s="42">
        <f>[1]Al!D18*$I$4</f>
        <v>3.4603433399651005E-7</v>
      </c>
      <c r="N22" s="42">
        <f t="shared" si="1"/>
        <v>2.3058326233210382E-4</v>
      </c>
      <c r="Q22" s="72" t="s">
        <v>135</v>
      </c>
      <c r="R22" s="41">
        <f>[1]Ni_MHP!C18*[1]Final!$C$4+[1]Ni_Class1!C18*[1]Final!$C$5</f>
        <v>9.7776716906410532E-5</v>
      </c>
      <c r="S22">
        <f>[1]Co_SO4!C18*[1]Final!$E$4</f>
        <v>4.9142997096699669E-6</v>
      </c>
      <c r="T22" s="41">
        <f>[1]Li_brine!C18*[1]Final!$G$4+[1]Li_ore!C18*[1]Final!$G$5</f>
        <v>7.5551864346457769E-6</v>
      </c>
      <c r="U22" s="42">
        <f>[1]Al!C18*$I$4</f>
        <v>3.3816850968694202E-9</v>
      </c>
      <c r="V22" s="42">
        <f t="shared" si="2"/>
        <v>1.1024958473582314E-4</v>
      </c>
      <c r="X22" s="107">
        <f t="shared" si="3"/>
        <v>2.0914660393925359</v>
      </c>
    </row>
    <row r="23" spans="1:121" x14ac:dyDescent="0.2">
      <c r="B23" s="43" t="s">
        <v>136</v>
      </c>
      <c r="C23" s="41">
        <f>[1]Ni_MHP!B19*[1]Final!$C$4+[1]Ni_Class1!B19*[1]Final!$C$5</f>
        <v>10.373202896679224</v>
      </c>
      <c r="D23">
        <f>[1]Co_SO4!B19*[1]Final!$E$4</f>
        <v>1.6974901559330406</v>
      </c>
      <c r="E23" s="41">
        <f>[1]Li_brine!B19*[1]Final!$G$4+[1]Li_ore!B19*[1]Final!$G$5</f>
        <v>4.4303485069555375</v>
      </c>
      <c r="F23" s="42">
        <f>[1]Al!B19*$I$4</f>
        <v>1.3906027958260072E-2</v>
      </c>
      <c r="G23" s="42">
        <f t="shared" si="0"/>
        <v>16.514947587526063</v>
      </c>
      <c r="I23" s="43" t="s">
        <v>136</v>
      </c>
      <c r="J23" s="41">
        <f>[1]Ni_MHP!D19*[1]Final!$C$4+[1]Ni_Class1!D19*[1]Final!$C$5</f>
        <v>8.426694493099081</v>
      </c>
      <c r="K23">
        <f>[1]Co_SO4!D19*[1]Final!$E$4</f>
        <v>1.4965106301369275</v>
      </c>
      <c r="L23" s="41">
        <f>[1]Li_brine!D19*[1]Final!$G$4+[1]Li_ore!D19*[1]Final!$G$5</f>
        <v>3.8507697170472079</v>
      </c>
      <c r="M23" s="42">
        <f>[1]Al!D19*$I$4</f>
        <v>1.3756716651533369E-2</v>
      </c>
      <c r="N23" s="42">
        <f t="shared" si="1"/>
        <v>13.78773155693475</v>
      </c>
      <c r="O23" s="133"/>
      <c r="Q23" s="72" t="s">
        <v>136</v>
      </c>
      <c r="R23" s="41">
        <f>[1]Ni_MHP!C19*[1]Final!$C$4+[1]Ni_Class1!C19*[1]Final!$C$5</f>
        <v>1.9465084035801441</v>
      </c>
      <c r="S23">
        <f>[1]Co_SO4!C19*[1]Final!$E$4</f>
        <v>0.20097952579611311</v>
      </c>
      <c r="T23" s="41">
        <f>[1]Li_brine!C19*[1]Final!$G$4+[1]Li_ore!C19*[1]Final!$G$5</f>
        <v>0.57957878990832934</v>
      </c>
      <c r="U23" s="42">
        <f>[1]Al!C19*$I$4</f>
        <v>1.4931130672670245E-4</v>
      </c>
      <c r="V23" s="42">
        <f t="shared" si="2"/>
        <v>2.7272160305913129</v>
      </c>
      <c r="X23" s="107">
        <f t="shared" si="3"/>
        <v>5.0556066707870242</v>
      </c>
    </row>
    <row r="24" spans="1:121" x14ac:dyDescent="0.2">
      <c r="B24" s="53" t="s">
        <v>122</v>
      </c>
      <c r="C24" s="56"/>
      <c r="D24" s="56"/>
      <c r="E24" s="56"/>
      <c r="F24" s="78"/>
      <c r="G24" s="55"/>
      <c r="I24" s="53" t="s">
        <v>122</v>
      </c>
      <c r="J24" s="56"/>
      <c r="K24" s="56"/>
      <c r="L24" s="56"/>
      <c r="M24" s="78"/>
      <c r="N24" s="55"/>
      <c r="O24" s="133"/>
      <c r="Q24" s="53" t="s">
        <v>122</v>
      </c>
      <c r="R24" s="56"/>
      <c r="S24" s="56"/>
      <c r="T24" s="56"/>
      <c r="U24" s="78"/>
      <c r="V24" s="55"/>
      <c r="X24" s="106"/>
    </row>
    <row r="25" spans="1:121" x14ac:dyDescent="0.2">
      <c r="B25" s="43" t="s">
        <v>125</v>
      </c>
      <c r="C25" s="41">
        <f>[1]Ni_MHP!B21*[1]Final!$C$4+[1]Ni_Class1!B21*[1]Final!$C$5</f>
        <v>153.58959589354049</v>
      </c>
      <c r="D25">
        <f>[1]Co_SO4!B21*[1]Final!$E$4</f>
        <v>27.313501817631465</v>
      </c>
      <c r="E25" s="41">
        <f>[1]Li_brine!B21*[1]Final!$G$4+[1]Li_ore!B21*[1]Final!$G$5</f>
        <v>49.859074712811356</v>
      </c>
      <c r="F25" s="42">
        <f>[1]Al!B21*$I$4</f>
        <v>0.21527274680300157</v>
      </c>
      <c r="G25" s="42">
        <f>SUM(C25:F25)</f>
        <v>230.97744517078632</v>
      </c>
      <c r="I25" s="43" t="s">
        <v>125</v>
      </c>
      <c r="J25" s="41">
        <f>[1]Ni_MHP!D21*[1]Final!$C$4+[1]Ni_Class1!D21*[1]Final!$C$5</f>
        <v>127.53432401354678</v>
      </c>
      <c r="K25">
        <f>[1]Co_SO4!D21*[1]Final!$E$4</f>
        <v>24.555366730107558</v>
      </c>
      <c r="L25" s="41">
        <f>[1]Li_brine!D21*[1]Final!$G$4+[1]Li_ore!D21*[1]Final!$G$5</f>
        <v>41.612805742535592</v>
      </c>
      <c r="M25" s="42">
        <f>[1]Al!D21*$I$4</f>
        <v>0.21325983900724596</v>
      </c>
      <c r="N25" s="42">
        <f>SUM(J25:M25)</f>
        <v>193.91575632519715</v>
      </c>
      <c r="O25" s="133"/>
      <c r="Q25" s="72" t="s">
        <v>125</v>
      </c>
      <c r="R25" s="41">
        <f>[1]Ni_MHP!C21*[1]Final!$C$4+[1]Ni_Class1!C21*[1]Final!$C$5</f>
        <v>26.055271879993722</v>
      </c>
      <c r="S25">
        <f>[1]Co_SO4!C21*[1]Final!$E$4</f>
        <v>2.7581350875239083</v>
      </c>
      <c r="T25" s="41">
        <f>[1]Li_brine!C21*[1]Final!$G$4+[1]Li_ore!C21*[1]Final!$G$5</f>
        <v>8.2462689702757661</v>
      </c>
      <c r="U25" s="42">
        <f>[1]Al!C21*$I$4</f>
        <v>2.0129077957556072E-3</v>
      </c>
      <c r="V25" s="42">
        <f>SUM(R25:U25)</f>
        <v>37.061688845589153</v>
      </c>
      <c r="X25" s="107">
        <f>N25/V25</f>
        <v>5.2322428460589645</v>
      </c>
    </row>
    <row r="26" spans="1:121" x14ac:dyDescent="0.2">
      <c r="B26" s="44" t="s">
        <v>123</v>
      </c>
      <c r="C26" s="56"/>
      <c r="D26" s="56"/>
      <c r="E26" s="56"/>
      <c r="F26" s="78"/>
      <c r="G26" s="55"/>
      <c r="I26" s="44" t="s">
        <v>123</v>
      </c>
      <c r="J26" s="56"/>
      <c r="K26" s="56"/>
      <c r="L26" s="56"/>
      <c r="M26" s="78"/>
      <c r="N26" s="55"/>
      <c r="O26" s="133"/>
      <c r="Q26" s="53" t="s">
        <v>123</v>
      </c>
      <c r="R26" s="56"/>
      <c r="S26" s="56"/>
      <c r="T26" s="56"/>
      <c r="U26" s="78"/>
      <c r="V26" s="55"/>
      <c r="X26" s="106"/>
    </row>
    <row r="27" spans="1:121" ht="16" thickBot="1" x14ac:dyDescent="0.25">
      <c r="B27" s="61" t="s">
        <v>86</v>
      </c>
      <c r="C27" s="52">
        <f>[1]Ni_MHP!B31*[1]Final!$C$4+[1]Ni_Class1!B31*[1]Final!$C$5</f>
        <v>51709.886957495473</v>
      </c>
      <c r="D27" s="45">
        <f>[1]Co_SO4!B31*[1]Final!$E$4</f>
        <v>20557.384733991836</v>
      </c>
      <c r="E27" s="52">
        <f>[1]Li_brine!B31*[1]Final!$G$4+[1]Li_ore!B31*[1]Final!$G$5</f>
        <v>18953.591712078778</v>
      </c>
      <c r="F27" s="34">
        <f>[1]Al!B31*$I$4</f>
        <v>95.323571253924953</v>
      </c>
      <c r="G27" s="34">
        <f>SUM(C27:F27)</f>
        <v>91316.186974820026</v>
      </c>
      <c r="I27" s="61" t="s">
        <v>86</v>
      </c>
      <c r="J27" s="52">
        <f>[1]Ni_MHP!D31*[1]Final!$C$4+[1]Ni_Class1!D31*[1]Final!$C$5</f>
        <v>43941.141747638467</v>
      </c>
      <c r="K27" s="45">
        <f>[1]Co_SO4!D31*[1]Final!$E$4</f>
        <v>19690.882886833551</v>
      </c>
      <c r="L27" s="52">
        <f>[1]Li_brine!D31*[1]Final!$G$4+[1]Li_ore!D31*[1]Final!$G$5</f>
        <v>13605.163638571235</v>
      </c>
      <c r="M27" s="34">
        <f>[1]Al!D31*$I$4</f>
        <v>79.539277353976757</v>
      </c>
      <c r="N27" s="34">
        <f>SUM(J27:M27)</f>
        <v>77316.727550397234</v>
      </c>
      <c r="O27" s="133"/>
      <c r="Q27" s="113" t="s">
        <v>86</v>
      </c>
      <c r="R27" s="52">
        <f>[1]Ni_MHP!C31*[1]Final!$C$4+[1]Ni_Class1!C31*[1]Final!$C$5</f>
        <v>7768.7452098570129</v>
      </c>
      <c r="S27" s="45">
        <f>[1]Co_SO4!C31*[1]Final!$E$4</f>
        <v>866.50184715828357</v>
      </c>
      <c r="T27" s="52">
        <f>[1]Li_brine!C31*[1]Final!$G$4+[1]Li_ore!C31*[1]Final!$G$5</f>
        <v>5348.4280735075445</v>
      </c>
      <c r="U27" s="34">
        <f>[1]Al!C31*$I$4</f>
        <v>15.784293899948201</v>
      </c>
      <c r="V27" s="34">
        <f>SUM(R27:U27)</f>
        <v>13999.459424422788</v>
      </c>
      <c r="X27" s="108">
        <f>N27/V27</f>
        <v>5.5228366472146888</v>
      </c>
    </row>
    <row r="29" spans="1:121" x14ac:dyDescent="0.2">
      <c r="A29" s="117"/>
      <c r="B29" s="116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117"/>
      <c r="AK29" s="117"/>
      <c r="AL29" s="117"/>
      <c r="AM29" s="117"/>
      <c r="AN29" s="117"/>
      <c r="AO29" s="117"/>
      <c r="AP29" s="117"/>
      <c r="AQ29" s="117"/>
      <c r="AR29" s="117"/>
      <c r="AS29" s="117"/>
      <c r="AT29" s="117"/>
      <c r="AU29" s="117"/>
      <c r="AV29" s="117"/>
      <c r="AW29" s="117"/>
      <c r="AX29" s="117"/>
      <c r="AY29" s="117"/>
      <c r="AZ29" s="117"/>
      <c r="BA29" s="117"/>
      <c r="BB29" s="117"/>
      <c r="BC29" s="117"/>
      <c r="BD29" s="117"/>
      <c r="BE29" s="117"/>
      <c r="BF29" s="117"/>
      <c r="BG29" s="117"/>
      <c r="BH29" s="117"/>
      <c r="BI29" s="117"/>
      <c r="BJ29" s="117"/>
      <c r="BK29" s="117"/>
      <c r="BL29" s="117"/>
      <c r="BM29" s="117"/>
      <c r="BN29" s="117"/>
      <c r="BO29" s="117"/>
      <c r="BP29" s="117"/>
      <c r="BQ29" s="117"/>
      <c r="BR29" s="117"/>
      <c r="BS29" s="117"/>
      <c r="BT29" s="117"/>
      <c r="BU29" s="117"/>
      <c r="BV29" s="117"/>
      <c r="BW29" s="117"/>
      <c r="BX29" s="117"/>
      <c r="BY29" s="117"/>
      <c r="BZ29" s="117"/>
      <c r="CA29" s="117"/>
      <c r="CB29" s="117"/>
      <c r="CC29" s="117"/>
      <c r="CD29" s="117"/>
      <c r="CE29" s="117"/>
      <c r="CF29" s="117"/>
      <c r="CG29" s="117"/>
      <c r="CH29" s="117"/>
      <c r="CI29" s="117"/>
      <c r="CJ29" s="117"/>
      <c r="CK29" s="117"/>
      <c r="CL29" s="117"/>
      <c r="CM29" s="117"/>
      <c r="CN29" s="117"/>
      <c r="CO29" s="117"/>
      <c r="CP29" s="117"/>
      <c r="CQ29" s="117"/>
      <c r="CR29" s="117"/>
      <c r="CS29" s="117"/>
      <c r="CT29" s="117"/>
      <c r="CU29" s="117"/>
      <c r="CV29" s="117"/>
      <c r="CW29" s="117"/>
      <c r="CX29" s="117"/>
      <c r="CY29" s="117"/>
      <c r="CZ29" s="117"/>
      <c r="DA29" s="117"/>
      <c r="DB29" s="117"/>
      <c r="DC29" s="117"/>
      <c r="DD29" s="117"/>
      <c r="DE29" s="117"/>
      <c r="DF29" s="117"/>
      <c r="DG29" s="117"/>
      <c r="DH29" s="117"/>
      <c r="DI29" s="117"/>
      <c r="DJ29" s="117"/>
      <c r="DK29" s="117"/>
      <c r="DL29" s="117"/>
      <c r="DM29" s="117"/>
      <c r="DN29" s="117"/>
      <c r="DO29" s="117"/>
      <c r="DP29" s="117"/>
      <c r="DQ29" s="117"/>
    </row>
    <row r="30" spans="1:121" ht="25" thickBot="1" x14ac:dyDescent="0.35">
      <c r="A30" s="170" t="s">
        <v>259</v>
      </c>
    </row>
    <row r="31" spans="1:121" x14ac:dyDescent="0.2">
      <c r="B31" s="31" t="s">
        <v>155</v>
      </c>
      <c r="C31" s="100" t="s">
        <v>160</v>
      </c>
      <c r="D31" s="100"/>
      <c r="E31" s="100"/>
      <c r="F31" s="100"/>
      <c r="G31" s="100"/>
      <c r="H31" s="103"/>
      <c r="I31" s="32"/>
      <c r="K31" s="31" t="s">
        <v>155</v>
      </c>
      <c r="L31" s="100" t="s">
        <v>160</v>
      </c>
      <c r="M31" s="100"/>
      <c r="N31" s="100"/>
      <c r="O31" s="100"/>
      <c r="P31" s="100"/>
      <c r="Q31" s="103"/>
      <c r="R31" s="32"/>
      <c r="T31" s="31" t="s">
        <v>155</v>
      </c>
      <c r="U31" s="100" t="s">
        <v>160</v>
      </c>
      <c r="V31" s="100"/>
      <c r="W31" s="100"/>
      <c r="X31" s="100"/>
      <c r="Y31" s="100"/>
      <c r="Z31" s="103"/>
      <c r="AA31" s="32"/>
    </row>
    <row r="32" spans="1:121" ht="16" thickBot="1" x14ac:dyDescent="0.25">
      <c r="B32" s="101" t="s">
        <v>157</v>
      </c>
      <c r="C32" s="84" t="s">
        <v>165</v>
      </c>
      <c r="D32" s="84"/>
      <c r="E32" s="84"/>
      <c r="F32" s="84"/>
      <c r="G32" s="84"/>
      <c r="H32" s="104"/>
      <c r="I32" s="102"/>
      <c r="K32" s="101" t="s">
        <v>157</v>
      </c>
      <c r="L32" s="84" t="s">
        <v>158</v>
      </c>
      <c r="M32" s="84"/>
      <c r="N32" s="84"/>
      <c r="O32" s="84"/>
      <c r="P32" s="84"/>
      <c r="Q32" s="104"/>
      <c r="R32" s="102"/>
      <c r="T32" s="101" t="s">
        <v>157</v>
      </c>
      <c r="U32" s="114" t="s">
        <v>159</v>
      </c>
      <c r="V32" s="84"/>
      <c r="W32" s="84"/>
      <c r="X32" s="84"/>
      <c r="Y32" s="84"/>
      <c r="Z32" s="104"/>
      <c r="AA32" s="102"/>
    </row>
    <row r="33" spans="2:27" x14ac:dyDescent="0.2">
      <c r="B33" s="112"/>
      <c r="C33" s="98" t="s">
        <v>16</v>
      </c>
      <c r="D33" s="99" t="s">
        <v>23</v>
      </c>
      <c r="E33" s="99" t="s">
        <v>14</v>
      </c>
      <c r="F33" s="99" t="s">
        <v>20</v>
      </c>
      <c r="G33" s="99" t="s">
        <v>38</v>
      </c>
      <c r="H33" s="93" t="s">
        <v>19</v>
      </c>
      <c r="I33" s="93" t="s">
        <v>42</v>
      </c>
      <c r="K33" s="86"/>
      <c r="L33" s="99" t="s">
        <v>16</v>
      </c>
      <c r="M33" s="99" t="s">
        <v>23</v>
      </c>
      <c r="N33" s="99" t="s">
        <v>14</v>
      </c>
      <c r="O33" s="99" t="s">
        <v>20</v>
      </c>
      <c r="P33" s="99" t="s">
        <v>38</v>
      </c>
      <c r="Q33" s="93" t="s">
        <v>19</v>
      </c>
      <c r="R33" s="93" t="s">
        <v>42</v>
      </c>
      <c r="T33" s="86"/>
      <c r="U33" s="99" t="s">
        <v>16</v>
      </c>
      <c r="V33" s="99" t="s">
        <v>23</v>
      </c>
      <c r="W33" s="99" t="s">
        <v>14</v>
      </c>
      <c r="X33" s="99" t="s">
        <v>20</v>
      </c>
      <c r="Y33" s="99" t="s">
        <v>38</v>
      </c>
      <c r="Z33" s="93" t="s">
        <v>19</v>
      </c>
      <c r="AA33" s="93" t="s">
        <v>42</v>
      </c>
    </row>
    <row r="34" spans="2:27" x14ac:dyDescent="0.2">
      <c r="B34" s="72" t="s">
        <v>121</v>
      </c>
      <c r="C34" s="126"/>
      <c r="D34" s="56"/>
      <c r="E34" s="56"/>
      <c r="F34" s="56"/>
      <c r="G34" s="56"/>
      <c r="H34" s="55"/>
      <c r="I34" s="55"/>
      <c r="K34" s="43" t="s">
        <v>121</v>
      </c>
      <c r="L34" s="56"/>
      <c r="M34" s="56"/>
      <c r="N34" s="56"/>
      <c r="O34" s="56"/>
      <c r="P34" s="56"/>
      <c r="Q34" s="55"/>
      <c r="R34" s="55"/>
      <c r="T34" s="43" t="s">
        <v>121</v>
      </c>
      <c r="U34" s="56"/>
      <c r="V34" s="56"/>
      <c r="W34" s="56"/>
      <c r="X34" s="56"/>
      <c r="Y34" s="56"/>
      <c r="Z34" s="55"/>
      <c r="AA34" s="55"/>
    </row>
    <row r="35" spans="2:27" x14ac:dyDescent="0.2">
      <c r="B35" s="72" t="s">
        <v>126</v>
      </c>
      <c r="C35" s="47">
        <f>C13/[1]Ni_MHP!$B$4</f>
        <v>4.937621608424262E-3</v>
      </c>
      <c r="D35" s="41">
        <f>D13/[1]Co_SO4!$B$4</f>
        <v>4.1626570104223506E-3</v>
      </c>
      <c r="E35" s="41">
        <f>E13/[1]Li_brine!$B$4</f>
        <v>9.6548376050545164E-3</v>
      </c>
      <c r="F35" s="41">
        <f>F13/[1]Al!$B$4</f>
        <v>1.5068591301663938E-4</v>
      </c>
      <c r="G35" s="41">
        <f>[1]Cu!B9</f>
        <v>2.9861604854577621E-4</v>
      </c>
      <c r="H35" s="42">
        <f>[1]Mn!B9</f>
        <v>1.9610334315300456E-4</v>
      </c>
      <c r="I35" s="42">
        <f>SUM(F35:H35)</f>
        <v>6.4540530471542015E-4</v>
      </c>
      <c r="K35" s="43" t="s">
        <v>126</v>
      </c>
      <c r="L35" s="41">
        <f>J13/[1]Ni_MHP!$B$4</f>
        <v>4.2763744465432376E-3</v>
      </c>
      <c r="M35" s="41">
        <f>K13/[1]Co_SO4!$B$4</f>
        <v>3.4072432855481519E-3</v>
      </c>
      <c r="N35" s="41">
        <f>L13/[1]Li_brine!$B$4</f>
        <v>8.054438276641037E-3</v>
      </c>
      <c r="O35" s="41">
        <f>M13/[1]Al!$B$4</f>
        <v>1.478961843504908E-4</v>
      </c>
      <c r="P35" s="41">
        <f>[1]Cu!D9</f>
        <v>2.6617294157200571E-4</v>
      </c>
      <c r="Q35" s="42">
        <f>[1]Mn!D9</f>
        <v>3.2410160395353137E-5</v>
      </c>
      <c r="R35" s="42">
        <f>SUM(O35:Q35)</f>
        <v>4.4647928631784959E-4</v>
      </c>
      <c r="T35" s="43" t="s">
        <v>126</v>
      </c>
      <c r="U35" s="41">
        <f>R13/[1]Ni_MHP!$B$4</f>
        <v>6.6124716188102422E-4</v>
      </c>
      <c r="V35" s="41">
        <f>S13/[1]Co_SO4!$B$4</f>
        <v>7.5541372487419867E-4</v>
      </c>
      <c r="W35" s="41">
        <f>T13/[1]Li_brine!$B$4</f>
        <v>1.6003993284134793E-3</v>
      </c>
      <c r="X35" s="41">
        <f>U13/[1]Al!$B$4</f>
        <v>2.7897286661485808E-6</v>
      </c>
      <c r="Y35" s="41">
        <f>[1]Cu!C9</f>
        <v>3.2443106973770514E-5</v>
      </c>
      <c r="Z35" s="42">
        <f>[1]Mn!C9</f>
        <v>1.6369318275765143E-4</v>
      </c>
      <c r="AA35" s="42">
        <f>SUM(X35:Z35)</f>
        <v>1.9892601839757051E-4</v>
      </c>
    </row>
    <row r="36" spans="2:27" x14ac:dyDescent="0.2">
      <c r="B36" s="72" t="s">
        <v>127</v>
      </c>
      <c r="C36" s="47">
        <f>C14/[1]Ni_MHP!$B$4</f>
        <v>2.5977765373058889E-2</v>
      </c>
      <c r="D36" s="41">
        <f>D14/[1]Co_SO4!$B$4</f>
        <v>1.3525135446463511E-2</v>
      </c>
      <c r="E36" s="41">
        <f>E14/[1]Li_brine!$B$4</f>
        <v>4.408983442788407E-2</v>
      </c>
      <c r="F36" s="41">
        <f>F14/[1]Al!$B$4</f>
        <v>6.3823806610559036E-4</v>
      </c>
      <c r="G36" s="41">
        <f>[1]Cu!B10</f>
        <v>2.0386139541548856E-3</v>
      </c>
      <c r="H36" s="42">
        <f>[1]Mn!B10</f>
        <v>9.3225718204947156E-4</v>
      </c>
      <c r="I36" s="42">
        <f t="shared" ref="I36:I47" si="4">SUM(F36:H36)</f>
        <v>3.6091092023099475E-3</v>
      </c>
      <c r="K36" s="43" t="s">
        <v>127</v>
      </c>
      <c r="L36" s="41">
        <f>J14/[1]Ni_MHP!$B$4</f>
        <v>2.3300409404751053E-2</v>
      </c>
      <c r="M36" s="41">
        <f>K14/[1]Co_SO4!$B$4</f>
        <v>1.1218218996125377E-2</v>
      </c>
      <c r="N36" s="41">
        <f>L14/[1]Li_brine!$B$4</f>
        <v>3.9556762236015057E-2</v>
      </c>
      <c r="O36" s="41">
        <f>M14/[1]Al!$B$4</f>
        <v>6.3021721038156501E-4</v>
      </c>
      <c r="P36" s="41">
        <f>[1]Cu!D10</f>
        <v>1.7797913325286463E-3</v>
      </c>
      <c r="Q36" s="42">
        <f>[1]Mn!D10</f>
        <v>7.3226223645176942E-5</v>
      </c>
      <c r="R36" s="42">
        <f t="shared" ref="R36:R47" si="5">SUM(O36:Q36)</f>
        <v>2.4832347665553886E-3</v>
      </c>
      <c r="T36" s="43" t="s">
        <v>127</v>
      </c>
      <c r="U36" s="41">
        <f>R14/[1]Ni_MHP!$B$4</f>
        <v>2.6773559683078412E-3</v>
      </c>
      <c r="V36" s="41">
        <f>S14/[1]Co_SO4!$B$4</f>
        <v>2.306916450338134E-3</v>
      </c>
      <c r="W36" s="41">
        <f>T14/[1]Li_brine!$B$4</f>
        <v>4.5330721918690059E-3</v>
      </c>
      <c r="X36" s="41">
        <f>U14/[1]Al!$B$4</f>
        <v>8.0208557240254199E-6</v>
      </c>
      <c r="Y36" s="41">
        <f>[1]Cu!C10</f>
        <v>2.5882262162623944E-4</v>
      </c>
      <c r="Z36" s="42">
        <f>[1]Mn!C10</f>
        <v>8.5903095840429461E-4</v>
      </c>
      <c r="AA36" s="42">
        <f t="shared" ref="AA36:AA45" si="6">SUM(X36:Z36)</f>
        <v>1.1258744357545594E-3</v>
      </c>
    </row>
    <row r="37" spans="2:27" x14ac:dyDescent="0.2">
      <c r="B37" s="72" t="s">
        <v>128</v>
      </c>
      <c r="C37" s="47">
        <f>C15/[1]Ni_MHP!$B$4</f>
        <v>4.7973845981075319E-2</v>
      </c>
      <c r="D37" s="41">
        <f>D15/[1]Co_SO4!$B$4</f>
        <v>2.4316208932025993E-2</v>
      </c>
      <c r="E37" s="41">
        <f>E15/[1]Li_brine!$B$4</f>
        <v>6.7502256812228448E-2</v>
      </c>
      <c r="F37" s="41">
        <f>F15/[1]Al!$B$4</f>
        <v>1.1774886048600893E-3</v>
      </c>
      <c r="G37" s="41">
        <f>[1]Cu!B11</f>
        <v>2.4708300952947853E-3</v>
      </c>
      <c r="H37" s="42">
        <f>[1]Mn!B11</f>
        <v>1.6833347102589743E-3</v>
      </c>
      <c r="I37" s="42">
        <f t="shared" si="4"/>
        <v>5.3316534104138492E-3</v>
      </c>
      <c r="K37" s="43" t="s">
        <v>128</v>
      </c>
      <c r="L37" s="41">
        <f>J15/[1]Ni_MHP!$B$4</f>
        <v>3.4615789303144677E-2</v>
      </c>
      <c r="M37" s="41">
        <f>K15/[1]Co_SO4!$B$4</f>
        <v>1.9035698341573107E-2</v>
      </c>
      <c r="N37" s="41">
        <f>L15/[1]Li_brine!$B$4</f>
        <v>5.0480339224965601E-2</v>
      </c>
      <c r="O37" s="41">
        <f>M15/[1]Al!$B$4</f>
        <v>1.1468123921802059E-3</v>
      </c>
      <c r="P37" s="41">
        <f>[1]Cu!D11</f>
        <v>2.2250147434095579E-3</v>
      </c>
      <c r="Q37" s="42">
        <f>[1]Mn!D11</f>
        <v>5.7088245410394519E-4</v>
      </c>
      <c r="R37" s="42">
        <f t="shared" si="5"/>
        <v>3.9427095896937088E-3</v>
      </c>
      <c r="T37" s="43" t="s">
        <v>128</v>
      </c>
      <c r="U37" s="41">
        <f>R15/[1]Ni_MHP!$B$4</f>
        <v>1.3358056677930644E-2</v>
      </c>
      <c r="V37" s="41">
        <f>S15/[1]Co_SO4!$B$4</f>
        <v>5.2805105904528849E-3</v>
      </c>
      <c r="W37" s="41">
        <f>T15/[1]Li_brine!$B$4</f>
        <v>1.702191758726284E-2</v>
      </c>
      <c r="X37" s="41">
        <f>U15/[1]Al!$B$4</f>
        <v>3.0676212679883378E-5</v>
      </c>
      <c r="Y37" s="41">
        <f>[1]Cu!C11</f>
        <v>2.4581535188522742E-4</v>
      </c>
      <c r="Z37" s="42">
        <f>[1]Mn!C11</f>
        <v>1.1124522561550291E-3</v>
      </c>
      <c r="AA37" s="42">
        <f t="shared" si="6"/>
        <v>1.38894382072014E-3</v>
      </c>
    </row>
    <row r="38" spans="2:27" x14ac:dyDescent="0.2">
      <c r="B38" s="72" t="s">
        <v>129</v>
      </c>
      <c r="C38" s="47">
        <f>C16/[1]Ni_MHP!$B$4</f>
        <v>1.3814202923825576E-2</v>
      </c>
      <c r="D38" s="41">
        <f>D16/[1]Co_SO4!$B$4</f>
        <v>0.12521238777096183</v>
      </c>
      <c r="E38" s="41">
        <f>E16/[1]Li_brine!$B$4</f>
        <v>1.5058296883271725E-2</v>
      </c>
      <c r="F38" s="41">
        <f>F16/[1]Al!$B$4</f>
        <v>1.0552423155144762E-3</v>
      </c>
      <c r="G38" s="41">
        <f>[1]Cu!B12</f>
        <v>2.9277380027227084E-4</v>
      </c>
      <c r="H38" s="42">
        <f>[1]Mn!B12</f>
        <v>5.3284390837517251E-3</v>
      </c>
      <c r="I38" s="42">
        <f t="shared" si="4"/>
        <v>6.6764551995384721E-3</v>
      </c>
      <c r="K38" s="43" t="s">
        <v>129</v>
      </c>
      <c r="L38" s="41">
        <f>J16/[1]Ni_MHP!$B$4</f>
        <v>1.2750567311937331E-2</v>
      </c>
      <c r="M38" s="41">
        <f>K16/[1]Co_SO4!$B$4</f>
        <v>6.3325672271918085E-2</v>
      </c>
      <c r="N38" s="41">
        <f>L16/[1]Li_brine!$B$4</f>
        <v>1.4270522659641471E-2</v>
      </c>
      <c r="O38" s="41">
        <f>M16/[1]Al!$B$4</f>
        <v>8.8471480458781856E-4</v>
      </c>
      <c r="P38" s="41">
        <f>[1]Cu!D12</f>
        <v>2.0882399951498317E-4</v>
      </c>
      <c r="Q38" s="42">
        <f>[1]Mn!D12</f>
        <v>4.0763471831333636E-5</v>
      </c>
      <c r="R38" s="42">
        <f t="shared" si="5"/>
        <v>1.1343022759341354E-3</v>
      </c>
      <c r="T38" s="43" t="s">
        <v>129</v>
      </c>
      <c r="U38" s="41">
        <f>R16/[1]Ni_MHP!$B$4</f>
        <v>1.0636356118882422E-3</v>
      </c>
      <c r="V38" s="41">
        <f>S16/[1]Co_SO4!$B$4</f>
        <v>6.1886715499043746E-2</v>
      </c>
      <c r="W38" s="41">
        <f>T16/[1]Li_brine!$B$4</f>
        <v>7.8777422363025774E-4</v>
      </c>
      <c r="X38" s="41">
        <f>U16/[1]Al!$B$4</f>
        <v>1.7052751092665774E-4</v>
      </c>
      <c r="Y38" s="41">
        <f>[1]Cu!C12</f>
        <v>8.3949800757287659E-5</v>
      </c>
      <c r="Z38" s="42">
        <f>[1]Mn!C12</f>
        <v>5.2876756119203915E-3</v>
      </c>
      <c r="AA38" s="42">
        <f t="shared" si="6"/>
        <v>5.542152923604337E-3</v>
      </c>
    </row>
    <row r="39" spans="2:27" x14ac:dyDescent="0.2">
      <c r="B39" s="72" t="s">
        <v>130</v>
      </c>
      <c r="C39" s="47">
        <f>C17/[1]Ni_MHP!$B$4</f>
        <v>7.9337817007579907E-3</v>
      </c>
      <c r="D39" s="41">
        <f>D17/[1]Co_SO4!$B$4</f>
        <v>1.4265667972905197E-2</v>
      </c>
      <c r="E39" s="41">
        <f>E17/[1]Li_brine!$B$4</f>
        <v>1.013953714409766E-2</v>
      </c>
      <c r="F39" s="41">
        <f>F17/[1]Al!$B$4</f>
        <v>5.3208551728699228E-4</v>
      </c>
      <c r="G39" s="41">
        <f>[1]Cu!B13</f>
        <v>1.8188131417516825E-4</v>
      </c>
      <c r="H39" s="42">
        <f>[1]Mn!B13</f>
        <v>2.6858823265741194E-3</v>
      </c>
      <c r="I39" s="42">
        <f t="shared" si="4"/>
        <v>3.3998491580362802E-3</v>
      </c>
      <c r="K39" s="43" t="s">
        <v>130</v>
      </c>
      <c r="L39" s="41">
        <f>J17/[1]Ni_MHP!$B$4</f>
        <v>7.1225579268228683E-3</v>
      </c>
      <c r="M39" s="41">
        <f>K17/[1]Co_SO4!$B$4</f>
        <v>7.6023082392235337E-3</v>
      </c>
      <c r="N39" s="41">
        <f>L17/[1]Li_brine!$B$4</f>
        <v>9.4768537274091905E-3</v>
      </c>
      <c r="O39" s="41">
        <f>M17/[1]Al!$B$4</f>
        <v>4.4568527918781731E-4</v>
      </c>
      <c r="P39" s="41">
        <f>[1]Cu!D13</f>
        <v>1.4025275991115375E-4</v>
      </c>
      <c r="Q39" s="42">
        <f>[1]Mn!D13</f>
        <v>3.5926694591667963E-5</v>
      </c>
      <c r="R39" s="42">
        <f t="shared" si="5"/>
        <v>6.2186473369063903E-4</v>
      </c>
      <c r="T39" s="43" t="s">
        <v>130</v>
      </c>
      <c r="U39" s="41">
        <f>R17/[1]Ni_MHP!$B$4</f>
        <v>8.1122377393512239E-4</v>
      </c>
      <c r="V39" s="41">
        <f>S17/[1]Co_SO4!$B$4</f>
        <v>6.6633597336816638E-3</v>
      </c>
      <c r="W39" s="41">
        <f>T17/[1]Li_brine!$B$4</f>
        <v>6.6268341668847047E-4</v>
      </c>
      <c r="X39" s="41">
        <f>U17/[1]Al!$B$4</f>
        <v>8.6400238099174938E-5</v>
      </c>
      <c r="Y39" s="41">
        <f>[1]Cu!C13</f>
        <v>4.1628554264014509E-5</v>
      </c>
      <c r="Z39" s="42">
        <f>[1]Mn!C13</f>
        <v>2.6499556319824515E-3</v>
      </c>
      <c r="AA39" s="42">
        <f t="shared" si="6"/>
        <v>2.7779844243456409E-3</v>
      </c>
    </row>
    <row r="40" spans="2:27" x14ac:dyDescent="0.2">
      <c r="B40" s="72" t="s">
        <v>131</v>
      </c>
      <c r="C40" s="47">
        <f>C18/[1]Ni_MHP!$B$4</f>
        <v>1.4243447921816008</v>
      </c>
      <c r="D40" s="41">
        <f>D18/[1]Co_SO4!$B$4</f>
        <v>6.4284131682071463E-2</v>
      </c>
      <c r="E40" s="41">
        <f>E18/[1]Li_brine!$B$4</f>
        <v>6.3629896724490681E-2</v>
      </c>
      <c r="F40" s="41">
        <f>F18/[1]Al!$B$4</f>
        <v>1.4192254060638129E-3</v>
      </c>
      <c r="G40" s="41">
        <f>[1]Cu!B14</f>
        <v>0.14038217122196686</v>
      </c>
      <c r="H40" s="42">
        <f>[1]Mn!B14</f>
        <v>4.5743317954445636E-3</v>
      </c>
      <c r="I40" s="42">
        <f t="shared" si="4"/>
        <v>0.14637572842347524</v>
      </c>
      <c r="K40" s="43" t="s">
        <v>131</v>
      </c>
      <c r="L40" s="41">
        <f>J18/[1]Ni_MHP!$B$4</f>
        <v>1.4162960114803389</v>
      </c>
      <c r="M40" s="41">
        <f>K18/[1]Co_SO4!$B$4</f>
        <v>6.4159791001835359E-2</v>
      </c>
      <c r="N40" s="41">
        <f>L18/[1]Li_brine!$B$4</f>
        <v>6.2969108683447114E-2</v>
      </c>
      <c r="O40" s="41">
        <f>M18/[1]Al!$B$4</f>
        <v>1.4134954832806981E-3</v>
      </c>
      <c r="P40" s="41">
        <f>[1]Cu!D14</f>
        <v>0.14028238628284198</v>
      </c>
      <c r="Q40" s="42">
        <f>[1]Mn!D14</f>
        <v>3.8405233660723848E-3</v>
      </c>
      <c r="R40" s="42">
        <f t="shared" si="5"/>
        <v>0.14553640513219507</v>
      </c>
      <c r="T40" s="43" t="s">
        <v>131</v>
      </c>
      <c r="U40" s="41">
        <f>R18/[1]Ni_MHP!$B$4</f>
        <v>8.0487807012619636E-3</v>
      </c>
      <c r="V40" s="41">
        <f>S18/[1]Co_SO4!$B$4</f>
        <v>1.2434068023611501E-4</v>
      </c>
      <c r="W40" s="41">
        <f>T18/[1]Li_brine!$B$4</f>
        <v>6.6078804104357375E-4</v>
      </c>
      <c r="X40" s="41">
        <f>U18/[1]Al!$B$4</f>
        <v>5.7299227831148011E-6</v>
      </c>
      <c r="Y40" s="41">
        <f>[1]Cu!C14</f>
        <v>9.978493912487531E-5</v>
      </c>
      <c r="Z40" s="42">
        <f>[1]Mn!C14</f>
        <v>7.3380842937217873E-4</v>
      </c>
      <c r="AA40" s="42">
        <f t="shared" si="6"/>
        <v>8.3932329128016882E-4</v>
      </c>
    </row>
    <row r="41" spans="2:27" x14ac:dyDescent="0.2">
      <c r="B41" s="72" t="s">
        <v>132</v>
      </c>
      <c r="C41" s="47">
        <f>C19/[1]Ni_MHP!$B$4</f>
        <v>2.8738443546721921E-4</v>
      </c>
      <c r="D41" s="41">
        <f>D19/[1]Co_SO4!$B$4</f>
        <v>5.4277793393850209E-4</v>
      </c>
      <c r="E41" s="41">
        <f>E19/[1]Li_brine!$B$4</f>
        <v>8.1457789559201074E-4</v>
      </c>
      <c r="F41" s="41">
        <f>F19/[1]Al!$B$4</f>
        <v>1.0017140935972268E-5</v>
      </c>
      <c r="G41" s="41">
        <f>[1]Cu!B15</f>
        <v>3.8754719268947349E-5</v>
      </c>
      <c r="H41" s="42">
        <f>[1]Mn!B15</f>
        <v>9.4837550576901409E-6</v>
      </c>
      <c r="I41" s="42">
        <f t="shared" si="4"/>
        <v>5.8255615262609758E-5</v>
      </c>
      <c r="K41" s="43" t="s">
        <v>132</v>
      </c>
      <c r="L41" s="41">
        <f>J19/[1]Ni_MHP!$B$4</f>
        <v>2.1197835163186442E-4</v>
      </c>
      <c r="M41" s="41">
        <f>K19/[1]Co_SO4!$B$4</f>
        <v>3.2077249954529677E-4</v>
      </c>
      <c r="N41" s="41">
        <f>L19/[1]Li_brine!$B$4</f>
        <v>5.7588331700046929E-4</v>
      </c>
      <c r="O41" s="41">
        <f>M19/[1]Al!$B$4</f>
        <v>9.4775597039192685E-6</v>
      </c>
      <c r="P41" s="41">
        <f>[1]Cu!D15</f>
        <v>3.7993132602501144E-5</v>
      </c>
      <c r="Q41" s="42">
        <f>[1]Mn!D15</f>
        <v>4.9394779807984379E-6</v>
      </c>
      <c r="R41" s="42">
        <f t="shared" si="5"/>
        <v>5.241017028721885E-5</v>
      </c>
      <c r="T41" s="43" t="s">
        <v>132</v>
      </c>
      <c r="U41" s="41">
        <f>R19/[1]Ni_MHP!$B$4</f>
        <v>7.5406083835354745E-5</v>
      </c>
      <c r="V41" s="41">
        <f>S19/[1]Co_SO4!$B$4</f>
        <v>2.2200543439320535E-4</v>
      </c>
      <c r="W41" s="41">
        <f>T19/[1]Li_brine!$B$4</f>
        <v>2.3869457859154137E-4</v>
      </c>
      <c r="X41" s="41">
        <f>U19/[1]Al!$B$4</f>
        <v>5.3958123205299916E-7</v>
      </c>
      <c r="Y41" s="41">
        <f>[1]Cu!C15</f>
        <v>7.6158666644620442E-7</v>
      </c>
      <c r="Z41" s="42">
        <f>[1]Mn!C15</f>
        <v>4.544277076891703E-6</v>
      </c>
      <c r="AA41" s="42">
        <f t="shared" si="6"/>
        <v>5.8454449753909067E-6</v>
      </c>
    </row>
    <row r="42" spans="2:27" x14ac:dyDescent="0.2">
      <c r="B42" s="72" t="s">
        <v>133</v>
      </c>
      <c r="C42" s="47">
        <f>C20/[1]Ni_MHP!$B$4</f>
        <v>6.03847487324424E-4</v>
      </c>
      <c r="D42" s="41">
        <f>D20/[1]Co_SO4!$B$4</f>
        <v>4.0179081444247875E-4</v>
      </c>
      <c r="E42" s="41">
        <f>E20/[1]Li_brine!$B$4</f>
        <v>1.2894133520013563E-3</v>
      </c>
      <c r="F42" s="41">
        <f>F20/[1]Al!$B$4</f>
        <v>1.8966914135485046E-5</v>
      </c>
      <c r="G42" s="41">
        <f>[1]Cu!B16</f>
        <v>4.1659639434073537E-5</v>
      </c>
      <c r="H42" s="42">
        <f>[1]Mn!B16</f>
        <v>3.5676940029975798E-5</v>
      </c>
      <c r="I42" s="42">
        <f t="shared" si="4"/>
        <v>9.6303493599534377E-5</v>
      </c>
      <c r="K42" s="43" t="s">
        <v>133</v>
      </c>
      <c r="L42" s="41">
        <f>J20/[1]Ni_MHP!$B$4</f>
        <v>4.6012378595034598E-4</v>
      </c>
      <c r="M42" s="41">
        <f>K20/[1]Co_SO4!$B$4</f>
        <v>3.35046986006162E-4</v>
      </c>
      <c r="N42" s="41">
        <f>L20/[1]Li_brine!$B$4</f>
        <v>1.135748120117485E-3</v>
      </c>
      <c r="O42" s="41">
        <f>M20/[1]Al!$B$4</f>
        <v>1.8765962841096363E-5</v>
      </c>
      <c r="P42" s="41">
        <f>[1]Cu!D16</f>
        <v>3.8617702012268723E-5</v>
      </c>
      <c r="Q42" s="42">
        <f>[1]Mn!D16</f>
        <v>1.4594691095083795E-5</v>
      </c>
      <c r="R42" s="42">
        <f t="shared" si="5"/>
        <v>7.1978355948448878E-5</v>
      </c>
      <c r="T42" s="43" t="s">
        <v>133</v>
      </c>
      <c r="U42" s="41">
        <f>R20/[1]Ni_MHP!$B$4</f>
        <v>1.4372370137407796E-4</v>
      </c>
      <c r="V42" s="41">
        <f>S20/[1]Co_SO4!$B$4</f>
        <v>6.6743828436316747E-5</v>
      </c>
      <c r="W42" s="41">
        <f>T20/[1]Li_brine!$B$4</f>
        <v>1.536652318838716E-4</v>
      </c>
      <c r="X42" s="41">
        <f>U20/[1]Al!$B$4</f>
        <v>2.0095129438868589E-7</v>
      </c>
      <c r="Y42" s="41">
        <f>[1]Cu!C16</f>
        <v>3.041937421804814E-6</v>
      </c>
      <c r="Z42" s="42">
        <f>[1]Mn!C16</f>
        <v>2.1082248934892003E-5</v>
      </c>
      <c r="AA42" s="42">
        <f t="shared" si="6"/>
        <v>2.4325137651085502E-5</v>
      </c>
    </row>
    <row r="43" spans="2:27" x14ac:dyDescent="0.2">
      <c r="B43" s="72" t="s">
        <v>134</v>
      </c>
      <c r="C43" s="47">
        <f>C21/[1]Ni_MHP!$B$4</f>
        <v>3.9562066793961084E-2</v>
      </c>
      <c r="D43" s="41">
        <f>D21/[1]Co_SO4!$B$4</f>
        <v>4.0111112948296099E-2</v>
      </c>
      <c r="E43" s="41">
        <f>E21/[1]Li_brine!$B$4</f>
        <v>8.832768929086271E-2</v>
      </c>
      <c r="F43" s="41">
        <f>F21/[1]Al!$B$4</f>
        <v>2.4294934329822477E-3</v>
      </c>
      <c r="G43" s="41">
        <f>[1]Cu!B17</f>
        <v>5.1279507487447442E-3</v>
      </c>
      <c r="H43" s="42">
        <f>[1]Mn!B17</f>
        <v>2.8706976925312782E-3</v>
      </c>
      <c r="I43" s="42">
        <f t="shared" si="4"/>
        <v>1.042814187425827E-2</v>
      </c>
      <c r="K43" s="43" t="s">
        <v>134</v>
      </c>
      <c r="L43" s="41">
        <f>J21/[1]Ni_MHP!$B$4</f>
        <v>3.4255535329583364E-2</v>
      </c>
      <c r="M43" s="41">
        <f>K21/[1]Co_SO4!$B$4</f>
        <v>3.7435473470130126E-2</v>
      </c>
      <c r="N43" s="41">
        <f>L21/[1]Li_brine!$B$4</f>
        <v>7.8090900894030119E-2</v>
      </c>
      <c r="O43" s="41">
        <f>M21/[1]Al!$B$4</f>
        <v>2.4166006933536164E-3</v>
      </c>
      <c r="P43" s="41">
        <f>[1]Cu!D17</f>
        <v>4.6764441651923269E-3</v>
      </c>
      <c r="Q43" s="42">
        <f>[1]Mn!D17</f>
        <v>1.1392812513322768E-4</v>
      </c>
      <c r="R43" s="42">
        <f t="shared" si="5"/>
        <v>7.206972983679171E-3</v>
      </c>
      <c r="T43" s="43" t="s">
        <v>134</v>
      </c>
      <c r="U43" s="41">
        <f>R21/[1]Ni_MHP!$B$4</f>
        <v>5.3065314643777287E-3</v>
      </c>
      <c r="V43" s="41">
        <f>S21/[1]Co_SO4!$B$4</f>
        <v>2.6756394781659743E-3</v>
      </c>
      <c r="W43" s="41">
        <f>T21/[1]Li_brine!$B$4</f>
        <v>1.0236788396832589E-2</v>
      </c>
      <c r="X43" s="41">
        <f>U21/[1]Al!$B$4</f>
        <v>1.2892739628631425E-5</v>
      </c>
      <c r="Y43" s="41">
        <f>[1]Cu!C17</f>
        <v>4.5150658355241772E-4</v>
      </c>
      <c r="Z43" s="42">
        <f>[1]Mn!C17</f>
        <v>2.7567695673980505E-3</v>
      </c>
      <c r="AA43" s="42">
        <f t="shared" si="6"/>
        <v>3.2211688905790996E-3</v>
      </c>
    </row>
    <row r="44" spans="2:27" x14ac:dyDescent="0.2">
      <c r="B44" s="72" t="s">
        <v>135</v>
      </c>
      <c r="C44" s="47">
        <f>C22/[1]Ni_MHP!$B$4</f>
        <v>5.5060102040209327E-4</v>
      </c>
      <c r="D44" s="41">
        <f>D22/[1]Co_SO4!$B$4</f>
        <v>4.4015840208998171E-4</v>
      </c>
      <c r="E44" s="41">
        <f>E22/[1]Li_brine!$B$4</f>
        <v>4.2856298070198724E-4</v>
      </c>
      <c r="F44" s="41">
        <f>F22/[1]Al!$B$4</f>
        <v>2.4875190837591011E-5</v>
      </c>
      <c r="G44" s="41">
        <f>[1]Cu!B18</f>
        <v>4.5582654034182673E-5</v>
      </c>
      <c r="H44" s="42">
        <f>[1]Mn!B18</f>
        <v>2.5226994477142408E-5</v>
      </c>
      <c r="I44" s="42">
        <f t="shared" si="4"/>
        <v>9.5684839348916082E-5</v>
      </c>
      <c r="K44" s="43" t="s">
        <v>135</v>
      </c>
      <c r="L44" s="41">
        <f>J22/[1]Ni_MHP!$B$4</f>
        <v>3.5060244260395304E-4</v>
      </c>
      <c r="M44" s="41">
        <f>K22/[1]Co_SO4!$B$4</f>
        <v>3.867659848873163E-4</v>
      </c>
      <c r="N44" s="41">
        <f>L22/[1]Li_brine!$B$4</f>
        <v>3.2339976757494668E-4</v>
      </c>
      <c r="O44" s="41">
        <f>M22/[1]Al!$B$4</f>
        <v>2.4634446116282789E-5</v>
      </c>
      <c r="P44" s="41">
        <f>[1]Cu!D18</f>
        <v>4.2258635228757095E-5</v>
      </c>
      <c r="Q44" s="42">
        <f>[1]Mn!D18</f>
        <v>1.7803986890727192E-6</v>
      </c>
      <c r="R44" s="42">
        <f t="shared" si="5"/>
        <v>6.867348003411261E-5</v>
      </c>
      <c r="T44" s="43" t="s">
        <v>135</v>
      </c>
      <c r="U44" s="41">
        <f>R22/[1]Ni_MHP!$B$4</f>
        <v>1.999985777981402E-4</v>
      </c>
      <c r="V44" s="41">
        <f>S22/[1]Co_SO4!$B$4</f>
        <v>5.3392417202665393E-5</v>
      </c>
      <c r="W44" s="41">
        <f>T22/[1]Li_brine!$B$4</f>
        <v>1.0516321312704055E-4</v>
      </c>
      <c r="X44" s="41">
        <f>U22/[1]Al!$B$4</f>
        <v>2.4074472130822274E-7</v>
      </c>
      <c r="Y44" s="41">
        <f>[1]Cu!C18</f>
        <v>3.324018805425575E-6</v>
      </c>
      <c r="Z44" s="42">
        <f>[1]Mn!C18</f>
        <v>2.3446595788069689E-5</v>
      </c>
      <c r="AA44" s="42">
        <f t="shared" si="6"/>
        <v>2.7011359314803486E-5</v>
      </c>
    </row>
    <row r="45" spans="2:27" x14ac:dyDescent="0.2">
      <c r="B45" s="72" t="s">
        <v>136</v>
      </c>
      <c r="C45" s="47">
        <f>C23/[1]Ni_MHP!$B$4</f>
        <v>21.217994346580216</v>
      </c>
      <c r="D45" s="41">
        <f>D23/[1]Co_SO4!$B$4</f>
        <v>18.442729983410221</v>
      </c>
      <c r="E45" s="41">
        <f>E23/[1]Li_brine!$B$4</f>
        <v>61.667529755124455</v>
      </c>
      <c r="F45" s="41">
        <f>F23/[1]Al!$B$4</f>
        <v>0.98998065444203776</v>
      </c>
      <c r="G45" s="41">
        <f>[1]Cu!B19</f>
        <v>2.2411083737054738</v>
      </c>
      <c r="H45" s="42">
        <f>[1]Mn!B19</f>
        <v>2.2179443628190625</v>
      </c>
      <c r="I45" s="42">
        <f t="shared" si="4"/>
        <v>5.4490333909665747</v>
      </c>
      <c r="K45" s="43" t="s">
        <v>136</v>
      </c>
      <c r="L45" s="41">
        <f>J23/[1]Ni_MHP!$B$4</f>
        <v>17.236484998492941</v>
      </c>
      <c r="M45" s="41">
        <f>K23/[1]Co_SO4!$B$4</f>
        <v>16.259146701058771</v>
      </c>
      <c r="N45" s="41">
        <f>L23/[1]Li_brine!$B$4</f>
        <v>53.600175185614141</v>
      </c>
      <c r="O45" s="41">
        <f>M23/[1]Al!$B$4</f>
        <v>0.97935106951724293</v>
      </c>
      <c r="P45" s="41">
        <f>[1]Cu!D19</f>
        <v>1.9896249386839511</v>
      </c>
      <c r="Q45" s="42">
        <f>[1]Mn!D19</f>
        <v>0.87509532982138261</v>
      </c>
      <c r="R45" s="42">
        <f t="shared" si="5"/>
        <v>3.8440713380225766</v>
      </c>
      <c r="T45" s="43" t="s">
        <v>136</v>
      </c>
      <c r="U45" s="41">
        <f>R23/[1]Ni_MHP!$B$4</f>
        <v>3.9815093480872799</v>
      </c>
      <c r="V45" s="41">
        <f>S23/[1]Co_SO4!$B$4</f>
        <v>2.1835832823514498</v>
      </c>
      <c r="W45" s="41">
        <f>T23/[1]Li_brine!$B$4</f>
        <v>8.0673545695103073</v>
      </c>
      <c r="X45" s="41">
        <f>U23/[1]Al!$B$4</f>
        <v>1.0629584924794832E-2</v>
      </c>
      <c r="Y45" s="41">
        <f>[1]Cu!C19</f>
        <v>0.25148343502152265</v>
      </c>
      <c r="Z45" s="42">
        <f>[1]Mn!C19</f>
        <v>1.3428490329976799</v>
      </c>
      <c r="AA45" s="42">
        <f t="shared" si="6"/>
        <v>1.6049620529439974</v>
      </c>
    </row>
    <row r="46" spans="2:27" x14ac:dyDescent="0.2">
      <c r="B46" s="53" t="s">
        <v>122</v>
      </c>
      <c r="C46" s="126"/>
      <c r="D46" s="56"/>
      <c r="E46" s="56"/>
      <c r="F46" s="56"/>
      <c r="G46" s="56"/>
      <c r="H46" s="78"/>
      <c r="I46" s="55"/>
      <c r="K46" s="53" t="s">
        <v>122</v>
      </c>
      <c r="L46" s="56"/>
      <c r="M46" s="56"/>
      <c r="N46" s="56"/>
      <c r="O46" s="56"/>
      <c r="P46" s="56"/>
      <c r="Q46" s="78"/>
      <c r="R46" s="55"/>
      <c r="T46" s="53" t="s">
        <v>122</v>
      </c>
      <c r="U46" s="56"/>
      <c r="V46" s="56"/>
      <c r="W46" s="56"/>
      <c r="X46" s="56"/>
      <c r="Y46" s="56"/>
      <c r="Z46" s="78"/>
      <c r="AA46" s="55"/>
    </row>
    <row r="47" spans="2:27" x14ac:dyDescent="0.2">
      <c r="B47" s="72" t="s">
        <v>125</v>
      </c>
      <c r="C47" s="47">
        <f>C25/[1]Ni_MHP!$B$4</f>
        <v>314.16171165474293</v>
      </c>
      <c r="D47" s="41">
        <f>D25/[1]Co_SO4!$B$4</f>
        <v>296.75314296422454</v>
      </c>
      <c r="E47" s="41">
        <f>E25/[1]Li_brine!$B$4</f>
        <v>694.00544191683491</v>
      </c>
      <c r="F47" s="41">
        <f>F25/[1]Al!$B$4</f>
        <v>15.325429763499177</v>
      </c>
      <c r="G47" s="41">
        <f>[1]Cu!B21</f>
        <v>36.312328797323588</v>
      </c>
      <c r="H47" s="42">
        <f>[1]Mn!B21</f>
        <v>24.189604619704198</v>
      </c>
      <c r="I47" s="42">
        <f t="shared" si="4"/>
        <v>75.827363180526959</v>
      </c>
      <c r="K47" s="43" t="s">
        <v>125</v>
      </c>
      <c r="L47" s="41">
        <f>J25/[1]Ni_MHP!$B$4</f>
        <v>260.86663809310477</v>
      </c>
      <c r="M47" s="41">
        <f>K25/[1]Co_SO4!$B$4</f>
        <v>266.78681856512179</v>
      </c>
      <c r="N47" s="41">
        <f>L25/[1]Li_brine!$B$4</f>
        <v>579.2228156076709</v>
      </c>
      <c r="O47" s="41">
        <f>M25/[1]Al!$B$4</f>
        <v>15.182129334149044</v>
      </c>
      <c r="P47" s="41">
        <f>[1]Cu!D21</f>
        <v>32.252517402734831</v>
      </c>
      <c r="Q47" s="42">
        <f>[1]Mn!D21</f>
        <v>1.0785522985128182</v>
      </c>
      <c r="R47" s="42">
        <f t="shared" si="5"/>
        <v>48.513199035396696</v>
      </c>
      <c r="T47" s="43" t="s">
        <v>125</v>
      </c>
      <c r="U47" s="41">
        <f>R25/[1]Ni_MHP!$B$4</f>
        <v>53.295073561638162</v>
      </c>
      <c r="V47" s="41">
        <f>S25/[1]Co_SO4!$B$4</f>
        <v>29.966324399102721</v>
      </c>
      <c r="W47" s="41">
        <f>T25/[1]Li_brine!$B$4</f>
        <v>114.78262630916404</v>
      </c>
      <c r="X47" s="41">
        <f>U25/[1]Al!$B$4</f>
        <v>0.14330042935013257</v>
      </c>
      <c r="Y47" s="41">
        <f>[1]Cu!C21</f>
        <v>4.0598113945887553</v>
      </c>
      <c r="Z47" s="42">
        <f>[1]Mn!C21</f>
        <v>23.11105232119138</v>
      </c>
      <c r="AA47" s="42">
        <f t="shared" ref="AA47" si="7">SUM(X47:Z47)</f>
        <v>27.314164145130267</v>
      </c>
    </row>
    <row r="48" spans="2:27" x14ac:dyDescent="0.2">
      <c r="B48" s="53" t="s">
        <v>123</v>
      </c>
      <c r="C48" s="126"/>
      <c r="D48" s="56"/>
      <c r="E48" s="56"/>
      <c r="F48" s="56"/>
      <c r="G48" s="56"/>
      <c r="H48" s="78"/>
      <c r="I48" s="55"/>
      <c r="K48" s="44" t="s">
        <v>123</v>
      </c>
      <c r="L48" s="56"/>
      <c r="M48" s="56"/>
      <c r="N48" s="56"/>
      <c r="O48" s="56"/>
      <c r="P48" s="56"/>
      <c r="Q48" s="78"/>
      <c r="R48" s="55"/>
      <c r="T48" s="44" t="s">
        <v>123</v>
      </c>
      <c r="U48" s="56"/>
      <c r="V48" s="56"/>
      <c r="W48" s="56"/>
      <c r="X48" s="56"/>
      <c r="Y48" s="56"/>
      <c r="Z48" s="78"/>
      <c r="AA48" s="55"/>
    </row>
    <row r="49" spans="1:121" ht="16" thickBot="1" x14ac:dyDescent="0.25">
      <c r="B49" s="113" t="s">
        <v>86</v>
      </c>
      <c r="C49" s="69">
        <f>C27/[1]Ni_MHP!$B$4</f>
        <v>105770.61878136806</v>
      </c>
      <c r="D49" s="52">
        <f>D27/[1]Co_SO4!$B$4</f>
        <v>223349.92311380812</v>
      </c>
      <c r="E49" s="52">
        <f>E27/[1]Li_brine!$B$4</f>
        <v>263821.49824919598</v>
      </c>
      <c r="F49" s="52">
        <f>F27/[1]Al!$B$4</f>
        <v>6786.1571785247779</v>
      </c>
      <c r="G49" s="52">
        <f>[1]Cu!B31</f>
        <v>6204.136973164239</v>
      </c>
      <c r="H49" s="34">
        <f>[1]Mn!B31</f>
        <v>7303.842667424964</v>
      </c>
      <c r="I49" s="34">
        <f>SUM(F49:H49)</f>
        <v>20294.136819113981</v>
      </c>
      <c r="K49" s="61" t="s">
        <v>86</v>
      </c>
      <c r="L49" s="52">
        <f>J27/[1]Ni_MHP!$B$4</f>
        <v>89879.94416672831</v>
      </c>
      <c r="M49" s="52">
        <f>K27/[1]Co_SO4!$B$4</f>
        <v>213935.63606100189</v>
      </c>
      <c r="N49" s="52">
        <f>L27/[1]Li_brine!$B$4</f>
        <v>189374.90632796148</v>
      </c>
      <c r="O49" s="52">
        <f>M27/[1]Al!$B$4</f>
        <v>5662.4613502207385</v>
      </c>
      <c r="P49" s="52">
        <f>[1]Cu!D31</f>
        <v>5257.0313662593626</v>
      </c>
      <c r="Q49" s="34">
        <f>[1]Mn!D31</f>
        <v>574.23404294373904</v>
      </c>
      <c r="R49" s="34">
        <f>SUM(O49:Q49)</f>
        <v>11493.72675942384</v>
      </c>
      <c r="T49" s="61" t="s">
        <v>86</v>
      </c>
      <c r="U49" s="52">
        <f>R27/[1]Ni_MHP!$B$4</f>
        <v>15890.674614639767</v>
      </c>
      <c r="V49" s="52">
        <f>S27/[1]Co_SO4!$B$4</f>
        <v>9414.2870528062085</v>
      </c>
      <c r="W49" s="52">
        <f>T27/[1]Li_brine!$B$4</f>
        <v>74446.591921234503</v>
      </c>
      <c r="X49" s="52">
        <f>U27/[1]Al!$B$4</f>
        <v>1123.6958283040397</v>
      </c>
      <c r="Y49" s="52">
        <f>[1]Cu!C31</f>
        <v>947.10560690487614</v>
      </c>
      <c r="Z49" s="34">
        <f>[1]Mn!C31</f>
        <v>6729.608624481225</v>
      </c>
      <c r="AA49" s="34">
        <f>SUM(X49:Z49)</f>
        <v>8800.4100596901408</v>
      </c>
    </row>
    <row r="51" spans="1:121" x14ac:dyDescent="0.2">
      <c r="A51" s="117"/>
      <c r="B51" s="116"/>
      <c r="C51" s="117"/>
      <c r="D51" s="117"/>
      <c r="E51" s="117"/>
      <c r="F51" s="117"/>
      <c r="G51" s="117"/>
      <c r="H51" s="117"/>
      <c r="I51" s="117"/>
      <c r="J51" s="117"/>
      <c r="K51" s="117"/>
      <c r="L51" s="117"/>
      <c r="M51" s="117"/>
      <c r="N51" s="117"/>
      <c r="O51" s="117"/>
      <c r="P51" s="117"/>
      <c r="Q51" s="117"/>
      <c r="R51" s="117"/>
      <c r="S51" s="117"/>
      <c r="T51" s="117"/>
      <c r="U51" s="117"/>
      <c r="V51" s="117"/>
      <c r="W51" s="117"/>
      <c r="X51" s="117"/>
      <c r="Y51" s="117"/>
      <c r="Z51" s="117"/>
      <c r="AA51" s="117"/>
      <c r="AB51" s="117"/>
      <c r="AC51" s="117"/>
      <c r="AD51" s="117"/>
      <c r="AE51" s="117"/>
      <c r="AF51" s="117"/>
      <c r="AG51" s="117"/>
      <c r="AH51" s="117"/>
      <c r="AI51" s="117"/>
      <c r="AJ51" s="117"/>
      <c r="AK51" s="117"/>
      <c r="AL51" s="117"/>
      <c r="AM51" s="117"/>
      <c r="AN51" s="117"/>
      <c r="AO51" s="117"/>
      <c r="AP51" s="117"/>
      <c r="AQ51" s="117"/>
      <c r="AR51" s="117"/>
      <c r="AS51" s="117"/>
      <c r="AT51" s="117"/>
      <c r="AU51" s="117"/>
      <c r="AV51" s="117"/>
      <c r="AW51" s="117"/>
      <c r="AX51" s="117"/>
      <c r="AY51" s="117"/>
      <c r="AZ51" s="117"/>
      <c r="BA51" s="117"/>
      <c r="BB51" s="117"/>
      <c r="BC51" s="117"/>
      <c r="BD51" s="117"/>
      <c r="BE51" s="117"/>
      <c r="BF51" s="117"/>
      <c r="BG51" s="117"/>
      <c r="BH51" s="117"/>
      <c r="BI51" s="117"/>
      <c r="BJ51" s="117"/>
      <c r="BK51" s="117"/>
      <c r="BL51" s="117"/>
      <c r="BM51" s="117"/>
      <c r="BN51" s="117"/>
      <c r="BO51" s="117"/>
      <c r="BP51" s="117"/>
      <c r="BQ51" s="117"/>
      <c r="BR51" s="117"/>
      <c r="BS51" s="117"/>
      <c r="BT51" s="117"/>
      <c r="BU51" s="117"/>
      <c r="BV51" s="117"/>
      <c r="BW51" s="117"/>
      <c r="BX51" s="117"/>
      <c r="BY51" s="117"/>
      <c r="BZ51" s="117"/>
      <c r="CA51" s="117"/>
      <c r="CB51" s="117"/>
      <c r="CC51" s="117"/>
      <c r="CD51" s="117"/>
      <c r="CE51" s="117"/>
      <c r="CF51" s="117"/>
      <c r="CG51" s="117"/>
      <c r="CH51" s="117"/>
      <c r="CI51" s="117"/>
      <c r="CJ51" s="117"/>
      <c r="CK51" s="117"/>
      <c r="CL51" s="117"/>
      <c r="CM51" s="117"/>
      <c r="CN51" s="117"/>
      <c r="CO51" s="117"/>
      <c r="CP51" s="117"/>
      <c r="CQ51" s="117"/>
      <c r="CR51" s="117"/>
      <c r="CS51" s="117"/>
      <c r="CT51" s="117"/>
      <c r="CU51" s="117"/>
      <c r="CV51" s="117"/>
      <c r="CW51" s="117"/>
      <c r="CX51" s="117"/>
      <c r="CY51" s="117"/>
      <c r="CZ51" s="117"/>
      <c r="DA51" s="117"/>
      <c r="DB51" s="117"/>
      <c r="DC51" s="117"/>
      <c r="DD51" s="117"/>
      <c r="DE51" s="117"/>
      <c r="DF51" s="117"/>
      <c r="DG51" s="117"/>
      <c r="DH51" s="117"/>
      <c r="DI51" s="117"/>
      <c r="DJ51" s="117"/>
      <c r="DK51" s="117"/>
      <c r="DL51" s="117"/>
      <c r="DM51" s="117"/>
      <c r="DN51" s="117"/>
      <c r="DO51" s="117"/>
      <c r="DP51" s="117"/>
      <c r="DQ51" s="117"/>
    </row>
    <row r="52" spans="1:121" ht="24" x14ac:dyDescent="0.3">
      <c r="A52" s="170" t="s">
        <v>257</v>
      </c>
    </row>
    <row r="53" spans="1:121" ht="16" thickBot="1" x14ac:dyDescent="0.25"/>
    <row r="54" spans="1:121" x14ac:dyDescent="0.2">
      <c r="B54" s="31" t="s">
        <v>155</v>
      </c>
      <c r="C54" s="100" t="s">
        <v>213</v>
      </c>
      <c r="D54" s="100"/>
      <c r="E54" s="131"/>
      <c r="I54" s="31" t="s">
        <v>155</v>
      </c>
      <c r="J54" s="100" t="s">
        <v>213</v>
      </c>
      <c r="K54" s="100"/>
      <c r="L54" s="131"/>
      <c r="Q54" s="31" t="s">
        <v>155</v>
      </c>
      <c r="R54" s="100" t="s">
        <v>213</v>
      </c>
      <c r="S54" s="100"/>
      <c r="T54" s="131"/>
    </row>
    <row r="55" spans="1:121" ht="16" thickBot="1" x14ac:dyDescent="0.25">
      <c r="B55" s="101" t="s">
        <v>157</v>
      </c>
      <c r="C55" s="84" t="s">
        <v>165</v>
      </c>
      <c r="D55" s="84"/>
      <c r="E55" s="132"/>
      <c r="I55" s="101" t="s">
        <v>157</v>
      </c>
      <c r="J55" s="84" t="s">
        <v>158</v>
      </c>
      <c r="K55" s="84"/>
      <c r="L55" s="132"/>
      <c r="Q55" s="101" t="s">
        <v>157</v>
      </c>
      <c r="R55" s="114" t="s">
        <v>159</v>
      </c>
      <c r="S55" s="84"/>
      <c r="T55" s="132"/>
    </row>
    <row r="56" spans="1:121" x14ac:dyDescent="0.2">
      <c r="B56" s="86"/>
      <c r="C56" s="99" t="s">
        <v>23</v>
      </c>
      <c r="D56" s="99" t="s">
        <v>14</v>
      </c>
      <c r="E56" s="93" t="s">
        <v>42</v>
      </c>
      <c r="I56" s="86"/>
      <c r="J56" s="99" t="s">
        <v>23</v>
      </c>
      <c r="K56" s="99" t="s">
        <v>14</v>
      </c>
      <c r="L56" s="93" t="s">
        <v>42</v>
      </c>
      <c r="Q56" s="86"/>
      <c r="R56" s="99" t="s">
        <v>23</v>
      </c>
      <c r="S56" s="99" t="s">
        <v>14</v>
      </c>
      <c r="T56" s="93" t="s">
        <v>42</v>
      </c>
    </row>
    <row r="57" spans="1:121" x14ac:dyDescent="0.2">
      <c r="B57" s="43" t="s">
        <v>121</v>
      </c>
      <c r="C57" s="56"/>
      <c r="D57" s="56"/>
      <c r="E57" s="55"/>
      <c r="I57" s="43" t="s">
        <v>121</v>
      </c>
      <c r="J57" s="56"/>
      <c r="K57" s="56"/>
      <c r="L57" s="55"/>
      <c r="Q57" s="43" t="s">
        <v>121</v>
      </c>
      <c r="R57" s="56"/>
      <c r="S57" s="56"/>
      <c r="T57" s="55"/>
    </row>
    <row r="58" spans="1:121" x14ac:dyDescent="0.2">
      <c r="B58" s="43" t="s">
        <v>126</v>
      </c>
      <c r="C58">
        <f>[1]Co_SO4!E9*[1]Final!$E$4</f>
        <v>2.5065941778828881E-3</v>
      </c>
      <c r="D58" s="41">
        <f>[1]Li_brine!E9*[1]Final!$G$4+[1]Li_ore!E9*[1]Final!$G$5</f>
        <v>6.8443800696715222E-4</v>
      </c>
      <c r="E58" s="42">
        <f t="shared" ref="E58:E68" si="8">SUM(C58:D58)</f>
        <v>3.1910321848500406E-3</v>
      </c>
      <c r="I58" s="43" t="s">
        <v>126</v>
      </c>
      <c r="J58">
        <f>[1]Co_SO4!G9*[1]Final!$E$4</f>
        <v>2.0517126827413095E-3</v>
      </c>
      <c r="K58" s="41">
        <f>[1]Li_brine!G9*[1]Final!$G$4+[1]Li_ore!G9*[1]Final!$G$5</f>
        <v>5.7098460966532308E-4</v>
      </c>
      <c r="L58" s="42">
        <f t="shared" ref="L58:L68" si="9">SUM(J58:K58)</f>
        <v>2.6226972924066326E-3</v>
      </c>
      <c r="Q58" s="43" t="s">
        <v>126</v>
      </c>
      <c r="R58">
        <f>[1]Co_SO4!F9*[1]Final!$E$4</f>
        <v>4.5488149514157859E-4</v>
      </c>
      <c r="S58" s="41">
        <f>[1]Li_brine!F9*[1]Final!$G$4+[1]Li_ore!F9*[1]Final!$G$5</f>
        <v>1.1345339730182917E-4</v>
      </c>
      <c r="T58" s="42">
        <f t="shared" ref="T58:T68" si="10">SUM(R58:S58)</f>
        <v>5.6833489244340779E-4</v>
      </c>
    </row>
    <row r="59" spans="1:121" x14ac:dyDescent="0.2">
      <c r="B59" s="43" t="s">
        <v>127</v>
      </c>
      <c r="C59">
        <f>[1]Co_SO4!E10*[1]Final!$E$4</f>
        <v>8.1443236087671688E-3</v>
      </c>
      <c r="D59" s="41">
        <f>[1]Li_brine!E10*[1]Final!$G$4+[1]Li_ore!E10*[1]Final!$G$5</f>
        <v>3.1255583612855922E-3</v>
      </c>
      <c r="E59" s="42">
        <f t="shared" si="8"/>
        <v>1.1269881970052761E-2</v>
      </c>
      <c r="I59" s="43" t="s">
        <v>127</v>
      </c>
      <c r="J59">
        <f>[1]Co_SO4!G10*[1]Final!$E$4</f>
        <v>6.7551860149654827E-3</v>
      </c>
      <c r="K59" s="41">
        <f>[1]Li_brine!G10*[1]Final!$G$4+[1]Li_ore!G10*[1]Final!$G$5</f>
        <v>2.8042057893048105E-3</v>
      </c>
      <c r="L59" s="42">
        <f t="shared" si="9"/>
        <v>9.5593918042702931E-3</v>
      </c>
      <c r="Q59" s="43" t="s">
        <v>127</v>
      </c>
      <c r="R59">
        <f>[1]Co_SO4!F10*[1]Final!$E$4</f>
        <v>1.3891375938016863E-3</v>
      </c>
      <c r="S59" s="41">
        <f>[1]Li_brine!F10*[1]Final!$G$4+[1]Li_ore!F10*[1]Final!$G$5</f>
        <v>3.2135257198078208E-4</v>
      </c>
      <c r="T59" s="42">
        <f t="shared" si="10"/>
        <v>1.7104901657824683E-3</v>
      </c>
    </row>
    <row r="60" spans="1:121" x14ac:dyDescent="0.2">
      <c r="B60" s="43" t="s">
        <v>128</v>
      </c>
      <c r="C60">
        <f>[1]Co_SO4!E11*[1]Final!$E$4</f>
        <v>1.4642298797280934E-2</v>
      </c>
      <c r="D60" s="41">
        <f>[1]Li_brine!E11*[1]Final!$G$4+[1]Li_ore!E11*[1]Final!$G$5</f>
        <v>4.7852809139077839E-3</v>
      </c>
      <c r="E60" s="42">
        <f t="shared" si="8"/>
        <v>1.9427579711188719E-2</v>
      </c>
      <c r="I60" s="43" t="s">
        <v>128</v>
      </c>
      <c r="J60">
        <f>[1]Co_SO4!G11*[1]Final!$E$4</f>
        <v>1.1462575589450468E-2</v>
      </c>
      <c r="K60" s="41">
        <f>[1]Li_brine!G11*[1]Final!$G$4+[1]Li_ore!G11*[1]Final!$G$5</f>
        <v>3.5785855944457522E-3</v>
      </c>
      <c r="L60" s="42">
        <f t="shared" si="9"/>
        <v>1.504116118389622E-2</v>
      </c>
      <c r="Q60" s="43" t="s">
        <v>128</v>
      </c>
      <c r="R60">
        <f>[1]Co_SO4!F11*[1]Final!$E$4</f>
        <v>3.1797232078304657E-3</v>
      </c>
      <c r="S60" s="41">
        <f>[1]Li_brine!F11*[1]Final!$G$4+[1]Li_ore!F11*[1]Final!$G$5</f>
        <v>1.2066953194620315E-3</v>
      </c>
      <c r="T60" s="42">
        <f t="shared" si="10"/>
        <v>4.3864185272924974E-3</v>
      </c>
    </row>
    <row r="61" spans="1:121" x14ac:dyDescent="0.2">
      <c r="B61" s="43" t="s">
        <v>129</v>
      </c>
      <c r="C61">
        <f>[1]Co_SO4!E12*[1]Final!$E$4</f>
        <v>7.5398151084675361E-2</v>
      </c>
      <c r="D61" s="41">
        <f>[1]Li_brine!E12*[1]Final!$G$4+[1]Li_ore!E12*[1]Final!$G$5</f>
        <v>1.067492911709931E-3</v>
      </c>
      <c r="E61" s="42">
        <f t="shared" si="8"/>
        <v>7.6465643996385294E-2</v>
      </c>
      <c r="I61" s="43" t="s">
        <v>129</v>
      </c>
      <c r="J61">
        <f>[1]Co_SO4!G12*[1]Final!$E$4</f>
        <v>3.8132318139563581E-2</v>
      </c>
      <c r="K61" s="41">
        <f>[1]Li_brine!G12*[1]Final!$G$4+[1]Li_ore!G12*[1]Final!$G$5</f>
        <v>1.0116470609957445E-3</v>
      </c>
      <c r="L61" s="42">
        <f t="shared" si="9"/>
        <v>3.9143965200559329E-2</v>
      </c>
      <c r="Q61" s="43" t="s">
        <v>129</v>
      </c>
      <c r="R61">
        <f>[1]Co_SO4!F12*[1]Final!$E$4</f>
        <v>3.7265832945111779E-2</v>
      </c>
      <c r="S61" s="41">
        <f>[1]Li_brine!F12*[1]Final!$G$4+[1]Li_ore!F12*[1]Final!$G$5</f>
        <v>5.5845850714186587E-5</v>
      </c>
      <c r="T61" s="42">
        <f t="shared" si="10"/>
        <v>3.7321678795825965E-2</v>
      </c>
    </row>
    <row r="62" spans="1:121" x14ac:dyDescent="0.2">
      <c r="B62" s="43" t="s">
        <v>130</v>
      </c>
      <c r="C62">
        <f>[1]Co_SO4!E13*[1]Final!$E$4</f>
        <v>8.5902442106001071E-3</v>
      </c>
      <c r="D62" s="41">
        <f>[1]Li_brine!E13*[1]Final!$G$4+[1]Li_ore!E13*[1]Final!$G$5</f>
        <v>7.1879868707915245E-4</v>
      </c>
      <c r="E62" s="42">
        <f t="shared" si="8"/>
        <v>9.3090428976792591E-3</v>
      </c>
      <c r="I62" s="43" t="s">
        <v>130</v>
      </c>
      <c r="J62">
        <f>[1]Co_SO4!G13*[1]Final!$E$4</f>
        <v>4.5778216949407926E-3</v>
      </c>
      <c r="K62" s="41">
        <f>[1]Li_brine!G13*[1]Final!$G$4+[1]Li_ore!G13*[1]Final!$G$5</f>
        <v>6.7182060878076771E-4</v>
      </c>
      <c r="L62" s="42">
        <f t="shared" si="9"/>
        <v>5.2496423037215606E-3</v>
      </c>
      <c r="Q62" s="43" t="s">
        <v>130</v>
      </c>
      <c r="R62">
        <f>[1]Co_SO4!F13*[1]Final!$E$4</f>
        <v>4.0124225156593146E-3</v>
      </c>
      <c r="S62" s="41">
        <f>[1]Li_brine!F13*[1]Final!$G$4+[1]Li_ore!F13*[1]Final!$G$5</f>
        <v>4.6978078298384665E-5</v>
      </c>
      <c r="T62" s="42">
        <f t="shared" si="10"/>
        <v>4.0594005939576993E-3</v>
      </c>
    </row>
    <row r="63" spans="1:121" x14ac:dyDescent="0.2">
      <c r="B63" s="43" t="s">
        <v>131</v>
      </c>
      <c r="C63">
        <f>[1]Co_SO4!E14*[1]Final!$E$4</f>
        <v>3.8709466045627493E-2</v>
      </c>
      <c r="D63" s="41">
        <f>[1]Li_brine!E14*[1]Final!$G$4+[1]Li_ore!E14*[1]Final!$G$5</f>
        <v>4.5107666725369248E-3</v>
      </c>
      <c r="E63" s="42">
        <f t="shared" si="8"/>
        <v>4.3220232718164414E-2</v>
      </c>
      <c r="I63" s="43" t="s">
        <v>131</v>
      </c>
      <c r="J63">
        <f>[1]Co_SO4!G14*[1]Final!$E$4</f>
        <v>3.8634592803759742E-2</v>
      </c>
      <c r="K63" s="41">
        <f>[1]Li_brine!G14*[1]Final!$G$4+[1]Li_ore!G14*[1]Final!$G$5</f>
        <v>4.4639229587076189E-3</v>
      </c>
      <c r="L63" s="42">
        <f t="shared" si="9"/>
        <v>4.3098515762467357E-2</v>
      </c>
      <c r="Q63" s="43" t="s">
        <v>131</v>
      </c>
      <c r="R63">
        <f>[1]Co_SO4!F14*[1]Final!$E$4</f>
        <v>7.487324186775144E-5</v>
      </c>
      <c r="S63" s="41">
        <f>[1]Li_brine!F14*[1]Final!$G$4+[1]Li_ore!F14*[1]Final!$G$5</f>
        <v>4.6843713829305641E-5</v>
      </c>
      <c r="T63" s="42">
        <f t="shared" si="10"/>
        <v>1.2171695569705708E-4</v>
      </c>
    </row>
    <row r="64" spans="1:121" x14ac:dyDescent="0.2">
      <c r="B64" s="43" t="s">
        <v>132</v>
      </c>
      <c r="C64">
        <f>[1]Co_SO4!E15*[1]Final!$E$4</f>
        <v>3.2684028630922704E-4</v>
      </c>
      <c r="D64" s="41">
        <f>[1]Li_brine!E15*[1]Final!$G$4+[1]Li_ore!E15*[1]Final!$G$5</f>
        <v>5.7745981256755155E-5</v>
      </c>
      <c r="E64" s="42">
        <f t="shared" si="8"/>
        <v>3.845862675659822E-4</v>
      </c>
      <c r="I64" s="43" t="s">
        <v>132</v>
      </c>
      <c r="J64">
        <f>[1]Co_SO4!G15*[1]Final!$E$4</f>
        <v>1.931570335418056E-4</v>
      </c>
      <c r="K64" s="41">
        <f>[1]Li_brine!G15*[1]Final!$G$4+[1]Li_ore!G15*[1]Final!$G$5</f>
        <v>4.0824760172774379E-5</v>
      </c>
      <c r="L64" s="42">
        <f t="shared" si="9"/>
        <v>2.3398179371457998E-4</v>
      </c>
      <c r="Q64" s="43" t="s">
        <v>132</v>
      </c>
      <c r="R64">
        <f>[1]Co_SO4!F15*[1]Final!$E$4</f>
        <v>1.3368325276742144E-4</v>
      </c>
      <c r="S64" s="41">
        <f>[1]Li_brine!F15*[1]Final!$G$4+[1]Li_ore!F15*[1]Final!$G$5</f>
        <v>1.6921221083980773E-5</v>
      </c>
      <c r="T64" s="42">
        <f t="shared" si="10"/>
        <v>1.5060447385140222E-4</v>
      </c>
    </row>
    <row r="65" spans="2:20" x14ac:dyDescent="0.2">
      <c r="B65" s="43" t="s">
        <v>133</v>
      </c>
      <c r="C65">
        <f>[1]Co_SO4!E16*[1]Final!$E$4</f>
        <v>2.41943190055468E-4</v>
      </c>
      <c r="D65" s="41">
        <f>[1]Li_brine!E16*[1]Final!$G$4+[1]Li_ore!E16*[1]Final!$G$5</f>
        <v>9.1407389839330251E-5</v>
      </c>
      <c r="E65" s="42">
        <f t="shared" si="8"/>
        <v>3.3335057989479825E-4</v>
      </c>
      <c r="I65" s="43" t="s">
        <v>133</v>
      </c>
      <c r="J65">
        <f>[1]Co_SO4!G16*[1]Final!$E$4</f>
        <v>2.0175258791140343E-4</v>
      </c>
      <c r="K65" s="41">
        <f>[1]Li_brine!G16*[1]Final!$G$4+[1]Li_ore!G16*[1]Final!$G$5</f>
        <v>8.0513956997364946E-5</v>
      </c>
      <c r="L65" s="42">
        <f t="shared" si="9"/>
        <v>2.8226654490876837E-4</v>
      </c>
      <c r="Q65" s="43" t="s">
        <v>133</v>
      </c>
      <c r="R65">
        <f>[1]Co_SO4!F16*[1]Final!$E$4</f>
        <v>4.0190602144064563E-5</v>
      </c>
      <c r="S65" s="41">
        <f>[1]Li_brine!F16*[1]Final!$G$4+[1]Li_ore!F16*[1]Final!$G$5</f>
        <v>1.0893432841965294E-5</v>
      </c>
      <c r="T65" s="42">
        <f t="shared" si="10"/>
        <v>5.1084034986029855E-5</v>
      </c>
    </row>
    <row r="66" spans="2:20" x14ac:dyDescent="0.2">
      <c r="B66" s="43" t="s">
        <v>134</v>
      </c>
      <c r="C66">
        <f>[1]Co_SO4!E17*[1]Final!$E$4</f>
        <v>2.4153390955071921E-2</v>
      </c>
      <c r="D66" s="41">
        <f>[1]Li_brine!E17*[1]Final!$G$4+[1]Li_ore!E17*[1]Final!$G$5</f>
        <v>6.261609991928041E-3</v>
      </c>
      <c r="E66" s="42">
        <f t="shared" si="8"/>
        <v>3.0415000946999962E-2</v>
      </c>
      <c r="I66" s="43" t="s">
        <v>134</v>
      </c>
      <c r="J66">
        <f>[1]Co_SO4!G17*[1]Final!$E$4</f>
        <v>2.2542222338178364E-2</v>
      </c>
      <c r="K66" s="41">
        <f>[1]Li_brine!G17*[1]Final!$G$4+[1]Li_ore!G17*[1]Final!$G$5</f>
        <v>5.5359170973728238E-3</v>
      </c>
      <c r="L66" s="42">
        <f t="shared" si="9"/>
        <v>2.8078139435551187E-2</v>
      </c>
      <c r="Q66" s="43" t="s">
        <v>134</v>
      </c>
      <c r="R66">
        <f>[1]Co_SO4!F17*[1]Final!$E$4</f>
        <v>1.6111686168935554E-3</v>
      </c>
      <c r="S66" s="41">
        <f>[1]Li_brine!F17*[1]Final!$G$4+[1]Li_ore!F17*[1]Final!$G$5</f>
        <v>7.2569289455521658E-4</v>
      </c>
      <c r="T66" s="42">
        <f t="shared" si="10"/>
        <v>2.3368615114487722E-3</v>
      </c>
    </row>
    <row r="67" spans="2:20" x14ac:dyDescent="0.2">
      <c r="B67" s="43" t="s">
        <v>135</v>
      </c>
      <c r="C67">
        <f>[1]Co_SO4!E18*[1]Final!$E$4</f>
        <v>2.6504669619970461E-4</v>
      </c>
      <c r="D67" s="41">
        <f>[1]Li_brine!E18*[1]Final!$G$4+[1]Li_ore!E18*[1]Final!$G$5</f>
        <v>3.0381121295919925E-5</v>
      </c>
      <c r="E67" s="42">
        <f t="shared" si="8"/>
        <v>2.9542781749562454E-4</v>
      </c>
      <c r="I67" s="43" t="s">
        <v>135</v>
      </c>
      <c r="J67">
        <f>[1]Co_SO4!G18*[1]Final!$E$4</f>
        <v>2.3289580753215228E-4</v>
      </c>
      <c r="K67" s="41">
        <f>[1]Li_brine!G18*[1]Final!$G$4+[1]Li_ore!G18*[1]Final!$G$5</f>
        <v>2.2926029564366448E-5</v>
      </c>
      <c r="L67" s="42">
        <f t="shared" si="9"/>
        <v>2.5582183709651872E-4</v>
      </c>
      <c r="Q67" s="43" t="s">
        <v>135</v>
      </c>
      <c r="R67">
        <f>[1]Co_SO4!F18*[1]Final!$E$4</f>
        <v>3.2150888667552335E-5</v>
      </c>
      <c r="S67" s="41">
        <f>[1]Li_brine!F18*[1]Final!$G$4+[1]Li_ore!F18*[1]Final!$G$5</f>
        <v>7.4550917315534773E-6</v>
      </c>
      <c r="T67" s="42">
        <f t="shared" si="10"/>
        <v>3.9605980399105809E-5</v>
      </c>
    </row>
    <row r="68" spans="2:20" x14ac:dyDescent="0.2">
      <c r="B68" s="43" t="s">
        <v>136</v>
      </c>
      <c r="C68">
        <f>[1]Co_SO4!E19*[1]Final!$E$4</f>
        <v>11.10551253320576</v>
      </c>
      <c r="D68" s="41">
        <f>[1]Li_brine!E19*[1]Final!$G$4+[1]Li_ore!E19*[1]Final!$G$5</f>
        <v>4.3716531428854228</v>
      </c>
      <c r="E68" s="42">
        <f t="shared" si="8"/>
        <v>15.477165676091182</v>
      </c>
      <c r="I68" s="43" t="s">
        <v>136</v>
      </c>
      <c r="J68">
        <f>[1]Co_SO4!G19*[1]Final!$E$4</f>
        <v>9.7906414956063355</v>
      </c>
      <c r="K68" s="41">
        <f>[1]Li_brine!G19*[1]Final!$G$4+[1]Li_ore!G19*[1]Final!$G$5</f>
        <v>3.7997528884303597</v>
      </c>
      <c r="L68" s="42">
        <f t="shared" si="9"/>
        <v>13.590394384036696</v>
      </c>
      <c r="Q68" s="43" t="s">
        <v>136</v>
      </c>
      <c r="R68">
        <f>[1]Co_SO4!F19*[1]Final!$E$4</f>
        <v>1.3148710375994235</v>
      </c>
      <c r="S68" s="41">
        <f>[1]Li_brine!F19*[1]Final!$G$4+[1]Li_ore!F19*[1]Final!$G$5</f>
        <v>0.57190025445506243</v>
      </c>
      <c r="T68" s="42">
        <f t="shared" si="10"/>
        <v>1.8867712920544859</v>
      </c>
    </row>
    <row r="69" spans="2:20" x14ac:dyDescent="0.2">
      <c r="B69" s="53" t="s">
        <v>122</v>
      </c>
      <c r="C69" s="56"/>
      <c r="D69" s="56"/>
      <c r="E69" s="55"/>
      <c r="I69" s="53" t="s">
        <v>122</v>
      </c>
      <c r="J69" s="56"/>
      <c r="K69" s="56"/>
      <c r="L69" s="55"/>
      <c r="Q69" s="53" t="s">
        <v>122</v>
      </c>
      <c r="R69" s="56"/>
      <c r="S69" s="56"/>
      <c r="T69" s="55"/>
    </row>
    <row r="70" spans="2:20" x14ac:dyDescent="0.2">
      <c r="B70" s="43" t="s">
        <v>125</v>
      </c>
      <c r="C70">
        <f>[1]Co_SO4!E21*[1]Final!$E$4</f>
        <v>178.69348797178517</v>
      </c>
      <c r="D70" s="41">
        <f>[1]Li_brine!E21*[1]Final!$G$4+[1]Li_ore!E21*[1]Final!$G$5</f>
        <v>49.198517978307748</v>
      </c>
      <c r="E70" s="42">
        <f>SUM(C70:D70)</f>
        <v>227.89200595009294</v>
      </c>
      <c r="I70" s="43" t="s">
        <v>125</v>
      </c>
      <c r="J70">
        <f>[1]Co_SO4!G21*[1]Final!$E$4</f>
        <v>160.64890392768214</v>
      </c>
      <c r="K70" s="41">
        <f>[1]Li_brine!G21*[1]Final!$G$4+[1]Li_ore!G21*[1]Final!$G$5</f>
        <v>41.061499501231452</v>
      </c>
      <c r="L70" s="42">
        <f>SUM(J70:K70)</f>
        <v>201.71040342891359</v>
      </c>
      <c r="Q70" s="43" t="s">
        <v>125</v>
      </c>
      <c r="R70">
        <f>[1]Co_SO4!F21*[1]Final!$E$4</f>
        <v>18.04458404410304</v>
      </c>
      <c r="S70" s="41">
        <f>[1]Li_brine!F21*[1]Final!$G$4+[1]Li_ore!F21*[1]Final!$G$5</f>
        <v>8.1370184770762961</v>
      </c>
      <c r="T70" s="42">
        <f>SUM(R70:S70)</f>
        <v>26.181602521179336</v>
      </c>
    </row>
    <row r="71" spans="2:20" x14ac:dyDescent="0.2">
      <c r="B71" s="44" t="s">
        <v>123</v>
      </c>
      <c r="C71" s="56"/>
      <c r="D71" s="56"/>
      <c r="E71" s="55"/>
      <c r="I71" s="44" t="s">
        <v>123</v>
      </c>
      <c r="J71" s="56"/>
      <c r="K71" s="56"/>
      <c r="L71" s="55"/>
      <c r="Q71" s="44" t="s">
        <v>123</v>
      </c>
      <c r="R71" s="56"/>
      <c r="S71" s="56"/>
      <c r="T71" s="55"/>
    </row>
    <row r="72" spans="2:20" ht="16" thickBot="1" x14ac:dyDescent="0.25">
      <c r="B72" s="61" t="s">
        <v>86</v>
      </c>
      <c r="C72" s="45">
        <f>[1]Co_SO4!E31*[1]Final!$E$4</f>
        <v>134492.85288361026</v>
      </c>
      <c r="D72" s="52">
        <f>[1]Li_brine!E21*[1]Final!$G$4+[1]Li_ore!E21*[1]Final!$G$5</f>
        <v>49.198517978307748</v>
      </c>
      <c r="E72" s="34">
        <f>SUM(C72:D72)</f>
        <v>134542.05140158857</v>
      </c>
      <c r="I72" s="61" t="s">
        <v>86</v>
      </c>
      <c r="J72" s="45">
        <f>[1]Co_SO4!G31*[1]Final!$E$4</f>
        <v>128823.92626861442</v>
      </c>
      <c r="K72" s="52">
        <f>[1]Li_brine!G31*[1]Final!$G$4+[1]Li_ore!G31*[1]Final!$G$5</f>
        <v>13424.91596014465</v>
      </c>
      <c r="L72" s="34">
        <f>SUM(J72:K72)</f>
        <v>142248.84222875908</v>
      </c>
      <c r="Q72" s="61" t="s">
        <v>86</v>
      </c>
      <c r="R72" s="45">
        <f>[1]Co_SO4!F31*[1]Final!$E$4</f>
        <v>5668.9266149958439</v>
      </c>
      <c r="S72" s="52">
        <f>[1]Li_brine!F31*[1]Final!$G$4+[1]Li_ore!F31*[1]Final!$G$5</f>
        <v>5277.5695547060368</v>
      </c>
      <c r="T72" s="34">
        <f>SUM(R72:S72)</f>
        <v>10946.496169701881</v>
      </c>
    </row>
  </sheetData>
  <mergeCells count="5">
    <mergeCell ref="B2:I2"/>
    <mergeCell ref="B3:C3"/>
    <mergeCell ref="D3:E3"/>
    <mergeCell ref="F3:G3"/>
    <mergeCell ref="H3:I3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FDEB3-AD7C-A849-9564-516A7434411F}">
  <dimension ref="A1:W46"/>
  <sheetViews>
    <sheetView workbookViewId="0"/>
  </sheetViews>
  <sheetFormatPr baseColWidth="10" defaultRowHeight="15" x14ac:dyDescent="0.2"/>
  <cols>
    <col min="1" max="1" width="28.33203125" customWidth="1"/>
    <col min="2" max="17" width="12.83203125" customWidth="1"/>
    <col min="18" max="18" width="20.1640625" customWidth="1"/>
    <col min="19" max="20" width="12.83203125" customWidth="1"/>
    <col min="21" max="21" width="22.1640625" customWidth="1"/>
    <col min="22" max="23" width="12.83203125" customWidth="1"/>
  </cols>
  <sheetData>
    <row r="1" spans="1:23" ht="16" thickBot="1" x14ac:dyDescent="0.25"/>
    <row r="2" spans="1:23" ht="19" x14ac:dyDescent="0.25">
      <c r="A2" s="240" t="s">
        <v>195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2"/>
    </row>
    <row r="3" spans="1:23" ht="64" x14ac:dyDescent="0.2">
      <c r="A3" s="96"/>
      <c r="B3" s="70" t="s">
        <v>59</v>
      </c>
      <c r="C3" s="70" t="s">
        <v>152</v>
      </c>
      <c r="D3" s="70" t="s">
        <v>196</v>
      </c>
      <c r="E3" s="70" t="s">
        <v>200</v>
      </c>
      <c r="F3" s="70" t="s">
        <v>60</v>
      </c>
      <c r="G3" s="70" t="s">
        <v>61</v>
      </c>
      <c r="H3" s="70" t="s">
        <v>97</v>
      </c>
      <c r="I3" s="70" t="s">
        <v>62</v>
      </c>
      <c r="J3" s="70" t="s">
        <v>63</v>
      </c>
      <c r="K3" s="70" t="s">
        <v>64</v>
      </c>
      <c r="L3" s="70" t="s">
        <v>65</v>
      </c>
      <c r="M3" s="70" t="s">
        <v>66</v>
      </c>
      <c r="N3" s="70" t="s">
        <v>100</v>
      </c>
      <c r="O3" s="70" t="s">
        <v>197</v>
      </c>
      <c r="P3" s="70" t="s">
        <v>67</v>
      </c>
      <c r="Q3" s="70" t="s">
        <v>198</v>
      </c>
      <c r="R3" s="70" t="s">
        <v>199</v>
      </c>
      <c r="S3" s="70" t="s">
        <v>101</v>
      </c>
      <c r="T3" s="70" t="s">
        <v>98</v>
      </c>
      <c r="U3" s="70" t="s">
        <v>201</v>
      </c>
      <c r="V3" s="70" t="s">
        <v>99</v>
      </c>
      <c r="W3" s="71" t="s">
        <v>144</v>
      </c>
    </row>
    <row r="4" spans="1:23" x14ac:dyDescent="0.2">
      <c r="A4" s="44" t="s">
        <v>266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2"/>
    </row>
    <row r="5" spans="1:23" x14ac:dyDescent="0.2">
      <c r="A5" s="43" t="s">
        <v>126</v>
      </c>
      <c r="B5" s="135">
        <v>2.2931375629006213E-3</v>
      </c>
      <c r="C5" s="135">
        <v>2.6011232549039065E-3</v>
      </c>
      <c r="D5" s="135">
        <v>9.9028202626807099E-5</v>
      </c>
      <c r="E5" s="135">
        <f>D5</f>
        <v>9.9028202626807099E-5</v>
      </c>
      <c r="F5" s="135">
        <v>2.2178497219420514E-6</v>
      </c>
      <c r="G5" s="135">
        <v>4.3532465814580267E-6</v>
      </c>
      <c r="H5" s="135">
        <v>2.4628934561307784E-3</v>
      </c>
      <c r="I5" s="135">
        <v>2.7249127796425207E-4</v>
      </c>
      <c r="J5" s="135">
        <v>2.4979469457718103E-6</v>
      </c>
      <c r="K5" s="135">
        <v>5.090802868213209E-3</v>
      </c>
      <c r="L5" s="135">
        <v>1.4214300280538149E-6</v>
      </c>
      <c r="M5" s="135">
        <v>8.5108219381934222E-5</v>
      </c>
      <c r="N5" s="135">
        <v>2.6334209670574363E-4</v>
      </c>
      <c r="O5" s="135">
        <v>2.8573003301421429E-3</v>
      </c>
      <c r="P5" s="135">
        <v>1.2232345111526314E-3</v>
      </c>
      <c r="Q5" s="135">
        <v>6.2038062798657392E-3</v>
      </c>
      <c r="R5" s="135">
        <v>1.1579777002485713E-3</v>
      </c>
      <c r="S5" s="135">
        <v>1.3569448348462552E-4</v>
      </c>
      <c r="T5" s="135">
        <v>2.3290618782277048E-5</v>
      </c>
      <c r="U5" s="135">
        <v>2.8549854770526409E-4</v>
      </c>
      <c r="V5" s="135">
        <v>1.4737898003163634E-3</v>
      </c>
      <c r="W5" s="136">
        <v>3.2132365504279723E-4</v>
      </c>
    </row>
    <row r="6" spans="1:23" x14ac:dyDescent="0.2">
      <c r="A6" s="43" t="s">
        <v>127</v>
      </c>
      <c r="B6" s="135">
        <v>2.4268478865942448E-3</v>
      </c>
      <c r="C6" s="135">
        <v>1.8821960239642412E-2</v>
      </c>
      <c r="D6" s="135">
        <v>4.6109668920892656E-4</v>
      </c>
      <c r="E6" s="135">
        <f t="shared" ref="E6:E15" si="0">D6</f>
        <v>4.6109668920892656E-4</v>
      </c>
      <c r="F6" s="135">
        <v>4.8059657071049453E-6</v>
      </c>
      <c r="G6" s="135">
        <v>1.6243434360136028E-5</v>
      </c>
      <c r="H6" s="135">
        <v>6.4088361249359292E-4</v>
      </c>
      <c r="I6" s="135">
        <v>1.0902958051555085E-3</v>
      </c>
      <c r="J6" s="135">
        <v>8.7853083990586266E-6</v>
      </c>
      <c r="K6" s="135">
        <v>5.1968451859323072E-3</v>
      </c>
      <c r="L6" s="135">
        <v>5.3039898146464065E-6</v>
      </c>
      <c r="M6" s="135">
        <v>4.9769341424296036E-4</v>
      </c>
      <c r="N6" s="135">
        <v>9.8337163864040968E-4</v>
      </c>
      <c r="O6" s="135">
        <v>7.3099753633492619E-3</v>
      </c>
      <c r="P6" s="135">
        <v>1.0244878387539477E-3</v>
      </c>
      <c r="Q6" s="135">
        <v>7.0837811471750533E-3</v>
      </c>
      <c r="R6" s="135">
        <v>1.7891609759861551E-3</v>
      </c>
      <c r="S6" s="135">
        <v>3.5196790070382556E-4</v>
      </c>
      <c r="T6" s="135">
        <v>1.2467137353461535E-4</v>
      </c>
      <c r="U6" s="135">
        <v>5.0596074670546803E-4</v>
      </c>
      <c r="V6" s="135">
        <v>1.5139139205344004E-3</v>
      </c>
      <c r="W6" s="136">
        <v>9.0158016281133399E-4</v>
      </c>
    </row>
    <row r="7" spans="1:23" x14ac:dyDescent="0.2">
      <c r="A7" s="43" t="s">
        <v>128</v>
      </c>
      <c r="B7" s="135">
        <v>2.3020662819601295E-3</v>
      </c>
      <c r="C7" s="135">
        <v>2.3997310361172199E-3</v>
      </c>
      <c r="D7" s="135">
        <v>2.5970447042224026E-4</v>
      </c>
      <c r="E7" s="135">
        <f t="shared" si="0"/>
        <v>2.5970447042224026E-4</v>
      </c>
      <c r="F7" s="135">
        <v>6.1996174980847351E-6</v>
      </c>
      <c r="G7" s="135">
        <v>2.6866956574458353E-5</v>
      </c>
      <c r="H7" s="135">
        <v>1.0076224805304322E-3</v>
      </c>
      <c r="I7" s="135">
        <v>1.7793504081306461E-3</v>
      </c>
      <c r="J7" s="135">
        <v>1.5734828067042557E-5</v>
      </c>
      <c r="K7" s="135">
        <v>1.5486367168769325E-3</v>
      </c>
      <c r="L7" s="135">
        <v>8.7728522848151155E-6</v>
      </c>
      <c r="M7" s="135">
        <v>2.8351438791426225E-4</v>
      </c>
      <c r="N7" s="135">
        <v>1.5653918440009481E-3</v>
      </c>
      <c r="O7" s="135">
        <v>9.5658548146188502E-3</v>
      </c>
      <c r="P7" s="135">
        <v>4.1058879941797983E-3</v>
      </c>
      <c r="Q7" s="135">
        <v>6.6356917277071385E-3</v>
      </c>
      <c r="R7" s="135">
        <v>2.3216874176711475E-3</v>
      </c>
      <c r="S7" s="135">
        <v>5.3462083257549452E-4</v>
      </c>
      <c r="T7" s="135">
        <v>1.9246349972717804E-4</v>
      </c>
      <c r="U7" s="135">
        <v>5.7022547771402746E-4</v>
      </c>
      <c r="V7" s="135">
        <v>1.4508617316203421E-3</v>
      </c>
      <c r="W7" s="136">
        <v>4.4223614808445904E-3</v>
      </c>
    </row>
    <row r="8" spans="1:23" x14ac:dyDescent="0.2">
      <c r="A8" s="43" t="s">
        <v>129</v>
      </c>
      <c r="B8" s="135">
        <v>1.2649018667636701E-3</v>
      </c>
      <c r="C8" s="135">
        <v>1.4283745873223215E-3</v>
      </c>
      <c r="D8" s="135">
        <v>1.3834002987262798E-4</v>
      </c>
      <c r="E8" s="135">
        <f t="shared" si="0"/>
        <v>1.3834002987262798E-4</v>
      </c>
      <c r="F8" s="135">
        <v>2.8192706008146076E-6</v>
      </c>
      <c r="G8" s="135">
        <v>3.2866504626950404E-6</v>
      </c>
      <c r="H8" s="135">
        <v>1.2376747851871449E-3</v>
      </c>
      <c r="I8" s="135">
        <v>1.782436878916649E-4</v>
      </c>
      <c r="J8" s="135">
        <v>2.3267580482481525E-6</v>
      </c>
      <c r="K8" s="135">
        <v>5.4517986959660937E-5</v>
      </c>
      <c r="L8" s="135">
        <v>1.0732099847329928E-6</v>
      </c>
      <c r="M8" s="135">
        <v>1.6611826694665368E-4</v>
      </c>
      <c r="N8" s="135">
        <v>1.5707931678764529E-4</v>
      </c>
      <c r="O8" s="135">
        <v>7.8815236142572905E-4</v>
      </c>
      <c r="P8" s="135">
        <v>6.5631596642360714E-4</v>
      </c>
      <c r="Q8" s="135">
        <v>1.3077817644692098E-3</v>
      </c>
      <c r="R8" s="135">
        <v>3.1305632258028955E-4</v>
      </c>
      <c r="S8" s="135">
        <v>6.2738250742682037E-5</v>
      </c>
      <c r="T8" s="135">
        <v>1.6889168141007625E-5</v>
      </c>
      <c r="U8" s="135">
        <v>1.6513831247209777E-5</v>
      </c>
      <c r="V8" s="135">
        <v>2.7157856446039123E-5</v>
      </c>
      <c r="W8" s="136">
        <v>1.0408020414799629E-3</v>
      </c>
    </row>
    <row r="9" spans="1:23" x14ac:dyDescent="0.2">
      <c r="A9" s="43" t="s">
        <v>130</v>
      </c>
      <c r="B9" s="135">
        <v>1.0229446033609463E-3</v>
      </c>
      <c r="C9" s="135">
        <v>6.9004668287063833E-4</v>
      </c>
      <c r="D9" s="135">
        <v>1.0493317239592807E-4</v>
      </c>
      <c r="E9" s="135">
        <f t="shared" si="0"/>
        <v>1.0493317239592807E-4</v>
      </c>
      <c r="F9" s="135">
        <v>4.2835805265739628E-7</v>
      </c>
      <c r="G9" s="135">
        <v>2.0380627986573856E-6</v>
      </c>
      <c r="H9" s="135">
        <v>5.5060434200300936E-4</v>
      </c>
      <c r="I9" s="135">
        <v>1.1882912526110993E-4</v>
      </c>
      <c r="J9" s="135">
        <v>1.3318121441602321E-6</v>
      </c>
      <c r="K9" s="135">
        <v>5.0554407314935772E-5</v>
      </c>
      <c r="L9" s="135">
        <v>6.6546514768211554E-7</v>
      </c>
      <c r="M9" s="135">
        <v>1.0613755738906619E-4</v>
      </c>
      <c r="N9" s="135">
        <v>1.0672101059872022E-4</v>
      </c>
      <c r="O9" s="135">
        <v>3.0258436812777994E-4</v>
      </c>
      <c r="P9" s="135">
        <v>3.6773094793234018E-4</v>
      </c>
      <c r="Q9" s="135">
        <v>1.0693518962504893E-3</v>
      </c>
      <c r="R9" s="135">
        <v>3.0269459922728005E-4</v>
      </c>
      <c r="S9" s="135">
        <v>4.7552373551149995E-5</v>
      </c>
      <c r="T9" s="135">
        <v>1.1980356818069084E-5</v>
      </c>
      <c r="U9" s="135">
        <v>1.4805028742759195E-5</v>
      </c>
      <c r="V9" s="135">
        <v>2.4979138764419605E-5</v>
      </c>
      <c r="W9" s="136">
        <v>8.1879660708675749E-4</v>
      </c>
    </row>
    <row r="10" spans="1:23" x14ac:dyDescent="0.2">
      <c r="A10" s="43" t="s">
        <v>131</v>
      </c>
      <c r="B10" s="135">
        <v>7.464850058146906E-4</v>
      </c>
      <c r="C10" s="135">
        <v>9.1858882146419966E-3</v>
      </c>
      <c r="D10" s="135">
        <v>1.3778887437512747E-4</v>
      </c>
      <c r="E10" s="135">
        <f t="shared" si="0"/>
        <v>1.3778887437512747E-4</v>
      </c>
      <c r="F10" s="135">
        <v>1.4194458682628132E-6</v>
      </c>
      <c r="G10" s="135">
        <v>6.1322883425100727E-2</v>
      </c>
      <c r="H10" s="135">
        <v>4.3034221244839807E-3</v>
      </c>
      <c r="I10" s="135">
        <v>9.5338877957638196E-4</v>
      </c>
      <c r="J10" s="135">
        <v>1.3417880586649911E-5</v>
      </c>
      <c r="K10" s="135">
        <v>4.4830988166691469E-4</v>
      </c>
      <c r="L10" s="135">
        <v>2.0058753176033558E-3</v>
      </c>
      <c r="M10" s="135">
        <v>1.792357677871658E-4</v>
      </c>
      <c r="N10" s="135">
        <v>8.628890468867983E-4</v>
      </c>
      <c r="O10" s="135">
        <v>1.3060180668772081E-3</v>
      </c>
      <c r="P10" s="135">
        <v>7.5352877307274706E-3</v>
      </c>
      <c r="Q10" s="135">
        <v>5.5844177317746655E-3</v>
      </c>
      <c r="R10" s="135">
        <v>1.4903244652413787E-3</v>
      </c>
      <c r="S10" s="135">
        <v>3.0192298153077928E-4</v>
      </c>
      <c r="T10" s="135">
        <v>1.0372085076362595E-4</v>
      </c>
      <c r="U10" s="135">
        <v>4.800564383229441E-4</v>
      </c>
      <c r="V10" s="135">
        <v>2.1473018182619863E-4</v>
      </c>
      <c r="W10" s="136">
        <v>1.0944515176066623E-2</v>
      </c>
    </row>
    <row r="11" spans="1:23" x14ac:dyDescent="0.2">
      <c r="A11" s="43" t="s">
        <v>132</v>
      </c>
      <c r="B11" s="135">
        <v>1.3944234086762898E-5</v>
      </c>
      <c r="C11" s="135">
        <v>8.2767021059651553E-6</v>
      </c>
      <c r="D11" s="135">
        <v>8.6017736183909576E-6</v>
      </c>
      <c r="E11" s="135">
        <f t="shared" si="0"/>
        <v>8.6017736183909576E-6</v>
      </c>
      <c r="F11" s="135">
        <v>1.044223614808446E-7</v>
      </c>
      <c r="G11" s="135">
        <v>1.6005555647414807E-7</v>
      </c>
      <c r="H11" s="135">
        <v>2.7535728655125476E-6</v>
      </c>
      <c r="I11" s="135">
        <v>1.2348528690399425E-5</v>
      </c>
      <c r="J11" s="135">
        <v>7.6095063300208896E-8</v>
      </c>
      <c r="K11" s="135">
        <v>9.2376968314070465E-6</v>
      </c>
      <c r="L11" s="135">
        <v>5.2280957026405855E-8</v>
      </c>
      <c r="M11" s="135">
        <v>4.6969471496993448E-6</v>
      </c>
      <c r="N11" s="135">
        <v>1.1121105397465789E-5</v>
      </c>
      <c r="O11" s="135">
        <v>3.4764022773745158E-5</v>
      </c>
      <c r="P11" s="135">
        <v>2.8276261181567159E-5</v>
      </c>
      <c r="Q11" s="135">
        <v>5.5026593252754401E-5</v>
      </c>
      <c r="R11" s="135">
        <v>3.7781599122560451E-5</v>
      </c>
      <c r="S11" s="135">
        <v>5.1843890716887959E-6</v>
      </c>
      <c r="T11" s="135">
        <v>2.3301752123326557E-6</v>
      </c>
      <c r="U11" s="135">
        <v>4.0023809917492025E-6</v>
      </c>
      <c r="V11" s="135">
        <v>4.1751131246658617E-6</v>
      </c>
      <c r="W11" s="136">
        <v>4.4964478028186098E-5</v>
      </c>
    </row>
    <row r="12" spans="1:23" x14ac:dyDescent="0.2">
      <c r="A12" s="43" t="s">
        <v>133</v>
      </c>
      <c r="B12" s="135">
        <v>3.5980422956728781E-5</v>
      </c>
      <c r="C12" s="135">
        <v>2.4165082094611355E-5</v>
      </c>
      <c r="D12" s="135">
        <v>1.6415946030853686E-5</v>
      </c>
      <c r="E12" s="135">
        <f t="shared" si="0"/>
        <v>1.6415946030853686E-5</v>
      </c>
      <c r="F12" s="135">
        <v>7.6454085991280721E-8</v>
      </c>
      <c r="G12" s="135">
        <v>6.2897865374758185E-7</v>
      </c>
      <c r="H12" s="135">
        <v>6.912812711850395E-6</v>
      </c>
      <c r="I12" s="135">
        <v>3.7063223047118285E-5</v>
      </c>
      <c r="J12" s="135">
        <v>3.7699036029034878E-7</v>
      </c>
      <c r="K12" s="135">
        <v>2.0500890116128463E-5</v>
      </c>
      <c r="L12" s="135">
        <v>2.0536053836868996E-7</v>
      </c>
      <c r="M12" s="135">
        <v>8.4262857079867934E-6</v>
      </c>
      <c r="N12" s="135">
        <v>3.3576944063228564E-5</v>
      </c>
      <c r="O12" s="135">
        <v>5.2938375303824477E-5</v>
      </c>
      <c r="P12" s="135">
        <v>2.8370949696037748E-5</v>
      </c>
      <c r="Q12" s="135">
        <v>1.3723771887762696E-4</v>
      </c>
      <c r="R12" s="135">
        <v>8.2976129455403252E-5</v>
      </c>
      <c r="S12" s="135">
        <v>1.3752652435831725E-5</v>
      </c>
      <c r="T12" s="135">
        <v>3.4685317768702086E-6</v>
      </c>
      <c r="U12" s="135">
        <v>5.5423094517656271E-6</v>
      </c>
      <c r="V12" s="135">
        <v>1.0132001741651373E-5</v>
      </c>
      <c r="W12" s="136">
        <v>9.843515931149656E-5</v>
      </c>
    </row>
    <row r="13" spans="1:23" x14ac:dyDescent="0.2">
      <c r="A13" s="43" t="s">
        <v>134</v>
      </c>
      <c r="B13" s="135">
        <v>3.4708466299597104E-3</v>
      </c>
      <c r="C13" s="135">
        <v>4.0164905724852156E-3</v>
      </c>
      <c r="D13" s="135">
        <v>6.7725987532862646E-4</v>
      </c>
      <c r="E13" s="135">
        <f t="shared" si="0"/>
        <v>6.7725987532862646E-4</v>
      </c>
      <c r="F13" s="135">
        <v>2.6513886362759527E-6</v>
      </c>
      <c r="G13" s="135">
        <v>7.9205564465902769E-5</v>
      </c>
      <c r="H13" s="135">
        <v>3.7027728633079256E-3</v>
      </c>
      <c r="I13" s="135">
        <v>4.8100442577864496E-3</v>
      </c>
      <c r="J13" s="135">
        <v>4.667339076373618E-5</v>
      </c>
      <c r="K13" s="135">
        <v>7.2252076478336834E-3</v>
      </c>
      <c r="L13" s="135">
        <v>2.5863081951310924E-5</v>
      </c>
      <c r="M13" s="135">
        <v>7.372255934566819E-4</v>
      </c>
      <c r="N13" s="135">
        <v>4.657043491680308E-3</v>
      </c>
      <c r="O13" s="135">
        <v>5.557521343496641E-3</v>
      </c>
      <c r="P13" s="135">
        <v>4.8004541521299406E-3</v>
      </c>
      <c r="Q13" s="135">
        <v>1.0503701009165718E-2</v>
      </c>
      <c r="R13" s="135">
        <v>2.1301498591797707E-2</v>
      </c>
      <c r="S13" s="135">
        <v>2.455067048066271E-3</v>
      </c>
      <c r="T13" s="135">
        <v>3.928636386183634E-4</v>
      </c>
      <c r="U13" s="135">
        <v>6.4216229324779404E-3</v>
      </c>
      <c r="V13" s="135">
        <v>2.102658222964445E-3</v>
      </c>
      <c r="W13" s="136">
        <v>2.1017763741684441E-3</v>
      </c>
    </row>
    <row r="14" spans="1:23" x14ac:dyDescent="0.2">
      <c r="A14" s="43" t="s">
        <v>135</v>
      </c>
      <c r="B14" s="135">
        <v>3.7710059138984882E-3</v>
      </c>
      <c r="C14" s="135">
        <v>2.2259076153155093E-5</v>
      </c>
      <c r="D14" s="135">
        <v>1.2134239432971227E-6</v>
      </c>
      <c r="E14" s="135">
        <f t="shared" si="0"/>
        <v>1.2134239432971227E-6</v>
      </c>
      <c r="F14" s="135">
        <v>4.0030864707860027E-8</v>
      </c>
      <c r="G14" s="135">
        <v>7.1672260894966297E-7</v>
      </c>
      <c r="H14" s="135">
        <v>3.9966489745751972E-6</v>
      </c>
      <c r="I14" s="135">
        <v>4.3942084580322645E-5</v>
      </c>
      <c r="J14" s="135">
        <v>4.2218511108539061E-7</v>
      </c>
      <c r="K14" s="135">
        <v>4.8147841950649545E-5</v>
      </c>
      <c r="L14" s="135">
        <v>2.3402062423871648E-7</v>
      </c>
      <c r="M14" s="135">
        <v>9.9979607246592496E-7</v>
      </c>
      <c r="N14" s="135">
        <v>3.8639748232168749E-5</v>
      </c>
      <c r="O14" s="135">
        <v>1.8413002860497034E-3</v>
      </c>
      <c r="P14" s="135">
        <v>6.0466057088686439E-5</v>
      </c>
      <c r="Q14" s="135">
        <v>2.0064264731008562E-3</v>
      </c>
      <c r="R14" s="135">
        <v>6.5138863627595259E-5</v>
      </c>
      <c r="S14" s="135">
        <v>1.4518427884058929E-5</v>
      </c>
      <c r="T14" s="135">
        <v>3.4560756626266971E-6</v>
      </c>
      <c r="U14" s="135">
        <v>1.3944234086762897E-6</v>
      </c>
      <c r="V14" s="135">
        <v>4.7684871332749111E-3</v>
      </c>
      <c r="W14" s="136">
        <v>2.3833506947315049E-5</v>
      </c>
    </row>
    <row r="15" spans="1:23" x14ac:dyDescent="0.2">
      <c r="A15" s="43" t="s">
        <v>136</v>
      </c>
      <c r="B15" s="135">
        <v>1.1445849523526075</v>
      </c>
      <c r="C15" s="135">
        <v>2.2528504108864236</v>
      </c>
      <c r="D15" s="135">
        <v>1.2589219398468892</v>
      </c>
      <c r="E15" s="135">
        <f t="shared" si="0"/>
        <v>1.2589219398468892</v>
      </c>
      <c r="F15" s="135">
        <v>2.0571327788709032E-3</v>
      </c>
      <c r="G15" s="135">
        <v>3.2788240546305331E-2</v>
      </c>
      <c r="H15" s="135">
        <v>0.27766001421981185</v>
      </c>
      <c r="I15" s="135">
        <v>1.8433935746292103</v>
      </c>
      <c r="J15" s="135">
        <v>2.119755066496911E-2</v>
      </c>
      <c r="K15" s="135">
        <v>2.2903462909990799</v>
      </c>
      <c r="L15" s="135">
        <v>1.0706416001146404E-2</v>
      </c>
      <c r="M15" s="135">
        <v>0.6571869023407575</v>
      </c>
      <c r="N15" s="135">
        <v>1.815991005142281</v>
      </c>
      <c r="O15" s="135">
        <v>2.3859410153386578</v>
      </c>
      <c r="P15" s="135">
        <v>3.1144504152956678</v>
      </c>
      <c r="Q15" s="135">
        <v>3.0257655274282533</v>
      </c>
      <c r="R15" s="135">
        <v>8.8161934996720621</v>
      </c>
      <c r="S15" s="135">
        <v>0.99121755760952845</v>
      </c>
      <c r="T15" s="135">
        <v>0.17255774731725063</v>
      </c>
      <c r="U15" s="135">
        <v>0.19519645937708405</v>
      </c>
      <c r="V15" s="135">
        <v>0.67471926894734813</v>
      </c>
      <c r="W15" s="136">
        <v>0.99014600109128792</v>
      </c>
    </row>
    <row r="16" spans="1:23" x14ac:dyDescent="0.2">
      <c r="A16" s="44" t="s">
        <v>267</v>
      </c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8"/>
    </row>
    <row r="17" spans="1:23" x14ac:dyDescent="0.2">
      <c r="A17" s="43" t="s">
        <v>142</v>
      </c>
      <c r="B17" s="135">
        <v>20.22740675826871</v>
      </c>
      <c r="C17" s="135">
        <v>28.231286892971116</v>
      </c>
      <c r="D17" s="135">
        <v>4.9482740565595771</v>
      </c>
      <c r="E17" s="135">
        <f>D17</f>
        <v>4.9482740565595771</v>
      </c>
      <c r="F17" s="135">
        <v>2.7557774875025493E-2</v>
      </c>
      <c r="G17" s="135">
        <v>0.58422482735054049</v>
      </c>
      <c r="H17" s="135">
        <v>30.883447146943571</v>
      </c>
      <c r="I17" s="135">
        <v>32.004497428859608</v>
      </c>
      <c r="J17" s="135">
        <v>0.37809267128534974</v>
      </c>
      <c r="K17" s="135">
        <v>41.069903051747993</v>
      </c>
      <c r="L17" s="135">
        <v>0.1906998021351764</v>
      </c>
      <c r="M17" s="135">
        <v>5.5787959457001604</v>
      </c>
      <c r="N17" s="135">
        <v>31.620893202599252</v>
      </c>
      <c r="O17" s="135">
        <v>96.873294862679614</v>
      </c>
      <c r="P17" s="135">
        <v>53.399251530834398</v>
      </c>
      <c r="Q17" s="135">
        <v>63.218637874303482</v>
      </c>
      <c r="R17" s="135">
        <v>156.2173095895545</v>
      </c>
      <c r="S17" s="135">
        <v>17.488163935691176</v>
      </c>
      <c r="T17" s="135">
        <v>2.7061734927275034</v>
      </c>
      <c r="U17" s="135">
        <v>50.470411217116691</v>
      </c>
      <c r="V17" s="135">
        <v>12.044952242376143</v>
      </c>
      <c r="W17" s="136">
        <v>15.852334419109665</v>
      </c>
    </row>
    <row r="18" spans="1:23" x14ac:dyDescent="0.2">
      <c r="A18" s="43" t="s">
        <v>89</v>
      </c>
      <c r="B18" s="135">
        <v>20.001433004293503</v>
      </c>
      <c r="C18" s="135">
        <v>26.315470383659342</v>
      </c>
      <c r="D18" s="135">
        <v>4.8446568230294815</v>
      </c>
      <c r="E18" s="135">
        <f t="shared" ref="E18:E25" si="1">D18</f>
        <v>4.8446568230294815</v>
      </c>
      <c r="F18" s="135">
        <v>2.6455463880024472E-2</v>
      </c>
      <c r="G18" s="135">
        <v>0.48281221581044664</v>
      </c>
      <c r="H18" s="135">
        <v>30.791955334358484</v>
      </c>
      <c r="I18" s="135">
        <v>28.446237536996314</v>
      </c>
      <c r="J18" s="135">
        <v>0.29652165765527427</v>
      </c>
      <c r="K18" s="135">
        <v>40.839520053792782</v>
      </c>
      <c r="L18" s="135">
        <v>0.15763047228514582</v>
      </c>
      <c r="M18" s="135">
        <v>5.5721820797301547</v>
      </c>
      <c r="N18" s="135">
        <v>28.448442158986317</v>
      </c>
      <c r="O18" s="135">
        <v>33.371363062660869</v>
      </c>
      <c r="P18" s="135">
        <v>53.111548361139128</v>
      </c>
      <c r="Q18" s="135">
        <v>62.230967222782567</v>
      </c>
      <c r="R18" s="135">
        <v>156.13794319791444</v>
      </c>
      <c r="S18" s="135">
        <v>16.577655053820337</v>
      </c>
      <c r="T18" s="135">
        <v>2.5463383984523555</v>
      </c>
      <c r="U18" s="135">
        <v>50.44726268622167</v>
      </c>
      <c r="V18" s="135">
        <v>11.963381228746067</v>
      </c>
      <c r="W18" s="136">
        <v>14.705930984308603</v>
      </c>
    </row>
    <row r="19" spans="1:23" x14ac:dyDescent="0.2">
      <c r="A19" s="43" t="s">
        <v>91</v>
      </c>
      <c r="B19" s="135">
        <v>0.31636325556529266</v>
      </c>
      <c r="C19" s="135">
        <v>18.510006228057122</v>
      </c>
      <c r="D19" s="135">
        <v>4.085164547473779</v>
      </c>
      <c r="E19" s="135">
        <f t="shared" si="1"/>
        <v>4.085164547473779</v>
      </c>
      <c r="F19" s="135">
        <v>4.3717654061740446E-3</v>
      </c>
      <c r="G19" s="135">
        <v>0.14219811835513155</v>
      </c>
      <c r="H19" s="135">
        <v>29.617994124682397</v>
      </c>
      <c r="I19" s="135">
        <v>5.6460369163952233</v>
      </c>
      <c r="J19" s="135">
        <v>0.11353803248510502</v>
      </c>
      <c r="K19" s="135">
        <v>0.3240794325302998</v>
      </c>
      <c r="L19" s="135">
        <v>4.629706179004283E-2</v>
      </c>
      <c r="M19" s="135">
        <v>4.9284324586495591</v>
      </c>
      <c r="N19" s="135">
        <v>5.088267552924707</v>
      </c>
      <c r="O19" s="135">
        <v>2.6940480717824919</v>
      </c>
      <c r="P19" s="135">
        <v>0.39021809223036097</v>
      </c>
      <c r="Q19" s="135">
        <v>1.3811956767362776</v>
      </c>
      <c r="R19" s="135">
        <v>0.11133341049510299</v>
      </c>
      <c r="S19" s="135">
        <v>1.2742715102211788</v>
      </c>
      <c r="T19" s="135">
        <v>0.5280069666054884</v>
      </c>
      <c r="U19" s="135">
        <v>3.3069329850030589E-2</v>
      </c>
      <c r="V19" s="135">
        <v>0.11353803248510502</v>
      </c>
      <c r="W19" s="136">
        <v>1.6049648087214847</v>
      </c>
    </row>
    <row r="20" spans="1:23" x14ac:dyDescent="0.2">
      <c r="A20" s="43" t="s">
        <v>90</v>
      </c>
      <c r="B20" s="135">
        <v>18.89691738730248</v>
      </c>
      <c r="C20" s="135">
        <v>7.9167975660973235</v>
      </c>
      <c r="D20" s="135">
        <v>0.52139310063548228</v>
      </c>
      <c r="E20" s="135">
        <f t="shared" si="1"/>
        <v>0.52139310063548228</v>
      </c>
      <c r="F20" s="135">
        <v>2.5738961733273811E-3</v>
      </c>
      <c r="G20" s="135">
        <v>0.334000231485309</v>
      </c>
      <c r="H20" s="135">
        <v>0.77712925147571887</v>
      </c>
      <c r="I20" s="135">
        <v>21.713321979530086</v>
      </c>
      <c r="J20" s="135">
        <v>0.17857438119016519</v>
      </c>
      <c r="K20" s="135">
        <v>40.355605526987333</v>
      </c>
      <c r="L20" s="135">
        <v>0.10912878850510095</v>
      </c>
      <c r="M20" s="135">
        <v>5.6217860745052008E-2</v>
      </c>
      <c r="N20" s="135">
        <v>22.49486047498581</v>
      </c>
      <c r="O20" s="135">
        <v>27.630527400695559</v>
      </c>
      <c r="P20" s="135">
        <v>6.0726312714606179</v>
      </c>
      <c r="Q20" s="135">
        <v>55.208143873631073</v>
      </c>
      <c r="R20" s="135">
        <v>155.45781731399882</v>
      </c>
      <c r="S20" s="135">
        <v>14.948439403208829</v>
      </c>
      <c r="T20" s="135">
        <v>1.5377238380264224</v>
      </c>
      <c r="U20" s="135">
        <v>50.229005109211464</v>
      </c>
      <c r="V20" s="135">
        <v>11.666859571090793</v>
      </c>
      <c r="W20" s="136">
        <v>8.1240320331575155</v>
      </c>
    </row>
    <row r="21" spans="1:23" x14ac:dyDescent="0.2">
      <c r="A21" s="43" t="s">
        <v>92</v>
      </c>
      <c r="B21" s="135">
        <v>0.78815236142572909</v>
      </c>
      <c r="C21" s="135">
        <v>-0.11133341049510299</v>
      </c>
      <c r="D21" s="135">
        <v>0.23699686392521924</v>
      </c>
      <c r="E21" s="135">
        <f>D21</f>
        <v>0.23699686392521924</v>
      </c>
      <c r="F21" s="135">
        <v>1.9841597910018355E-2</v>
      </c>
      <c r="G21" s="135">
        <v>6.6370145009011393E-3</v>
      </c>
      <c r="H21" s="135">
        <v>0.3968319582003671</v>
      </c>
      <c r="I21" s="135">
        <v>1.0868786410710054</v>
      </c>
      <c r="J21" s="135">
        <v>4.9802410754146067E-3</v>
      </c>
      <c r="K21" s="135">
        <v>0.15873278328014684</v>
      </c>
      <c r="L21" s="135">
        <v>2.1671434161720047E-3</v>
      </c>
      <c r="M21" s="135">
        <v>0.58863407133054457</v>
      </c>
      <c r="N21" s="135">
        <v>0.86531413107580046</v>
      </c>
      <c r="O21" s="135">
        <v>3.0467875901828183</v>
      </c>
      <c r="P21" s="135">
        <v>46.647596686453149</v>
      </c>
      <c r="Q21" s="135">
        <v>5.6405253614202175</v>
      </c>
      <c r="R21" s="135">
        <v>0.56879247342052619</v>
      </c>
      <c r="S21" s="135">
        <v>0.35494414039032834</v>
      </c>
      <c r="T21" s="135">
        <v>0.4806075938204446</v>
      </c>
      <c r="U21" s="135">
        <v>0.1840859361651703</v>
      </c>
      <c r="V21" s="135">
        <v>0.18298362517016928</v>
      </c>
      <c r="W21" s="136">
        <v>4.9780364534246049</v>
      </c>
    </row>
    <row r="22" spans="1:23" x14ac:dyDescent="0.2">
      <c r="A22" s="43" t="s">
        <v>93</v>
      </c>
      <c r="B22" s="135">
        <v>0.22597375397520905</v>
      </c>
      <c r="C22" s="135">
        <v>1.9158165093117723</v>
      </c>
      <c r="D22" s="135">
        <v>0.10361723353009585</v>
      </c>
      <c r="E22" s="135">
        <f t="shared" si="1"/>
        <v>0.10361723353009585</v>
      </c>
      <c r="F22" s="135">
        <v>2.3883728236247297E-4</v>
      </c>
      <c r="G22" s="135">
        <v>0.10141261154009382</v>
      </c>
      <c r="H22" s="135">
        <v>9.259412358008566E-2</v>
      </c>
      <c r="I22" s="135">
        <v>3.5582598918632917</v>
      </c>
      <c r="J22" s="135">
        <v>8.1571013630075462E-2</v>
      </c>
      <c r="K22" s="135">
        <v>0.23148530895021413</v>
      </c>
      <c r="L22" s="135">
        <v>3.3069329850030589E-2</v>
      </c>
      <c r="M22" s="135">
        <v>6.5234764684160345E-3</v>
      </c>
      <c r="N22" s="135">
        <v>3.1735533546079355</v>
      </c>
      <c r="O22" s="135">
        <v>63.501931800018745</v>
      </c>
      <c r="P22" s="135">
        <v>0.28880548069026718</v>
      </c>
      <c r="Q22" s="135">
        <v>0.9876706515209136</v>
      </c>
      <c r="R22" s="135">
        <v>7.9366391640073419E-2</v>
      </c>
      <c r="S22" s="135">
        <v>0.9094065708758412</v>
      </c>
      <c r="T22" s="135">
        <v>0.16093740527014888</v>
      </c>
      <c r="U22" s="135">
        <v>2.4250841890022433E-2</v>
      </c>
      <c r="V22" s="135">
        <v>8.1571013630075462E-2</v>
      </c>
      <c r="W22" s="136">
        <v>1.1464034348010606</v>
      </c>
    </row>
    <row r="23" spans="1:23" x14ac:dyDescent="0.2">
      <c r="A23" s="43" t="s">
        <v>95</v>
      </c>
      <c r="B23" s="135">
        <v>0.11464034348010604</v>
      </c>
      <c r="C23" s="135">
        <v>0.96782905361089533</v>
      </c>
      <c r="D23" s="135">
        <v>5.1808616765047923E-2</v>
      </c>
      <c r="E23" s="135">
        <f t="shared" si="1"/>
        <v>5.1808616765047923E-2</v>
      </c>
      <c r="F23" s="135">
        <v>1.2043949139370692E-4</v>
      </c>
      <c r="G23" s="135">
        <v>5.1808616765047923E-2</v>
      </c>
      <c r="H23" s="135">
        <v>4.629706179004283E-2</v>
      </c>
      <c r="I23" s="135">
        <v>1.7978692328466632</v>
      </c>
      <c r="J23" s="135">
        <v>4.0785506815037731E-2</v>
      </c>
      <c r="K23" s="135">
        <v>0.11684496547010809</v>
      </c>
      <c r="L23" s="135">
        <v>1.6534664925015295E-2</v>
      </c>
      <c r="M23" s="135">
        <v>3.2892960090830426E-3</v>
      </c>
      <c r="N23" s="135">
        <v>1.6027601867314827</v>
      </c>
      <c r="O23" s="135">
        <v>62.832829026053126</v>
      </c>
      <c r="P23" s="135">
        <v>0.14550505134013461</v>
      </c>
      <c r="Q23" s="135">
        <v>0.49934688073546191</v>
      </c>
      <c r="R23" s="135">
        <v>3.968319582003671E-2</v>
      </c>
      <c r="S23" s="135">
        <v>0.4596636849154252</v>
      </c>
      <c r="T23" s="135">
        <v>8.1571013630075462E-2</v>
      </c>
      <c r="U23" s="135">
        <v>1.2125420945011216E-2</v>
      </c>
      <c r="V23" s="135">
        <v>4.0785506815037731E-2</v>
      </c>
      <c r="W23" s="136">
        <v>0.5798155833705364</v>
      </c>
    </row>
    <row r="24" spans="1:23" x14ac:dyDescent="0.2">
      <c r="A24" s="43" t="s">
        <v>94</v>
      </c>
      <c r="B24" s="135">
        <v>0.11133341049510299</v>
      </c>
      <c r="C24" s="135">
        <v>0.94798745570087695</v>
      </c>
      <c r="D24" s="135">
        <v>5.0706305770046908E-2</v>
      </c>
      <c r="E24" s="135">
        <f t="shared" si="1"/>
        <v>5.0706305770046908E-2</v>
      </c>
      <c r="F24" s="135">
        <v>1.1839779096876601E-4</v>
      </c>
      <c r="G24" s="135">
        <v>5.0706305770046908E-2</v>
      </c>
      <c r="H24" s="135">
        <v>4.5194750795041809E-2</v>
      </c>
      <c r="I24" s="135">
        <v>1.7603906590166285</v>
      </c>
      <c r="J24" s="135">
        <v>3.968319582003671E-2</v>
      </c>
      <c r="K24" s="135">
        <v>0.11464034348010604</v>
      </c>
      <c r="L24" s="135">
        <v>1.6534664925015295E-2</v>
      </c>
      <c r="M24" s="135">
        <v>3.2341804593329919E-3</v>
      </c>
      <c r="N24" s="135">
        <v>1.569690856881452</v>
      </c>
      <c r="O24" s="135">
        <v>0.66910277396561901</v>
      </c>
      <c r="P24" s="135">
        <v>0.14330042935013257</v>
      </c>
      <c r="Q24" s="135">
        <v>0.48832377078545175</v>
      </c>
      <c r="R24" s="135">
        <v>3.968319582003671E-2</v>
      </c>
      <c r="S24" s="135">
        <v>0.44974288596041606</v>
      </c>
      <c r="T24" s="135">
        <v>7.9366391640073419E-2</v>
      </c>
      <c r="U24" s="135">
        <v>1.2125420945011216E-2</v>
      </c>
      <c r="V24" s="135">
        <v>4.0785506815037731E-2</v>
      </c>
      <c r="W24" s="136">
        <v>0.56769016242552517</v>
      </c>
    </row>
    <row r="25" spans="1:23" x14ac:dyDescent="0.2">
      <c r="A25" s="43" t="s">
        <v>96</v>
      </c>
      <c r="B25" s="135">
        <v>8.1063950572374983E-3</v>
      </c>
      <c r="C25" s="135">
        <v>6.8343281690063221E-2</v>
      </c>
      <c r="D25" s="135">
        <v>3.7004580102184235E-3</v>
      </c>
      <c r="E25" s="135">
        <f t="shared" si="1"/>
        <v>3.7004580102184235E-3</v>
      </c>
      <c r="F25" s="135">
        <v>8.5839434073535165E-6</v>
      </c>
      <c r="G25" s="135">
        <v>3.6409332164883679E-3</v>
      </c>
      <c r="H25" s="135">
        <v>3.3102399179880623E-3</v>
      </c>
      <c r="I25" s="135">
        <v>0.1278680754201183</v>
      </c>
      <c r="J25" s="135">
        <v>2.90789640481269E-3</v>
      </c>
      <c r="K25" s="135">
        <v>8.30260641434768E-3</v>
      </c>
      <c r="L25" s="135">
        <v>1.1882912526110993E-3</v>
      </c>
      <c r="M25" s="135">
        <v>2.3449153149578093E-4</v>
      </c>
      <c r="N25" s="135">
        <v>0.11353803248510502</v>
      </c>
      <c r="O25" s="135">
        <v>62.196795581937536</v>
      </c>
      <c r="P25" s="135">
        <v>1.0381564950919605E-2</v>
      </c>
      <c r="Q25" s="135">
        <v>3.5273951840032632E-2</v>
      </c>
      <c r="R25" s="135">
        <v>2.8538831660576401E-3</v>
      </c>
      <c r="S25" s="135">
        <v>3.3069329850030589E-2</v>
      </c>
      <c r="T25" s="135">
        <v>5.7661888148503341E-3</v>
      </c>
      <c r="U25" s="135">
        <v>8.612672167198532E-4</v>
      </c>
      <c r="V25" s="135">
        <v>2.9167148927726982E-3</v>
      </c>
      <c r="W25" s="136">
        <v>4.0785506815037731E-2</v>
      </c>
    </row>
    <row r="26" spans="1:23" x14ac:dyDescent="0.2">
      <c r="A26" s="44" t="s">
        <v>268</v>
      </c>
      <c r="B26" s="137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8"/>
    </row>
    <row r="27" spans="1:23" ht="16" thickBot="1" x14ac:dyDescent="0.25">
      <c r="A27" s="61" t="s">
        <v>86</v>
      </c>
      <c r="B27" s="139">
        <v>5794.6284385213603</v>
      </c>
      <c r="C27" s="139">
        <v>3287.0913870930408</v>
      </c>
      <c r="D27" s="139">
        <v>4660.1299624663106</v>
      </c>
      <c r="E27" s="139">
        <f>D27*(1+18/56)</f>
        <v>6158.0288789733386</v>
      </c>
      <c r="F27" s="139">
        <v>103.84243478452576</v>
      </c>
      <c r="G27" s="139">
        <v>894.30491024432729</v>
      </c>
      <c r="H27" s="139">
        <v>465.1752398904303</v>
      </c>
      <c r="I27" s="139">
        <v>13878.205658162338</v>
      </c>
      <c r="J27" s="139">
        <v>121.47467164911237</v>
      </c>
      <c r="K27" s="139">
        <v>1823.5530790301868</v>
      </c>
      <c r="L27" s="139">
        <v>292.00218257577012</v>
      </c>
      <c r="M27" s="139">
        <v>105.62724846640984</v>
      </c>
      <c r="N27" s="139">
        <v>5200.9237366138113</v>
      </c>
      <c r="O27" s="139">
        <v>75970.171464475279</v>
      </c>
      <c r="P27" s="139">
        <v>4200.7969708493856</v>
      </c>
      <c r="Q27" s="139">
        <v>19296.946047388352</v>
      </c>
      <c r="R27" s="139">
        <v>10673.456902395874</v>
      </c>
      <c r="S27" s="139">
        <v>2099.461521078942</v>
      </c>
      <c r="T27" s="139">
        <v>2077.7459944774218</v>
      </c>
      <c r="U27" s="139">
        <v>510.36999068547215</v>
      </c>
      <c r="V27" s="139">
        <v>5062.9144000396836</v>
      </c>
      <c r="W27" s="140">
        <v>36632.109216973389</v>
      </c>
    </row>
    <row r="28" spans="1:23" x14ac:dyDescent="0.2">
      <c r="B28" s="141"/>
      <c r="C28" s="141"/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O28" s="141"/>
      <c r="P28" s="141"/>
      <c r="Q28" s="141"/>
      <c r="R28" s="141"/>
      <c r="S28" s="141"/>
      <c r="T28" s="141"/>
      <c r="U28" s="141"/>
      <c r="V28" s="141"/>
      <c r="W28" s="141"/>
    </row>
    <row r="30" spans="1:23" ht="16" thickBot="1" x14ac:dyDescent="0.25">
      <c r="A30" s="63"/>
    </row>
    <row r="31" spans="1:23" ht="19" x14ac:dyDescent="0.25">
      <c r="A31" s="243" t="s">
        <v>275</v>
      </c>
      <c r="B31" s="244"/>
      <c r="C31" s="244"/>
      <c r="D31" s="245"/>
    </row>
    <row r="32" spans="1:23" ht="16" x14ac:dyDescent="0.2">
      <c r="A32" s="96"/>
      <c r="B32" s="70" t="s">
        <v>276</v>
      </c>
      <c r="C32" s="70" t="s">
        <v>277</v>
      </c>
      <c r="D32" s="71" t="s">
        <v>278</v>
      </c>
    </row>
    <row r="33" spans="1:4" x14ac:dyDescent="0.2">
      <c r="A33" s="44" t="s">
        <v>121</v>
      </c>
      <c r="B33" s="91"/>
      <c r="C33" s="91"/>
      <c r="D33" s="92"/>
    </row>
    <row r="34" spans="1:4" x14ac:dyDescent="0.2">
      <c r="A34" s="43" t="s">
        <v>127</v>
      </c>
      <c r="B34">
        <v>8.6520569995020488E-3</v>
      </c>
      <c r="C34">
        <v>4.3536673627274434E-4</v>
      </c>
      <c r="D34" s="42">
        <v>4.5936045942986089E-3</v>
      </c>
    </row>
    <row r="35" spans="1:4" x14ac:dyDescent="0.2">
      <c r="A35" s="43" t="s">
        <v>128</v>
      </c>
      <c r="B35">
        <v>5.8157551657164203E-3</v>
      </c>
      <c r="C35">
        <v>9.3629862136592704E-4</v>
      </c>
      <c r="D35" s="42">
        <v>5.88347602013513E-3</v>
      </c>
    </row>
    <row r="36" spans="1:4" x14ac:dyDescent="0.2">
      <c r="A36" s="43" t="s">
        <v>129</v>
      </c>
      <c r="B36">
        <v>1.4566870440838899E-3</v>
      </c>
      <c r="C36">
        <v>1.3821311074490198E-4</v>
      </c>
      <c r="D36" s="42">
        <v>1.4808657959505202E-3</v>
      </c>
    </row>
    <row r="37" spans="1:4" x14ac:dyDescent="0.2">
      <c r="A37" s="43" t="s">
        <v>130</v>
      </c>
      <c r="B37">
        <v>1.13979980907632E-3</v>
      </c>
      <c r="C37">
        <v>9.8234004906191889E-5</v>
      </c>
      <c r="D37" s="42">
        <v>1.45581217817604E-3</v>
      </c>
    </row>
    <row r="38" spans="1:4" x14ac:dyDescent="0.2">
      <c r="A38" s="43" t="s">
        <v>131</v>
      </c>
      <c r="B38">
        <v>1.5127868664432999E-6</v>
      </c>
      <c r="C38">
        <v>7.2259936700866407E-8</v>
      </c>
      <c r="D38" s="42">
        <v>8.2129160944036801E-7</v>
      </c>
    </row>
    <row r="39" spans="1:4" x14ac:dyDescent="0.2">
      <c r="A39" s="43" t="s">
        <v>134</v>
      </c>
      <c r="B39">
        <v>9.0738566684800265E-3</v>
      </c>
      <c r="C39">
        <v>1.678624938493945E-3</v>
      </c>
      <c r="D39" s="42">
        <v>1.022529400228925E-2</v>
      </c>
    </row>
    <row r="40" spans="1:4" x14ac:dyDescent="0.2">
      <c r="A40" s="43" t="s">
        <v>135</v>
      </c>
      <c r="B40">
        <v>3.1530013314779798E-4</v>
      </c>
      <c r="C40">
        <v>7.4527208866802898E-6</v>
      </c>
      <c r="D40" s="42">
        <v>8.7176693808195906E-5</v>
      </c>
    </row>
    <row r="41" spans="1:4" x14ac:dyDescent="0.2">
      <c r="A41" s="43" t="s">
        <v>279</v>
      </c>
      <c r="B41">
        <v>2.7680412613263461</v>
      </c>
      <c r="C41">
        <v>0.2936021368342871</v>
      </c>
      <c r="D41" s="42">
        <v>2.5766340287869309</v>
      </c>
    </row>
    <row r="42" spans="1:4" x14ac:dyDescent="0.2">
      <c r="A42" s="43" t="s">
        <v>280</v>
      </c>
      <c r="B42">
        <v>2.8632743130473699</v>
      </c>
      <c r="C42">
        <v>0.30785896763422499</v>
      </c>
      <c r="D42" s="42">
        <v>1.9031855833720199</v>
      </c>
    </row>
    <row r="43" spans="1:4" x14ac:dyDescent="0.2">
      <c r="A43" s="44" t="s">
        <v>281</v>
      </c>
      <c r="B43" s="91"/>
      <c r="C43" s="91"/>
      <c r="D43" s="92"/>
    </row>
    <row r="44" spans="1:4" x14ac:dyDescent="0.2">
      <c r="A44" s="43" t="s">
        <v>142</v>
      </c>
      <c r="B44">
        <v>63.368352635833403</v>
      </c>
      <c r="C44">
        <v>20.811002487377099</v>
      </c>
      <c r="D44" s="42">
        <v>41.314971113503098</v>
      </c>
    </row>
    <row r="45" spans="1:4" x14ac:dyDescent="0.2">
      <c r="A45" s="44" t="s">
        <v>282</v>
      </c>
      <c r="B45" s="91"/>
      <c r="C45" s="91"/>
      <c r="D45" s="92"/>
    </row>
    <row r="46" spans="1:4" ht="16" thickBot="1" x14ac:dyDescent="0.25">
      <c r="A46" s="61" t="s">
        <v>86</v>
      </c>
      <c r="B46" s="45">
        <v>0.25042402907044303</v>
      </c>
      <c r="C46" s="45">
        <v>8.3355327357690339E-3</v>
      </c>
      <c r="D46" s="34">
        <v>8.371632462994591E-2</v>
      </c>
    </row>
  </sheetData>
  <mergeCells count="2">
    <mergeCell ref="A2:W2"/>
    <mergeCell ref="A31:D3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D3B9B-7085-474E-87DA-D69E52073D0F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18592-1B6E-0A47-8825-EF3434AC17C0}">
  <dimension ref="A1:J51"/>
  <sheetViews>
    <sheetView zoomScale="120" zoomScaleNormal="120" workbookViewId="0">
      <selection activeCell="A35" sqref="A35"/>
    </sheetView>
  </sheetViews>
  <sheetFormatPr baseColWidth="10" defaultRowHeight="15" x14ac:dyDescent="0.2"/>
  <cols>
    <col min="1" max="1" width="19.6640625" bestFit="1" customWidth="1"/>
  </cols>
  <sheetData>
    <row r="1" spans="1:10" x14ac:dyDescent="0.2">
      <c r="A1" s="27" t="s">
        <v>324</v>
      </c>
    </row>
    <row r="2" spans="1:10" x14ac:dyDescent="0.2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  <c r="H2" t="s">
        <v>340</v>
      </c>
    </row>
    <row r="3" spans="1:10" x14ac:dyDescent="0.2">
      <c r="A3" t="s">
        <v>341</v>
      </c>
      <c r="C3">
        <v>7.6008800000000001</v>
      </c>
      <c r="D3">
        <v>62.64969</v>
      </c>
      <c r="E3">
        <v>1.4150400000000001</v>
      </c>
      <c r="F3">
        <v>20.140219999999999</v>
      </c>
      <c r="H3">
        <v>8.1941699999999997</v>
      </c>
    </row>
    <row r="4" spans="1:10" x14ac:dyDescent="0.2">
      <c r="A4" t="s">
        <v>342</v>
      </c>
      <c r="B4">
        <v>4.7024400000000002</v>
      </c>
      <c r="C4">
        <v>7.1639699999999999</v>
      </c>
      <c r="D4">
        <v>79.085300000000004</v>
      </c>
      <c r="E4">
        <v>1.43818</v>
      </c>
      <c r="G4">
        <v>0.82181999999999999</v>
      </c>
      <c r="H4">
        <v>6.7882899999999999</v>
      </c>
    </row>
    <row r="5" spans="1:10" x14ac:dyDescent="0.2">
      <c r="A5" t="s">
        <v>343</v>
      </c>
      <c r="C5">
        <v>7.6282800000000002</v>
      </c>
      <c r="D5">
        <v>62.875529999999998</v>
      </c>
      <c r="F5">
        <v>0.71377999999999997</v>
      </c>
      <c r="G5">
        <v>11.808389999999999</v>
      </c>
      <c r="I5">
        <v>16.974019999999999</v>
      </c>
    </row>
    <row r="6" spans="1:10" x14ac:dyDescent="0.2">
      <c r="A6" t="s">
        <v>344</v>
      </c>
      <c r="B6">
        <v>4.3107499999999996</v>
      </c>
      <c r="C6">
        <v>6.5672499999999996</v>
      </c>
      <c r="D6">
        <v>72.497979999999998</v>
      </c>
      <c r="E6">
        <v>1.54762</v>
      </c>
      <c r="F6">
        <v>0.66264000000000001</v>
      </c>
      <c r="H6">
        <v>1.64758</v>
      </c>
      <c r="I6">
        <v>12.766159999999999</v>
      </c>
    </row>
    <row r="7" spans="1:10" x14ac:dyDescent="0.2">
      <c r="A7" s="200" t="s">
        <v>345</v>
      </c>
      <c r="C7">
        <v>2.6014599999999999</v>
      </c>
      <c r="E7">
        <v>6.1566000000000001</v>
      </c>
      <c r="F7">
        <v>50.745280000000001</v>
      </c>
      <c r="G7">
        <v>6.2791399999999999</v>
      </c>
      <c r="H7">
        <v>10.721769999999999</v>
      </c>
      <c r="J7">
        <v>23.495760000000001</v>
      </c>
    </row>
    <row r="8" spans="1:10" x14ac:dyDescent="0.2">
      <c r="A8" s="200" t="s">
        <v>346</v>
      </c>
      <c r="B8">
        <v>0.62983</v>
      </c>
      <c r="C8">
        <v>7.7183299999999999</v>
      </c>
      <c r="D8">
        <v>3.4151600000000002</v>
      </c>
      <c r="E8">
        <v>5.2028499999999998</v>
      </c>
      <c r="F8">
        <v>57.435899999999997</v>
      </c>
      <c r="G8">
        <v>5.7221399999999996</v>
      </c>
      <c r="I8">
        <v>2.11287</v>
      </c>
      <c r="J8">
        <v>17.762930000000001</v>
      </c>
    </row>
    <row r="10" spans="1:10" x14ac:dyDescent="0.2">
      <c r="A10" s="27" t="s">
        <v>325</v>
      </c>
    </row>
    <row r="11" spans="1:10" x14ac:dyDescent="0.2">
      <c r="A11" t="s">
        <v>323</v>
      </c>
      <c r="B11" t="s">
        <v>320</v>
      </c>
      <c r="C11" t="s">
        <v>321</v>
      </c>
      <c r="D11" t="s">
        <v>322</v>
      </c>
      <c r="E11" t="s">
        <v>320</v>
      </c>
      <c r="F11" t="s">
        <v>321</v>
      </c>
      <c r="G11" t="s">
        <v>322</v>
      </c>
      <c r="H11" t="s">
        <v>320</v>
      </c>
      <c r="I11" t="s">
        <v>321</v>
      </c>
      <c r="J11" t="s">
        <v>322</v>
      </c>
    </row>
    <row r="12" spans="1:10" x14ac:dyDescent="0.2">
      <c r="A12" t="s">
        <v>347</v>
      </c>
      <c r="H12">
        <v>0.95784000000000002</v>
      </c>
      <c r="I12">
        <v>1.6959999999999999E-2</v>
      </c>
    </row>
    <row r="13" spans="1:10" x14ac:dyDescent="0.2">
      <c r="A13" t="s">
        <v>348</v>
      </c>
      <c r="E13">
        <v>1.1745099999999999</v>
      </c>
      <c r="F13">
        <v>4.3249999999999997E-2</v>
      </c>
    </row>
    <row r="14" spans="1:10" x14ac:dyDescent="0.2">
      <c r="A14" t="s">
        <v>349</v>
      </c>
      <c r="E14">
        <v>1.8729800000000001</v>
      </c>
      <c r="F14">
        <v>0.12798999999999999</v>
      </c>
    </row>
    <row r="15" spans="1:10" x14ac:dyDescent="0.2">
      <c r="A15" t="s">
        <v>350</v>
      </c>
      <c r="B15">
        <v>2.5617299999999998</v>
      </c>
      <c r="C15">
        <v>0.21154999999999999</v>
      </c>
    </row>
    <row r="16" spans="1:10" x14ac:dyDescent="0.2">
      <c r="A16" t="s">
        <v>351</v>
      </c>
      <c r="E16">
        <v>3.4262999999999999</v>
      </c>
      <c r="F16">
        <v>0.31645000000000001</v>
      </c>
    </row>
    <row r="17" spans="1:10" x14ac:dyDescent="0.2">
      <c r="A17" t="s">
        <v>347</v>
      </c>
      <c r="H17">
        <v>1.5466599999999999</v>
      </c>
      <c r="I17">
        <v>3.2280000000000003E-2</v>
      </c>
      <c r="J17">
        <v>0.24168000000000001</v>
      </c>
    </row>
    <row r="18" spans="1:10" x14ac:dyDescent="0.2">
      <c r="A18" t="s">
        <v>348</v>
      </c>
      <c r="E18">
        <v>2.1116700000000002</v>
      </c>
      <c r="F18">
        <v>8.2290000000000002E-2</v>
      </c>
      <c r="G18">
        <v>0.28145999999999999</v>
      </c>
    </row>
    <row r="19" spans="1:10" x14ac:dyDescent="0.2">
      <c r="A19" t="s">
        <v>349</v>
      </c>
      <c r="E19">
        <v>3.8915500000000001</v>
      </c>
      <c r="F19">
        <v>0.24351999999999999</v>
      </c>
      <c r="G19">
        <v>0.38729000000000002</v>
      </c>
    </row>
    <row r="20" spans="1:10" x14ac:dyDescent="0.2">
      <c r="A20" t="s">
        <v>350</v>
      </c>
      <c r="B20">
        <v>5.2664099999999996</v>
      </c>
      <c r="C20">
        <v>0.40250000000000002</v>
      </c>
      <c r="D20">
        <v>0.46004</v>
      </c>
    </row>
    <row r="21" spans="1:10" x14ac:dyDescent="0.2">
      <c r="A21" t="s">
        <v>351</v>
      </c>
      <c r="E21">
        <v>7.8497199999999996</v>
      </c>
      <c r="F21">
        <v>0.60206999999999999</v>
      </c>
      <c r="G21">
        <v>0.62263999999999997</v>
      </c>
    </row>
    <row r="23" spans="1:10" x14ac:dyDescent="0.2">
      <c r="A23" t="s">
        <v>86</v>
      </c>
      <c r="B23" t="s">
        <v>320</v>
      </c>
      <c r="C23" t="s">
        <v>321</v>
      </c>
      <c r="D23" t="s">
        <v>322</v>
      </c>
      <c r="E23" t="s">
        <v>320</v>
      </c>
      <c r="F23" t="s">
        <v>321</v>
      </c>
      <c r="G23" t="s">
        <v>322</v>
      </c>
      <c r="H23" t="s">
        <v>320</v>
      </c>
      <c r="I23" t="s">
        <v>321</v>
      </c>
      <c r="J23" t="s">
        <v>322</v>
      </c>
    </row>
    <row r="24" spans="1:10" x14ac:dyDescent="0.2">
      <c r="A24" t="s">
        <v>347</v>
      </c>
      <c r="H24">
        <v>42.349209999999999</v>
      </c>
      <c r="I24">
        <v>4.6392199999999999</v>
      </c>
    </row>
    <row r="25" spans="1:10" x14ac:dyDescent="0.2">
      <c r="A25" t="s">
        <v>348</v>
      </c>
      <c r="E25">
        <v>30.96527</v>
      </c>
      <c r="F25">
        <v>3.2580900000000002</v>
      </c>
    </row>
    <row r="26" spans="1:10" x14ac:dyDescent="0.2">
      <c r="A26" t="s">
        <v>349</v>
      </c>
      <c r="E26">
        <v>10.40638</v>
      </c>
      <c r="F26">
        <v>0.76380999999999999</v>
      </c>
    </row>
    <row r="27" spans="1:10" x14ac:dyDescent="0.2">
      <c r="A27" t="s">
        <v>350</v>
      </c>
      <c r="B27">
        <v>8.9508899999999993</v>
      </c>
      <c r="C27">
        <v>0.58721999999999996</v>
      </c>
    </row>
    <row r="28" spans="1:10" x14ac:dyDescent="0.2">
      <c r="A28" t="s">
        <v>351</v>
      </c>
      <c r="E28">
        <v>14.431330000000001</v>
      </c>
      <c r="F28">
        <v>1.25213</v>
      </c>
    </row>
    <row r="29" spans="1:10" x14ac:dyDescent="0.2">
      <c r="A29" t="s">
        <v>347</v>
      </c>
      <c r="H29">
        <v>104.14028</v>
      </c>
      <c r="I29">
        <v>8.8266100000000005</v>
      </c>
      <c r="J29">
        <v>6.3827600000000002</v>
      </c>
    </row>
    <row r="30" spans="1:10" x14ac:dyDescent="0.2">
      <c r="A30" t="s">
        <v>348</v>
      </c>
      <c r="E30">
        <v>75.131590000000003</v>
      </c>
      <c r="F30">
        <v>6.1988500000000002</v>
      </c>
      <c r="G30">
        <v>4.6096700000000004</v>
      </c>
    </row>
    <row r="31" spans="1:10" x14ac:dyDescent="0.2">
      <c r="A31" t="s">
        <v>349</v>
      </c>
      <c r="E31">
        <v>22.743179999999999</v>
      </c>
      <c r="F31">
        <v>1.45322</v>
      </c>
      <c r="G31">
        <v>2.1762199999999998</v>
      </c>
    </row>
    <row r="32" spans="1:10" x14ac:dyDescent="0.2">
      <c r="A32" t="s">
        <v>350</v>
      </c>
      <c r="B32">
        <v>19.034289999999999</v>
      </c>
      <c r="C32">
        <v>1.1172500000000001</v>
      </c>
      <c r="D32">
        <v>1.32233</v>
      </c>
    </row>
    <row r="33" spans="1:7" x14ac:dyDescent="0.2">
      <c r="A33" t="s">
        <v>351</v>
      </c>
      <c r="E33">
        <v>32.999600000000001</v>
      </c>
      <c r="F33">
        <v>2.3823099999999999</v>
      </c>
      <c r="G33">
        <v>2.36158</v>
      </c>
    </row>
    <row r="35" spans="1:7" x14ac:dyDescent="0.2">
      <c r="A35" s="27" t="s">
        <v>327</v>
      </c>
    </row>
    <row r="36" spans="1:7" x14ac:dyDescent="0.2">
      <c r="B36" t="s">
        <v>323</v>
      </c>
      <c r="C36" t="s">
        <v>86</v>
      </c>
    </row>
    <row r="37" spans="1:7" x14ac:dyDescent="0.2">
      <c r="A37" t="s">
        <v>349</v>
      </c>
      <c r="B37">
        <v>275.8</v>
      </c>
      <c r="C37">
        <v>1.65</v>
      </c>
    </row>
    <row r="38" spans="1:7" x14ac:dyDescent="0.2">
      <c r="A38" t="s">
        <v>350</v>
      </c>
      <c r="B38">
        <v>455.9</v>
      </c>
      <c r="C38">
        <v>1.27</v>
      </c>
    </row>
    <row r="39" spans="1:7" x14ac:dyDescent="0.2">
      <c r="A39" t="s">
        <v>351</v>
      </c>
      <c r="B39">
        <v>682</v>
      </c>
      <c r="C39">
        <v>2.7</v>
      </c>
    </row>
    <row r="40" spans="1:7" x14ac:dyDescent="0.2">
      <c r="A40" t="s">
        <v>348</v>
      </c>
      <c r="B40">
        <v>92.8</v>
      </c>
      <c r="C40">
        <v>7.02</v>
      </c>
    </row>
    <row r="41" spans="1:7" x14ac:dyDescent="0.2">
      <c r="A41" t="s">
        <v>352</v>
      </c>
      <c r="B41">
        <v>36.56</v>
      </c>
      <c r="C41">
        <v>9.9982699999999998</v>
      </c>
    </row>
    <row r="42" spans="1:7" x14ac:dyDescent="0.2">
      <c r="A42" t="s">
        <v>353</v>
      </c>
      <c r="B42">
        <v>20.5</v>
      </c>
      <c r="C42">
        <v>9.5299999999999994</v>
      </c>
    </row>
    <row r="43" spans="1:7" x14ac:dyDescent="0.2">
      <c r="A43" t="s">
        <v>354</v>
      </c>
      <c r="B43">
        <v>13</v>
      </c>
      <c r="C43">
        <v>2.1800000000000002</v>
      </c>
    </row>
    <row r="44" spans="1:7" x14ac:dyDescent="0.2">
      <c r="A44" t="s">
        <v>355</v>
      </c>
      <c r="B44">
        <v>43.4</v>
      </c>
      <c r="C44">
        <v>0.31</v>
      </c>
    </row>
    <row r="45" spans="1:7" x14ac:dyDescent="0.2">
      <c r="A45" t="s">
        <v>356</v>
      </c>
      <c r="B45">
        <v>489.28163999999998</v>
      </c>
      <c r="C45">
        <v>0.26</v>
      </c>
    </row>
    <row r="46" spans="1:7" x14ac:dyDescent="0.2">
      <c r="A46" t="s">
        <v>357</v>
      </c>
      <c r="B46">
        <v>13</v>
      </c>
      <c r="C46">
        <v>0.01</v>
      </c>
    </row>
    <row r="47" spans="1:7" x14ac:dyDescent="0.2">
      <c r="A47" t="s">
        <v>358</v>
      </c>
      <c r="B47">
        <v>990.19600000000003</v>
      </c>
      <c r="C47">
        <v>1.55</v>
      </c>
    </row>
    <row r="48" spans="1:7" x14ac:dyDescent="0.2">
      <c r="A48" t="s">
        <v>359</v>
      </c>
      <c r="B48">
        <v>837.22681</v>
      </c>
      <c r="C48">
        <v>0.33</v>
      </c>
    </row>
    <row r="49" spans="1:3" x14ac:dyDescent="0.2">
      <c r="A49" t="s">
        <v>360</v>
      </c>
      <c r="B49">
        <v>31.295000000000002</v>
      </c>
      <c r="C49">
        <v>5.5</v>
      </c>
    </row>
    <row r="50" spans="1:3" x14ac:dyDescent="0.2">
      <c r="A50" t="s">
        <v>361</v>
      </c>
      <c r="B50">
        <v>36.700000000000003</v>
      </c>
      <c r="C50">
        <v>11.17</v>
      </c>
    </row>
    <row r="51" spans="1:3" x14ac:dyDescent="0.2">
      <c r="A51" t="s">
        <v>362</v>
      </c>
      <c r="B51">
        <v>58.958289999999998</v>
      </c>
      <c r="C51">
        <v>7.34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82CF1-3A47-9B4C-9A84-5D7DEF8AC37E}">
  <dimension ref="A1:J6"/>
  <sheetViews>
    <sheetView zoomScale="120" zoomScaleNormal="120" workbookViewId="0">
      <selection activeCell="D19" sqref="D19"/>
    </sheetView>
  </sheetViews>
  <sheetFormatPr baseColWidth="10" defaultRowHeight="15" x14ac:dyDescent="0.2"/>
  <sheetData>
    <row r="1" spans="1:10" x14ac:dyDescent="0.2">
      <c r="B1" t="s">
        <v>364</v>
      </c>
      <c r="C1" t="s">
        <v>365</v>
      </c>
      <c r="D1" t="s">
        <v>366</v>
      </c>
      <c r="E1" t="s">
        <v>364</v>
      </c>
      <c r="F1" t="s">
        <v>365</v>
      </c>
      <c r="G1" t="s">
        <v>366</v>
      </c>
      <c r="H1" t="s">
        <v>364</v>
      </c>
      <c r="I1" t="s">
        <v>365</v>
      </c>
      <c r="J1" t="s">
        <v>366</v>
      </c>
    </row>
    <row r="2" spans="1:10" x14ac:dyDescent="0.2">
      <c r="B2" t="s">
        <v>367</v>
      </c>
      <c r="E2" t="s">
        <v>368</v>
      </c>
      <c r="H2" t="s">
        <v>369</v>
      </c>
    </row>
    <row r="3" spans="1:10" x14ac:dyDescent="0.2">
      <c r="A3" t="s">
        <v>314</v>
      </c>
      <c r="B3">
        <v>14.5</v>
      </c>
      <c r="C3">
        <v>3.6789999999999998</v>
      </c>
      <c r="D3">
        <v>2.85</v>
      </c>
      <c r="E3">
        <v>193.92</v>
      </c>
      <c r="F3">
        <v>31.2</v>
      </c>
      <c r="G3">
        <v>37.06</v>
      </c>
      <c r="H3">
        <v>77.319999999999993</v>
      </c>
      <c r="I3">
        <v>0.75670000000000004</v>
      </c>
      <c r="J3">
        <v>14</v>
      </c>
    </row>
    <row r="4" spans="1:10" x14ac:dyDescent="0.2">
      <c r="A4" t="s">
        <v>363</v>
      </c>
      <c r="B4">
        <v>4.5223500000000003</v>
      </c>
      <c r="C4">
        <v>7.2940000000000005E-2</v>
      </c>
      <c r="D4">
        <v>0</v>
      </c>
      <c r="E4">
        <v>44.362690000000001</v>
      </c>
      <c r="F4">
        <v>1.4870000000000001</v>
      </c>
      <c r="G4">
        <v>0</v>
      </c>
      <c r="H4">
        <v>25.739260000000002</v>
      </c>
      <c r="I4">
        <v>0.04</v>
      </c>
      <c r="J4">
        <v>0</v>
      </c>
    </row>
    <row r="5" spans="1:10" x14ac:dyDescent="0.2">
      <c r="A5" t="s">
        <v>314</v>
      </c>
      <c r="B5">
        <v>14.36858</v>
      </c>
      <c r="C5">
        <v>4.3159999999999998</v>
      </c>
      <c r="D5">
        <v>1.9570000000000001</v>
      </c>
      <c r="E5">
        <v>201.71039999999999</v>
      </c>
      <c r="F5">
        <v>44.91</v>
      </c>
      <c r="G5">
        <v>26.1816</v>
      </c>
      <c r="H5">
        <v>142.24884</v>
      </c>
      <c r="I5">
        <v>1.1080000000000001</v>
      </c>
      <c r="J5">
        <v>10.9465</v>
      </c>
    </row>
    <row r="6" spans="1:10" x14ac:dyDescent="0.2">
      <c r="A6" t="s">
        <v>363</v>
      </c>
      <c r="B6">
        <v>11.439579999999999</v>
      </c>
      <c r="C6">
        <v>0.46970000000000001</v>
      </c>
      <c r="D6">
        <v>1.8859999999999998E-2</v>
      </c>
      <c r="E6">
        <v>112.21826</v>
      </c>
      <c r="F6">
        <v>9.5785499999999999</v>
      </c>
      <c r="G6">
        <v>0.38474999999999998</v>
      </c>
      <c r="H6">
        <v>65.109110000000001</v>
      </c>
      <c r="I6">
        <v>0.22905</v>
      </c>
      <c r="J6">
        <v>9.1999999999999998E-3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6E77A-0F72-9C42-B2CB-EEC8BA26C1B9}">
  <dimension ref="A1:AB70"/>
  <sheetViews>
    <sheetView zoomScale="120" zoomScaleNormal="120" workbookViewId="0">
      <selection activeCell="A27" sqref="A27:XFD27"/>
    </sheetView>
  </sheetViews>
  <sheetFormatPr baseColWidth="10" defaultRowHeight="15" x14ac:dyDescent="0.2"/>
  <sheetData>
    <row r="1" spans="1:8" x14ac:dyDescent="0.2">
      <c r="A1" s="27" t="s">
        <v>324</v>
      </c>
    </row>
    <row r="2" spans="1:8" x14ac:dyDescent="0.2">
      <c r="B2" t="s">
        <v>370</v>
      </c>
      <c r="C2" t="s">
        <v>371</v>
      </c>
      <c r="D2" t="s">
        <v>372</v>
      </c>
      <c r="E2" t="s">
        <v>373</v>
      </c>
      <c r="F2" t="s">
        <v>374</v>
      </c>
      <c r="G2" t="s">
        <v>375</v>
      </c>
      <c r="H2" t="s">
        <v>376</v>
      </c>
    </row>
    <row r="3" spans="1:8" x14ac:dyDescent="0.2">
      <c r="A3">
        <v>2010</v>
      </c>
      <c r="B3">
        <v>0</v>
      </c>
      <c r="C3">
        <v>0</v>
      </c>
      <c r="D3">
        <v>20</v>
      </c>
      <c r="E3">
        <v>10</v>
      </c>
      <c r="F3">
        <v>30</v>
      </c>
      <c r="G3">
        <v>0</v>
      </c>
      <c r="H3">
        <v>0</v>
      </c>
    </row>
    <row r="4" spans="1:8" x14ac:dyDescent="0.2">
      <c r="A4">
        <v>2011</v>
      </c>
      <c r="B4">
        <v>2.65</v>
      </c>
      <c r="C4">
        <v>0.66054999999999997</v>
      </c>
      <c r="D4">
        <v>26.4</v>
      </c>
      <c r="E4">
        <v>10.57273</v>
      </c>
      <c r="F4">
        <v>40.251629999999999</v>
      </c>
      <c r="G4">
        <v>8.1999999999999993</v>
      </c>
      <c r="H4">
        <v>8</v>
      </c>
    </row>
    <row r="5" spans="1:8" x14ac:dyDescent="0.2">
      <c r="A5">
        <v>2012</v>
      </c>
      <c r="B5">
        <v>4</v>
      </c>
      <c r="C5">
        <v>1.3210999999999999</v>
      </c>
      <c r="D5">
        <v>32.4</v>
      </c>
      <c r="E5">
        <v>11.17826</v>
      </c>
      <c r="F5">
        <v>49</v>
      </c>
      <c r="G5">
        <v>15</v>
      </c>
      <c r="H5">
        <v>17</v>
      </c>
    </row>
    <row r="6" spans="1:8" x14ac:dyDescent="0.2">
      <c r="A6">
        <v>2013</v>
      </c>
      <c r="B6">
        <v>9</v>
      </c>
      <c r="C6">
        <v>1.9816499999999999</v>
      </c>
      <c r="D6">
        <v>33.200000000000003</v>
      </c>
      <c r="E6">
        <v>11.818479999999999</v>
      </c>
      <c r="F6">
        <v>56</v>
      </c>
      <c r="G6">
        <v>14</v>
      </c>
      <c r="H6">
        <v>18</v>
      </c>
    </row>
    <row r="7" spans="1:8" x14ac:dyDescent="0.2">
      <c r="A7">
        <v>2014</v>
      </c>
      <c r="B7">
        <v>13</v>
      </c>
      <c r="C7">
        <v>2.6421999999999999</v>
      </c>
      <c r="D7">
        <v>34.200000000000003</v>
      </c>
      <c r="E7">
        <v>12.49536</v>
      </c>
      <c r="F7">
        <v>62</v>
      </c>
      <c r="G7">
        <v>16</v>
      </c>
      <c r="H7">
        <v>18</v>
      </c>
    </row>
    <row r="8" spans="1:8" x14ac:dyDescent="0.2">
      <c r="A8">
        <v>2015</v>
      </c>
      <c r="B8">
        <v>34</v>
      </c>
      <c r="C8">
        <v>3.5333299999999999</v>
      </c>
      <c r="D8">
        <v>35.799999999999997</v>
      </c>
      <c r="E8">
        <v>12</v>
      </c>
      <c r="F8">
        <v>86</v>
      </c>
      <c r="G8">
        <v>30</v>
      </c>
      <c r="H8">
        <v>39</v>
      </c>
    </row>
    <row r="9" spans="1:8" x14ac:dyDescent="0.2">
      <c r="A9">
        <v>2016</v>
      </c>
      <c r="B9">
        <v>48</v>
      </c>
      <c r="C9">
        <v>4.3</v>
      </c>
      <c r="D9">
        <v>39</v>
      </c>
      <c r="E9">
        <v>14.34559</v>
      </c>
      <c r="F9">
        <v>106</v>
      </c>
      <c r="G9">
        <v>38</v>
      </c>
      <c r="H9">
        <v>48</v>
      </c>
    </row>
    <row r="10" spans="1:8" x14ac:dyDescent="0.2">
      <c r="A10">
        <v>2017</v>
      </c>
      <c r="B10">
        <v>64</v>
      </c>
      <c r="C10">
        <v>5.3</v>
      </c>
      <c r="D10">
        <v>42.1</v>
      </c>
      <c r="E10">
        <v>17.14967</v>
      </c>
      <c r="F10">
        <v>129</v>
      </c>
      <c r="G10">
        <v>42</v>
      </c>
      <c r="H10">
        <v>50</v>
      </c>
    </row>
    <row r="11" spans="1:8" x14ac:dyDescent="0.2">
      <c r="A11">
        <v>2018</v>
      </c>
      <c r="B11">
        <v>100</v>
      </c>
      <c r="C11">
        <v>11.9</v>
      </c>
      <c r="D11">
        <v>42.6</v>
      </c>
      <c r="E11">
        <v>20.501850000000001</v>
      </c>
      <c r="F11">
        <v>175</v>
      </c>
      <c r="G11">
        <v>38</v>
      </c>
      <c r="H11">
        <v>54</v>
      </c>
    </row>
    <row r="12" spans="1:8" x14ac:dyDescent="0.2">
      <c r="A12">
        <v>2019</v>
      </c>
      <c r="B12">
        <v>126</v>
      </c>
      <c r="C12">
        <v>13.8</v>
      </c>
      <c r="D12">
        <v>48.4</v>
      </c>
      <c r="E12">
        <v>24.509270000000001</v>
      </c>
      <c r="F12">
        <v>213</v>
      </c>
      <c r="G12">
        <v>42</v>
      </c>
      <c r="H12">
        <v>46</v>
      </c>
    </row>
    <row r="13" spans="1:8" x14ac:dyDescent="0.2">
      <c r="A13">
        <v>2020</v>
      </c>
      <c r="B13">
        <v>151</v>
      </c>
      <c r="C13">
        <v>18.176670000000001</v>
      </c>
      <c r="D13">
        <v>51.6</v>
      </c>
      <c r="E13">
        <v>29.3</v>
      </c>
      <c r="F13">
        <v>250</v>
      </c>
      <c r="G13">
        <v>33</v>
      </c>
      <c r="H13">
        <v>46</v>
      </c>
    </row>
    <row r="14" spans="1:8" x14ac:dyDescent="0.2">
      <c r="A14">
        <v>2021</v>
      </c>
      <c r="B14">
        <v>239</v>
      </c>
      <c r="C14">
        <v>25.2</v>
      </c>
      <c r="D14">
        <v>60.4</v>
      </c>
      <c r="E14">
        <v>33.88353</v>
      </c>
      <c r="F14">
        <v>358</v>
      </c>
      <c r="G14">
        <v>66</v>
      </c>
      <c r="H14">
        <v>87</v>
      </c>
    </row>
    <row r="15" spans="1:8" x14ac:dyDescent="0.2">
      <c r="A15">
        <v>2022</v>
      </c>
      <c r="B15">
        <v>371</v>
      </c>
      <c r="C15">
        <v>32.200000000000003</v>
      </c>
      <c r="D15">
        <v>71.8</v>
      </c>
      <c r="E15">
        <v>39.184080000000002</v>
      </c>
      <c r="F15">
        <v>514</v>
      </c>
      <c r="G15">
        <v>151</v>
      </c>
      <c r="H15">
        <v>190</v>
      </c>
    </row>
    <row r="16" spans="1:8" x14ac:dyDescent="0.2">
      <c r="A16">
        <v>2023</v>
      </c>
      <c r="B16">
        <v>498</v>
      </c>
      <c r="C16">
        <v>52.2</v>
      </c>
      <c r="D16">
        <v>72.8</v>
      </c>
      <c r="E16">
        <v>45.313809999999997</v>
      </c>
      <c r="F16">
        <v>668</v>
      </c>
      <c r="G16">
        <v>237</v>
      </c>
      <c r="H16">
        <v>313</v>
      </c>
    </row>
    <row r="17" spans="1:28" x14ac:dyDescent="0.2">
      <c r="A17">
        <v>2024</v>
      </c>
      <c r="B17">
        <v>656</v>
      </c>
      <c r="C17">
        <v>65.8</v>
      </c>
      <c r="D17">
        <v>79.099999999999994</v>
      </c>
      <c r="E17">
        <v>52.402450000000002</v>
      </c>
      <c r="F17">
        <v>853</v>
      </c>
      <c r="G17">
        <v>340</v>
      </c>
      <c r="H17">
        <v>452</v>
      </c>
    </row>
    <row r="18" spans="1:28" x14ac:dyDescent="0.2">
      <c r="A18">
        <v>2025</v>
      </c>
      <c r="B18">
        <v>826</v>
      </c>
      <c r="C18">
        <v>83.74333</v>
      </c>
      <c r="D18">
        <v>85.5</v>
      </c>
      <c r="E18">
        <v>60.6</v>
      </c>
      <c r="F18">
        <v>1056</v>
      </c>
      <c r="G18">
        <v>444</v>
      </c>
      <c r="H18">
        <v>635</v>
      </c>
    </row>
    <row r="19" spans="1:28" x14ac:dyDescent="0.2">
      <c r="A19">
        <v>2026</v>
      </c>
      <c r="B19">
        <v>1009</v>
      </c>
      <c r="C19">
        <v>96.4</v>
      </c>
      <c r="D19">
        <v>83.5</v>
      </c>
      <c r="E19">
        <v>64.627799999999993</v>
      </c>
      <c r="F19">
        <v>1254</v>
      </c>
      <c r="G19">
        <v>557</v>
      </c>
      <c r="H19">
        <v>793</v>
      </c>
    </row>
    <row r="20" spans="1:28" x14ac:dyDescent="0.2">
      <c r="A20">
        <v>2027</v>
      </c>
      <c r="B20">
        <v>1213</v>
      </c>
      <c r="C20">
        <v>126.1</v>
      </c>
      <c r="D20">
        <v>84.1</v>
      </c>
      <c r="E20">
        <v>68.923299999999998</v>
      </c>
      <c r="F20">
        <v>1493</v>
      </c>
      <c r="G20">
        <v>700</v>
      </c>
      <c r="H20">
        <v>946</v>
      </c>
    </row>
    <row r="21" spans="1:28" x14ac:dyDescent="0.2">
      <c r="A21">
        <v>2028</v>
      </c>
      <c r="B21">
        <v>1440</v>
      </c>
      <c r="C21">
        <v>158.9</v>
      </c>
      <c r="D21">
        <v>92.5</v>
      </c>
      <c r="E21">
        <v>73.504310000000004</v>
      </c>
      <c r="F21">
        <v>1765</v>
      </c>
      <c r="G21">
        <v>861</v>
      </c>
      <c r="H21">
        <v>1142</v>
      </c>
    </row>
    <row r="22" spans="1:28" x14ac:dyDescent="0.2">
      <c r="A22">
        <v>2029</v>
      </c>
      <c r="B22">
        <v>1702</v>
      </c>
      <c r="C22">
        <v>202.1</v>
      </c>
      <c r="D22">
        <v>93.2</v>
      </c>
      <c r="E22">
        <v>78.389799999999994</v>
      </c>
      <c r="F22">
        <v>2076</v>
      </c>
      <c r="G22">
        <v>1044</v>
      </c>
      <c r="H22">
        <v>1345</v>
      </c>
    </row>
    <row r="23" spans="1:28" x14ac:dyDescent="0.2">
      <c r="A23">
        <v>2030</v>
      </c>
      <c r="B23">
        <v>1998</v>
      </c>
      <c r="C23">
        <v>256.48057</v>
      </c>
      <c r="D23">
        <v>96.5</v>
      </c>
      <c r="E23">
        <v>83.6</v>
      </c>
      <c r="F23">
        <v>2435</v>
      </c>
      <c r="G23">
        <v>1255</v>
      </c>
      <c r="H23">
        <v>1562</v>
      </c>
    </row>
    <row r="26" spans="1:28" x14ac:dyDescent="0.2">
      <c r="A26" s="27" t="s">
        <v>325</v>
      </c>
    </row>
    <row r="27" spans="1:28" x14ac:dyDescent="0.2">
      <c r="B27" t="s">
        <v>378</v>
      </c>
      <c r="C27" t="s">
        <v>14</v>
      </c>
      <c r="D27" t="s">
        <v>16</v>
      </c>
      <c r="E27" t="s">
        <v>19</v>
      </c>
      <c r="F27" t="s">
        <v>23</v>
      </c>
      <c r="G27" t="s">
        <v>17</v>
      </c>
      <c r="H27" t="s">
        <v>21</v>
      </c>
      <c r="I27" t="s">
        <v>38</v>
      </c>
      <c r="J27" t="s">
        <v>20</v>
      </c>
      <c r="K27" t="s">
        <v>378</v>
      </c>
      <c r="L27" t="s">
        <v>14</v>
      </c>
      <c r="M27" t="s">
        <v>16</v>
      </c>
      <c r="N27" t="s">
        <v>19</v>
      </c>
      <c r="O27" t="s">
        <v>23</v>
      </c>
      <c r="P27" t="s">
        <v>17</v>
      </c>
      <c r="Q27" t="s">
        <v>21</v>
      </c>
      <c r="R27" t="s">
        <v>38</v>
      </c>
      <c r="S27" t="s">
        <v>20</v>
      </c>
      <c r="T27" t="s">
        <v>378</v>
      </c>
      <c r="U27" t="s">
        <v>14</v>
      </c>
      <c r="V27" t="s">
        <v>16</v>
      </c>
      <c r="W27" t="s">
        <v>19</v>
      </c>
      <c r="X27" t="s">
        <v>23</v>
      </c>
      <c r="Y27" t="s">
        <v>17</v>
      </c>
      <c r="Z27" t="s">
        <v>21</v>
      </c>
      <c r="AA27" t="s">
        <v>38</v>
      </c>
      <c r="AB27" t="s">
        <v>20</v>
      </c>
    </row>
    <row r="28" spans="1:28" x14ac:dyDescent="0.2">
      <c r="B28">
        <v>-2.8000000000000001E-2</v>
      </c>
    </row>
    <row r="29" spans="1:28" x14ac:dyDescent="0.2">
      <c r="A29" t="s">
        <v>307</v>
      </c>
      <c r="K29">
        <v>8.0000000000000002E-3</v>
      </c>
    </row>
    <row r="30" spans="1:28" x14ac:dyDescent="0.2">
      <c r="T30">
        <v>0.04</v>
      </c>
    </row>
    <row r="32" spans="1:28" x14ac:dyDescent="0.2">
      <c r="B32">
        <v>-2E-3</v>
      </c>
    </row>
    <row r="33" spans="1:28" x14ac:dyDescent="0.2">
      <c r="A33" t="s">
        <v>308</v>
      </c>
      <c r="K33">
        <v>0.09</v>
      </c>
    </row>
    <row r="34" spans="1:28" x14ac:dyDescent="0.2">
      <c r="T34">
        <v>0.22500000000000001</v>
      </c>
    </row>
    <row r="36" spans="1:28" x14ac:dyDescent="0.2">
      <c r="B36">
        <v>3.3000000000000002E-2</v>
      </c>
    </row>
    <row r="37" spans="1:28" x14ac:dyDescent="0.2">
      <c r="A37" t="s">
        <v>309</v>
      </c>
      <c r="K37">
        <v>0.34</v>
      </c>
    </row>
    <row r="38" spans="1:28" x14ac:dyDescent="0.2">
      <c r="T38">
        <v>1.28</v>
      </c>
    </row>
    <row r="40" spans="1:28" x14ac:dyDescent="0.2">
      <c r="B40">
        <v>9.4E-2</v>
      </c>
    </row>
    <row r="41" spans="1:28" x14ac:dyDescent="0.2">
      <c r="A41" t="s">
        <v>310</v>
      </c>
      <c r="K41">
        <v>0.80300000000000005</v>
      </c>
    </row>
    <row r="42" spans="1:28" x14ac:dyDescent="0.2">
      <c r="T42">
        <v>1.79</v>
      </c>
    </row>
    <row r="44" spans="1:28" x14ac:dyDescent="0.2">
      <c r="D44">
        <v>3.4967999999999999</v>
      </c>
      <c r="F44">
        <v>1.2323999999999999</v>
      </c>
      <c r="G44">
        <v>1.44E-2</v>
      </c>
      <c r="I44">
        <v>0.22775999999999999</v>
      </c>
      <c r="J44">
        <v>8.4499999999999992E-3</v>
      </c>
    </row>
    <row r="45" spans="1:28" x14ac:dyDescent="0.2">
      <c r="A45" t="s">
        <v>377</v>
      </c>
      <c r="M45">
        <v>4.5401999999999996</v>
      </c>
      <c r="O45">
        <v>2.0163000000000002</v>
      </c>
      <c r="P45">
        <v>2.2800000000000001E-2</v>
      </c>
      <c r="R45">
        <v>0.29444999999999999</v>
      </c>
      <c r="S45">
        <v>1.0999999999999999E-2</v>
      </c>
    </row>
    <row r="46" spans="1:28" x14ac:dyDescent="0.2">
      <c r="V46">
        <v>5.64</v>
      </c>
      <c r="X46">
        <v>3.8414999999999999</v>
      </c>
      <c r="Y46">
        <v>4.2000000000000003E-2</v>
      </c>
      <c r="AA46">
        <v>0.39389999999999997</v>
      </c>
      <c r="AB46">
        <v>1.405E-2</v>
      </c>
    </row>
    <row r="48" spans="1:28" x14ac:dyDescent="0.2">
      <c r="C48">
        <v>0.55020999999999998</v>
      </c>
      <c r="D48">
        <v>0</v>
      </c>
      <c r="E48">
        <v>0</v>
      </c>
      <c r="F48">
        <v>4.5807799999999999</v>
      </c>
    </row>
    <row r="49" spans="1:28" x14ac:dyDescent="0.2">
      <c r="A49" t="s">
        <v>257</v>
      </c>
      <c r="L49">
        <v>1.35006</v>
      </c>
      <c r="M49">
        <v>0</v>
      </c>
      <c r="N49">
        <v>0</v>
      </c>
      <c r="O49">
        <v>7.49451</v>
      </c>
    </row>
    <row r="50" spans="1:28" x14ac:dyDescent="0.2">
      <c r="U50">
        <v>2.7986200000000001</v>
      </c>
      <c r="V50">
        <v>0</v>
      </c>
      <c r="W50">
        <v>0</v>
      </c>
      <c r="X50">
        <v>14.278700000000001</v>
      </c>
    </row>
    <row r="52" spans="1:28" x14ac:dyDescent="0.2">
      <c r="C52">
        <v>0.90559999999999996</v>
      </c>
      <c r="D52">
        <v>0.96059000000000005</v>
      </c>
      <c r="E52">
        <v>0.34487000000000001</v>
      </c>
      <c r="F52">
        <v>2.4563000000000001</v>
      </c>
      <c r="G52">
        <v>0</v>
      </c>
      <c r="H52">
        <v>0</v>
      </c>
      <c r="I52">
        <v>0.42108000000000001</v>
      </c>
      <c r="J52">
        <v>0.29161999999999999</v>
      </c>
    </row>
    <row r="53" spans="1:28" x14ac:dyDescent="0.2">
      <c r="A53" t="s">
        <v>5</v>
      </c>
      <c r="L53">
        <v>2.2220900000000001</v>
      </c>
      <c r="M53">
        <v>1.24722</v>
      </c>
      <c r="N53">
        <v>0.43543999999999999</v>
      </c>
      <c r="O53">
        <v>4.0186999999999999</v>
      </c>
      <c r="P53">
        <v>0</v>
      </c>
      <c r="Q53">
        <v>0</v>
      </c>
      <c r="R53">
        <v>0.54437999999999998</v>
      </c>
      <c r="S53">
        <v>0.37962000000000001</v>
      </c>
    </row>
    <row r="54" spans="1:28" x14ac:dyDescent="0.2">
      <c r="U54">
        <v>4.6062799999999999</v>
      </c>
      <c r="V54">
        <v>1.5493399999999999</v>
      </c>
      <c r="W54">
        <v>0.52527999999999997</v>
      </c>
      <c r="X54">
        <v>7.6565200000000004</v>
      </c>
      <c r="Y54">
        <v>0</v>
      </c>
      <c r="Z54">
        <v>0</v>
      </c>
      <c r="AA54">
        <v>0.72824999999999995</v>
      </c>
      <c r="AB54">
        <v>0.48487999999999998</v>
      </c>
    </row>
    <row r="56" spans="1:28" x14ac:dyDescent="0.2">
      <c r="C56">
        <v>0.74565000000000003</v>
      </c>
      <c r="D56">
        <v>1.8886099999999999</v>
      </c>
      <c r="E56">
        <v>8.4760000000000002E-2</v>
      </c>
      <c r="F56">
        <v>0.60365999999999997</v>
      </c>
      <c r="G56">
        <v>0</v>
      </c>
      <c r="H56">
        <v>0</v>
      </c>
      <c r="I56">
        <v>0.42208000000000001</v>
      </c>
      <c r="J56">
        <v>0.31115999999999999</v>
      </c>
    </row>
    <row r="57" spans="1:28" x14ac:dyDescent="0.2">
      <c r="A57" t="s">
        <v>6</v>
      </c>
      <c r="L57">
        <v>1.82961</v>
      </c>
      <c r="M57">
        <v>2.4521500000000001</v>
      </c>
      <c r="N57">
        <v>0.10700999999999999</v>
      </c>
      <c r="O57">
        <v>0.98763999999999996</v>
      </c>
      <c r="P57">
        <v>0</v>
      </c>
      <c r="Q57">
        <v>0</v>
      </c>
      <c r="R57">
        <v>0.54566999999999999</v>
      </c>
      <c r="S57">
        <v>0.40506999999999999</v>
      </c>
    </row>
    <row r="58" spans="1:28" x14ac:dyDescent="0.2">
      <c r="U58">
        <v>3.7927</v>
      </c>
      <c r="V58">
        <v>3.0461499999999999</v>
      </c>
      <c r="W58">
        <v>0.12909000000000001</v>
      </c>
      <c r="X58">
        <v>1.88168</v>
      </c>
      <c r="Y58">
        <v>0</v>
      </c>
      <c r="Z58">
        <v>0</v>
      </c>
      <c r="AA58">
        <v>0.72996000000000005</v>
      </c>
      <c r="AB58">
        <v>0.51737999999999995</v>
      </c>
    </row>
    <row r="60" spans="1:28" x14ac:dyDescent="0.2">
      <c r="C60">
        <v>0.82506000000000002</v>
      </c>
      <c r="D60">
        <v>2.0965199999999999</v>
      </c>
      <c r="E60">
        <v>0</v>
      </c>
      <c r="F60">
        <v>1.00518</v>
      </c>
      <c r="G60">
        <v>0</v>
      </c>
      <c r="H60">
        <v>0</v>
      </c>
      <c r="I60">
        <v>0.39851999999999999</v>
      </c>
      <c r="J60">
        <v>0.30420999999999998</v>
      </c>
    </row>
    <row r="61" spans="1:28" x14ac:dyDescent="0.2">
      <c r="A61" t="s">
        <v>4</v>
      </c>
      <c r="L61">
        <v>2.0244599999999999</v>
      </c>
      <c r="M61">
        <v>2.7220900000000001</v>
      </c>
      <c r="N61">
        <v>0</v>
      </c>
      <c r="O61">
        <v>1.6445399999999999</v>
      </c>
      <c r="P61">
        <v>0</v>
      </c>
      <c r="Q61">
        <v>0</v>
      </c>
      <c r="R61">
        <v>0.51520999999999995</v>
      </c>
      <c r="S61">
        <v>0.39601999999999998</v>
      </c>
    </row>
    <row r="62" spans="1:28" x14ac:dyDescent="0.2">
      <c r="U62">
        <v>4.1966200000000002</v>
      </c>
      <c r="V62">
        <v>3.3814799999999998</v>
      </c>
      <c r="W62">
        <v>0</v>
      </c>
      <c r="X62">
        <v>3.1332200000000001</v>
      </c>
      <c r="Y62">
        <v>0</v>
      </c>
      <c r="Z62">
        <v>0</v>
      </c>
      <c r="AA62">
        <v>0.68922000000000005</v>
      </c>
      <c r="AB62">
        <v>0.47291</v>
      </c>
    </row>
    <row r="64" spans="1:28" x14ac:dyDescent="0.2">
      <c r="C64">
        <v>0.55818999999999996</v>
      </c>
      <c r="D64">
        <v>0</v>
      </c>
      <c r="E64">
        <v>1.25702</v>
      </c>
      <c r="F64">
        <v>0</v>
      </c>
      <c r="G64">
        <v>0</v>
      </c>
      <c r="H64">
        <v>0</v>
      </c>
      <c r="I64">
        <v>0.48043999999999998</v>
      </c>
      <c r="J64">
        <v>0.28442000000000001</v>
      </c>
    </row>
    <row r="65" spans="1:28" x14ac:dyDescent="0.2">
      <c r="A65" t="s">
        <v>8</v>
      </c>
      <c r="L65">
        <v>1.3696299999999999</v>
      </c>
      <c r="M65">
        <v>0</v>
      </c>
      <c r="N65">
        <v>1.5871200000000001</v>
      </c>
      <c r="O65">
        <v>0</v>
      </c>
      <c r="P65">
        <v>0</v>
      </c>
      <c r="Q65">
        <v>0</v>
      </c>
      <c r="R65">
        <v>0.49442000000000003</v>
      </c>
      <c r="S65">
        <v>0.37025000000000002</v>
      </c>
    </row>
    <row r="66" spans="1:28" x14ac:dyDescent="0.2">
      <c r="U66">
        <v>2.8391899999999999</v>
      </c>
      <c r="V66">
        <v>0</v>
      </c>
      <c r="W66">
        <v>1.9145799999999999</v>
      </c>
      <c r="X66">
        <v>0</v>
      </c>
      <c r="Y66">
        <v>0</v>
      </c>
      <c r="Z66">
        <v>0</v>
      </c>
      <c r="AA66">
        <v>0.83089000000000002</v>
      </c>
      <c r="AB66">
        <v>0.47291</v>
      </c>
    </row>
    <row r="68" spans="1:28" x14ac:dyDescent="0.2">
      <c r="C68">
        <v>0.53617999999999999</v>
      </c>
      <c r="D68">
        <v>0</v>
      </c>
      <c r="E68">
        <v>0</v>
      </c>
      <c r="F68">
        <v>0</v>
      </c>
      <c r="G68">
        <v>1.528E-2</v>
      </c>
      <c r="H68">
        <v>8.616E-2</v>
      </c>
      <c r="I68">
        <v>0.48232999999999998</v>
      </c>
      <c r="J68">
        <v>0.29603000000000002</v>
      </c>
    </row>
    <row r="69" spans="1:28" x14ac:dyDescent="0.2">
      <c r="A69" t="s">
        <v>7</v>
      </c>
      <c r="L69">
        <v>1.31562</v>
      </c>
      <c r="M69">
        <v>0</v>
      </c>
      <c r="N69">
        <v>0</v>
      </c>
      <c r="O69">
        <v>0</v>
      </c>
      <c r="P69">
        <v>2.4199999999999999E-2</v>
      </c>
      <c r="Q69">
        <v>0.12711</v>
      </c>
      <c r="R69">
        <v>0.62356</v>
      </c>
      <c r="S69">
        <v>0.38535999999999998</v>
      </c>
    </row>
    <row r="70" spans="1:28" x14ac:dyDescent="0.2">
      <c r="U70">
        <v>2.72723</v>
      </c>
      <c r="V70">
        <v>0</v>
      </c>
      <c r="W70">
        <v>0</v>
      </c>
      <c r="X70">
        <v>0</v>
      </c>
      <c r="Y70">
        <v>4.4569999999999999E-2</v>
      </c>
      <c r="Z70">
        <v>0.20480000000000001</v>
      </c>
      <c r="AA70">
        <v>0.83416000000000001</v>
      </c>
      <c r="AB70">
        <v>0.49220999999999998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B0D7D-C287-734B-AF38-B0B2ADFDBD67}">
  <dimension ref="A1:N56"/>
  <sheetViews>
    <sheetView topLeftCell="A13" zoomScale="120" zoomScaleNormal="120" workbookViewId="0">
      <selection activeCell="A42" sqref="A42:F42"/>
    </sheetView>
  </sheetViews>
  <sheetFormatPr baseColWidth="10" defaultRowHeight="15" x14ac:dyDescent="0.2"/>
  <sheetData>
    <row r="1" spans="1:7" x14ac:dyDescent="0.2">
      <c r="A1" s="27" t="s">
        <v>324</v>
      </c>
    </row>
    <row r="2" spans="1:7" x14ac:dyDescent="0.2">
      <c r="A2" t="s">
        <v>106</v>
      </c>
    </row>
    <row r="3" spans="1:7" x14ac:dyDescent="0.2">
      <c r="B3" t="s">
        <v>320</v>
      </c>
      <c r="C3" t="s">
        <v>321</v>
      </c>
      <c r="D3" t="s">
        <v>322</v>
      </c>
      <c r="E3" t="s">
        <v>320</v>
      </c>
      <c r="F3" t="s">
        <v>321</v>
      </c>
      <c r="G3" t="s">
        <v>322</v>
      </c>
    </row>
    <row r="4" spans="1:7" x14ac:dyDescent="0.2">
      <c r="A4" t="s">
        <v>316</v>
      </c>
      <c r="B4">
        <v>35.985689999999998</v>
      </c>
      <c r="C4">
        <v>3.1543199999999998</v>
      </c>
      <c r="D4">
        <v>1.68435</v>
      </c>
      <c r="E4" t="s">
        <v>315</v>
      </c>
      <c r="F4" t="s">
        <v>315</v>
      </c>
      <c r="G4" t="s">
        <v>315</v>
      </c>
    </row>
    <row r="5" spans="1:7" x14ac:dyDescent="0.2">
      <c r="A5" t="s">
        <v>379</v>
      </c>
      <c r="E5">
        <v>46.96846</v>
      </c>
      <c r="F5">
        <v>3.1781299999999999</v>
      </c>
      <c r="G5">
        <v>2.4507099999999999</v>
      </c>
    </row>
    <row r="6" spans="1:7" x14ac:dyDescent="0.2">
      <c r="A6" t="s">
        <v>318</v>
      </c>
      <c r="B6">
        <v>139.75217000000001</v>
      </c>
      <c r="C6">
        <v>4.4521899999999999</v>
      </c>
      <c r="F6" t="s">
        <v>315</v>
      </c>
    </row>
    <row r="7" spans="1:7" x14ac:dyDescent="0.2">
      <c r="A7" t="s">
        <v>380</v>
      </c>
      <c r="E7">
        <v>145.34961000000001</v>
      </c>
      <c r="F7">
        <v>4.4521899999999999</v>
      </c>
    </row>
    <row r="9" spans="1:7" x14ac:dyDescent="0.2">
      <c r="A9" t="s">
        <v>323</v>
      </c>
    </row>
    <row r="10" spans="1:7" x14ac:dyDescent="0.2">
      <c r="B10" t="s">
        <v>320</v>
      </c>
      <c r="C10" t="s">
        <v>321</v>
      </c>
      <c r="D10" t="s">
        <v>322</v>
      </c>
      <c r="E10" t="s">
        <v>320</v>
      </c>
      <c r="F10" t="s">
        <v>321</v>
      </c>
      <c r="G10" t="s">
        <v>322</v>
      </c>
    </row>
    <row r="11" spans="1:7" x14ac:dyDescent="0.2">
      <c r="A11" t="s">
        <v>316</v>
      </c>
      <c r="B11">
        <v>5.2664099999999996</v>
      </c>
      <c r="C11">
        <v>0.40250000000000002</v>
      </c>
      <c r="D11">
        <v>0.46004</v>
      </c>
    </row>
    <row r="12" spans="1:7" x14ac:dyDescent="0.2">
      <c r="A12" t="s">
        <v>379</v>
      </c>
      <c r="E12">
        <v>6.2247000000000003</v>
      </c>
      <c r="F12">
        <v>0.40250999999999998</v>
      </c>
      <c r="G12">
        <v>0.44797999999999999</v>
      </c>
    </row>
    <row r="13" spans="1:7" x14ac:dyDescent="0.2">
      <c r="A13" t="s">
        <v>318</v>
      </c>
      <c r="B13">
        <v>9.8902699999999992</v>
      </c>
      <c r="C13">
        <v>0.56386000000000003</v>
      </c>
    </row>
    <row r="14" spans="1:7" x14ac:dyDescent="0.2">
      <c r="A14" t="s">
        <v>380</v>
      </c>
      <c r="E14">
        <v>9.4205000000000005</v>
      </c>
      <c r="F14">
        <v>0.56118999999999997</v>
      </c>
    </row>
    <row r="16" spans="1:7" x14ac:dyDescent="0.2">
      <c r="A16" t="s">
        <v>86</v>
      </c>
    </row>
    <row r="17" spans="1:13" x14ac:dyDescent="0.2">
      <c r="B17" t="s">
        <v>320</v>
      </c>
      <c r="C17" t="s">
        <v>321</v>
      </c>
      <c r="D17" t="s">
        <v>322</v>
      </c>
      <c r="E17" t="s">
        <v>320</v>
      </c>
      <c r="F17" t="s">
        <v>321</v>
      </c>
      <c r="G17" t="s">
        <v>322</v>
      </c>
    </row>
    <row r="18" spans="1:13" x14ac:dyDescent="0.2">
      <c r="A18" t="s">
        <v>316</v>
      </c>
      <c r="B18">
        <v>19.034289999999999</v>
      </c>
      <c r="C18">
        <v>1.1172500000000001</v>
      </c>
      <c r="D18">
        <v>1.32233</v>
      </c>
    </row>
    <row r="19" spans="1:13" x14ac:dyDescent="0.2">
      <c r="A19" t="s">
        <v>379</v>
      </c>
      <c r="E19">
        <v>20.524149999999999</v>
      </c>
      <c r="F19">
        <v>1.1172500000000001</v>
      </c>
      <c r="G19">
        <v>1.3884799999999999</v>
      </c>
    </row>
    <row r="20" spans="1:13" x14ac:dyDescent="0.2">
      <c r="A20" t="s">
        <v>318</v>
      </c>
      <c r="B20">
        <v>21.7759</v>
      </c>
      <c r="C20">
        <v>1.56514</v>
      </c>
    </row>
    <row r="21" spans="1:13" x14ac:dyDescent="0.2">
      <c r="A21" t="s">
        <v>380</v>
      </c>
      <c r="E21">
        <v>22.260819999999999</v>
      </c>
      <c r="F21">
        <v>1.56514</v>
      </c>
    </row>
    <row r="23" spans="1:13" x14ac:dyDescent="0.2">
      <c r="A23" s="27" t="s">
        <v>325</v>
      </c>
    </row>
    <row r="24" spans="1:13" x14ac:dyDescent="0.2">
      <c r="A24" s="27"/>
      <c r="B24" t="s">
        <v>311</v>
      </c>
      <c r="C24" t="s">
        <v>326</v>
      </c>
    </row>
    <row r="25" spans="1:13" x14ac:dyDescent="0.2">
      <c r="A25" t="s">
        <v>381</v>
      </c>
      <c r="B25">
        <v>7.53</v>
      </c>
      <c r="C25">
        <v>0.3</v>
      </c>
    </row>
    <row r="26" spans="1:13" x14ac:dyDescent="0.2">
      <c r="A26" t="s">
        <v>382</v>
      </c>
      <c r="D26">
        <v>14.7</v>
      </c>
    </row>
    <row r="27" spans="1:13" x14ac:dyDescent="0.2">
      <c r="A27" t="s">
        <v>383</v>
      </c>
      <c r="E27">
        <v>14.502370000000001</v>
      </c>
    </row>
    <row r="28" spans="1:13" x14ac:dyDescent="0.2">
      <c r="A28" t="s">
        <v>317</v>
      </c>
      <c r="F28">
        <v>9.4499999999999993</v>
      </c>
      <c r="G28">
        <v>1.21</v>
      </c>
    </row>
    <row r="29" spans="1:13" x14ac:dyDescent="0.2">
      <c r="A29" t="s">
        <v>318</v>
      </c>
      <c r="H29">
        <v>6.53</v>
      </c>
      <c r="I29">
        <v>1.1000000000000001</v>
      </c>
    </row>
    <row r="30" spans="1:13" x14ac:dyDescent="0.2">
      <c r="A30" t="s">
        <v>319</v>
      </c>
      <c r="J30">
        <v>5.86</v>
      </c>
      <c r="K30">
        <v>0.67</v>
      </c>
    </row>
    <row r="31" spans="1:13" x14ac:dyDescent="0.2">
      <c r="A31" t="s">
        <v>329</v>
      </c>
      <c r="L31">
        <v>2.90151</v>
      </c>
    </row>
    <row r="32" spans="1:13" x14ac:dyDescent="0.2">
      <c r="A32" t="s">
        <v>318</v>
      </c>
      <c r="M32">
        <v>6.4640500000000003</v>
      </c>
    </row>
    <row r="33" spans="1:14" x14ac:dyDescent="0.2">
      <c r="A33" t="s">
        <v>333</v>
      </c>
      <c r="N33">
        <v>10.85351</v>
      </c>
    </row>
    <row r="35" spans="1:14" x14ac:dyDescent="0.2">
      <c r="A35" s="27" t="s">
        <v>327</v>
      </c>
    </row>
    <row r="36" spans="1:14" x14ac:dyDescent="0.2">
      <c r="B36" t="s">
        <v>384</v>
      </c>
      <c r="C36" t="s">
        <v>86</v>
      </c>
      <c r="D36" t="s">
        <v>385</v>
      </c>
      <c r="E36" t="s">
        <v>337</v>
      </c>
      <c r="F36" t="s">
        <v>386</v>
      </c>
      <c r="G36" t="s">
        <v>338</v>
      </c>
      <c r="H36" t="s">
        <v>387</v>
      </c>
      <c r="I36" t="s">
        <v>356</v>
      </c>
      <c r="J36" t="s">
        <v>278</v>
      </c>
      <c r="K36" t="s">
        <v>388</v>
      </c>
    </row>
    <row r="37" spans="1:14" x14ac:dyDescent="0.2">
      <c r="A37" t="s">
        <v>106</v>
      </c>
      <c r="B37">
        <v>3.0874199999999998</v>
      </c>
      <c r="D37">
        <v>30.26023</v>
      </c>
      <c r="E37">
        <v>0.50368999999999997</v>
      </c>
      <c r="F37">
        <v>24.302879999999998</v>
      </c>
      <c r="G37">
        <v>1.8218000000000001</v>
      </c>
      <c r="H37">
        <v>1.85992</v>
      </c>
      <c r="I37">
        <v>14.380039999999999</v>
      </c>
      <c r="J37">
        <v>17.49061</v>
      </c>
      <c r="K37">
        <v>6.2934200000000002</v>
      </c>
    </row>
    <row r="38" spans="1:14" x14ac:dyDescent="0.2">
      <c r="A38" t="s">
        <v>323</v>
      </c>
      <c r="B38">
        <v>3.9105500000000002</v>
      </c>
      <c r="D38">
        <v>53.692860000000003</v>
      </c>
      <c r="E38">
        <v>0.42270000000000002</v>
      </c>
      <c r="F38">
        <v>28.997039999999998</v>
      </c>
      <c r="G38">
        <v>5.8935199999999996</v>
      </c>
      <c r="H38">
        <v>0.42294999999999999</v>
      </c>
      <c r="I38">
        <v>1.48281</v>
      </c>
      <c r="J38">
        <v>0</v>
      </c>
      <c r="K38">
        <v>4.2979000000000003</v>
      </c>
    </row>
    <row r="39" spans="1:14" x14ac:dyDescent="0.2">
      <c r="A39" t="s">
        <v>86</v>
      </c>
      <c r="B39">
        <v>6.7055400000000001</v>
      </c>
      <c r="C39">
        <v>7.1678600000000001</v>
      </c>
      <c r="D39">
        <v>65.721969999999999</v>
      </c>
      <c r="E39">
        <v>4.7649600000000003</v>
      </c>
      <c r="F39">
        <v>0.25491000000000003</v>
      </c>
      <c r="G39">
        <v>14.007059999999999</v>
      </c>
      <c r="H39">
        <v>4.5999999999999999E-3</v>
      </c>
      <c r="I39">
        <v>1.37294</v>
      </c>
      <c r="J39" s="40">
        <v>1.13617E-5</v>
      </c>
      <c r="K39" s="40">
        <v>1.5365600000000001E-4</v>
      </c>
    </row>
    <row r="41" spans="1:14" x14ac:dyDescent="0.2">
      <c r="A41" s="27" t="s">
        <v>389</v>
      </c>
    </row>
    <row r="42" spans="1:14" x14ac:dyDescent="0.2">
      <c r="B42" t="s">
        <v>320</v>
      </c>
      <c r="C42" t="s">
        <v>321</v>
      </c>
      <c r="D42" t="s">
        <v>320</v>
      </c>
      <c r="E42" t="s">
        <v>321</v>
      </c>
      <c r="F42" t="s">
        <v>322</v>
      </c>
    </row>
    <row r="43" spans="1:14" x14ac:dyDescent="0.2">
      <c r="A43">
        <v>1</v>
      </c>
      <c r="B43">
        <v>4.80694</v>
      </c>
      <c r="C43">
        <v>4.521E-2</v>
      </c>
      <c r="G43" t="s">
        <v>347</v>
      </c>
    </row>
    <row r="44" spans="1:14" x14ac:dyDescent="0.2">
      <c r="A44">
        <v>2</v>
      </c>
      <c r="D44">
        <v>1.5466599999999999</v>
      </c>
      <c r="E44">
        <v>3.2280000000000003E-2</v>
      </c>
      <c r="F44">
        <v>0.24168000000000001</v>
      </c>
    </row>
    <row r="45" spans="1:14" x14ac:dyDescent="0.2">
      <c r="A45">
        <v>3</v>
      </c>
    </row>
    <row r="46" spans="1:14" x14ac:dyDescent="0.2">
      <c r="A46">
        <v>4</v>
      </c>
      <c r="B46">
        <v>5.4936400000000001</v>
      </c>
      <c r="C46">
        <v>0.11527999999999999</v>
      </c>
      <c r="G46" t="s">
        <v>348</v>
      </c>
    </row>
    <row r="47" spans="1:14" x14ac:dyDescent="0.2">
      <c r="A47">
        <v>5</v>
      </c>
      <c r="D47">
        <v>2.1116700000000002</v>
      </c>
      <c r="E47">
        <v>8.2290000000000002E-2</v>
      </c>
      <c r="F47">
        <v>0.28145999999999999</v>
      </c>
    </row>
    <row r="48" spans="1:14" x14ac:dyDescent="0.2">
      <c r="A48">
        <v>6</v>
      </c>
    </row>
    <row r="49" spans="1:7" x14ac:dyDescent="0.2">
      <c r="A49">
        <v>7</v>
      </c>
      <c r="B49">
        <v>7.7073700000000001</v>
      </c>
      <c r="C49">
        <v>0.34114</v>
      </c>
      <c r="G49" t="s">
        <v>349</v>
      </c>
    </row>
    <row r="50" spans="1:7" x14ac:dyDescent="0.2">
      <c r="A50">
        <v>8</v>
      </c>
      <c r="D50">
        <v>3.8915500000000001</v>
      </c>
      <c r="E50">
        <v>0.24351999999999999</v>
      </c>
      <c r="F50">
        <v>0.38729000000000002</v>
      </c>
    </row>
    <row r="51" spans="1:7" x14ac:dyDescent="0.2">
      <c r="A51">
        <v>9</v>
      </c>
    </row>
    <row r="52" spans="1:7" x14ac:dyDescent="0.2">
      <c r="A52">
        <v>10</v>
      </c>
      <c r="B52">
        <v>9.8902699999999992</v>
      </c>
      <c r="C52">
        <v>0.40250000000000002</v>
      </c>
      <c r="G52" t="s">
        <v>350</v>
      </c>
    </row>
    <row r="53" spans="1:7" x14ac:dyDescent="0.2">
      <c r="A53">
        <v>11</v>
      </c>
      <c r="D53">
        <v>5.2664099999999996</v>
      </c>
      <c r="E53">
        <v>0.40250000000000002</v>
      </c>
      <c r="F53">
        <v>0.46004</v>
      </c>
    </row>
    <row r="54" spans="1:7" x14ac:dyDescent="0.2">
      <c r="A54">
        <v>12</v>
      </c>
    </row>
    <row r="55" spans="1:7" x14ac:dyDescent="0.2">
      <c r="A55">
        <v>13</v>
      </c>
      <c r="B55">
        <v>12.6304</v>
      </c>
      <c r="C55">
        <v>0.84343000000000001</v>
      </c>
      <c r="G55" t="s">
        <v>351</v>
      </c>
    </row>
    <row r="56" spans="1:7" x14ac:dyDescent="0.2">
      <c r="A56">
        <v>14</v>
      </c>
      <c r="D56">
        <v>7.8497199999999996</v>
      </c>
      <c r="E56">
        <v>0.60206999999999999</v>
      </c>
      <c r="F56">
        <v>0.62263999999999997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3C9AC-371D-EC4C-ABD9-BFC6C8E4C5B4}">
  <dimension ref="A1:I25"/>
  <sheetViews>
    <sheetView zoomScale="120" zoomScaleNormal="120" workbookViewId="0">
      <selection activeCell="A2" sqref="A2:A23"/>
    </sheetView>
  </sheetViews>
  <sheetFormatPr baseColWidth="10" defaultRowHeight="15" x14ac:dyDescent="0.2"/>
  <cols>
    <col min="1" max="1" width="10.83203125" style="27"/>
  </cols>
  <sheetData>
    <row r="1" spans="1:9" x14ac:dyDescent="0.2">
      <c r="C1" t="s">
        <v>14</v>
      </c>
      <c r="D1" t="s">
        <v>16</v>
      </c>
      <c r="E1" t="s">
        <v>23</v>
      </c>
      <c r="F1" t="s">
        <v>20</v>
      </c>
      <c r="G1" t="s">
        <v>320</v>
      </c>
      <c r="H1" t="s">
        <v>321</v>
      </c>
      <c r="I1" t="s">
        <v>322</v>
      </c>
    </row>
    <row r="2" spans="1:9" x14ac:dyDescent="0.2">
      <c r="A2" s="27" t="s">
        <v>324</v>
      </c>
      <c r="B2" t="s">
        <v>314</v>
      </c>
      <c r="C2">
        <v>3.8507699999999998</v>
      </c>
      <c r="D2">
        <v>8.4266900000000007</v>
      </c>
      <c r="E2">
        <v>1.49651</v>
      </c>
      <c r="F2">
        <v>1.376E-2</v>
      </c>
    </row>
    <row r="3" spans="1:9" x14ac:dyDescent="0.2">
      <c r="B3">
        <v>2</v>
      </c>
      <c r="G3">
        <v>2.5076900000000002</v>
      </c>
      <c r="H3">
        <v>0.21054999999999999</v>
      </c>
    </row>
    <row r="4" spans="1:9" x14ac:dyDescent="0.2">
      <c r="B4">
        <v>3</v>
      </c>
      <c r="G4">
        <v>5.2324099999999998</v>
      </c>
      <c r="H4">
        <v>0.40059</v>
      </c>
      <c r="I4">
        <v>0.45183000000000001</v>
      </c>
    </row>
    <row r="5" spans="1:9" x14ac:dyDescent="0.2">
      <c r="A5" s="27" t="s">
        <v>325</v>
      </c>
      <c r="B5" t="s">
        <v>314</v>
      </c>
      <c r="C5">
        <v>5.6102400000000001</v>
      </c>
      <c r="D5">
        <v>16.74709</v>
      </c>
      <c r="E5">
        <v>3.4456000000000002</v>
      </c>
      <c r="F5">
        <v>3.3950000000000001E-2</v>
      </c>
    </row>
    <row r="6" spans="1:9" x14ac:dyDescent="0.2">
      <c r="B6">
        <v>2</v>
      </c>
      <c r="G6">
        <v>1.0301800000000001</v>
      </c>
      <c r="H6">
        <v>1.4579999999999999E-2</v>
      </c>
    </row>
    <row r="7" spans="1:9" x14ac:dyDescent="0.2">
      <c r="B7">
        <v>3</v>
      </c>
      <c r="G7">
        <v>0.80386000000000002</v>
      </c>
      <c r="H7">
        <v>2.7740000000000001E-2</v>
      </c>
      <c r="I7">
        <v>6.8110000000000004E-2</v>
      </c>
    </row>
    <row r="8" spans="1:9" x14ac:dyDescent="0.2">
      <c r="A8" s="27" t="s">
        <v>327</v>
      </c>
      <c r="B8" t="s">
        <v>314</v>
      </c>
      <c r="C8">
        <v>23.233840000000001</v>
      </c>
      <c r="D8">
        <v>171.405</v>
      </c>
      <c r="E8">
        <v>35.598390000000002</v>
      </c>
      <c r="F8">
        <v>0.34603</v>
      </c>
    </row>
    <row r="9" spans="1:9" x14ac:dyDescent="0.2">
      <c r="B9">
        <v>2</v>
      </c>
      <c r="G9">
        <v>94.933639999999997</v>
      </c>
      <c r="H9">
        <v>2.1469399999999998</v>
      </c>
    </row>
    <row r="10" spans="1:9" x14ac:dyDescent="0.2">
      <c r="B10">
        <v>3</v>
      </c>
      <c r="G10">
        <v>46.64649</v>
      </c>
      <c r="H10">
        <v>4.0847800000000003</v>
      </c>
      <c r="I10">
        <v>21.815940000000001</v>
      </c>
    </row>
    <row r="11" spans="1:9" x14ac:dyDescent="0.2">
      <c r="A11" s="27" t="s">
        <v>389</v>
      </c>
      <c r="B11" t="s">
        <v>314</v>
      </c>
      <c r="C11">
        <v>2.8418600000000001</v>
      </c>
      <c r="D11">
        <v>11.39127</v>
      </c>
      <c r="E11">
        <v>1.03254</v>
      </c>
      <c r="F11">
        <v>8.8500000000000002E-3</v>
      </c>
    </row>
    <row r="12" spans="1:9" x14ac:dyDescent="0.2">
      <c r="B12">
        <v>2</v>
      </c>
      <c r="G12">
        <v>0.60214000000000001</v>
      </c>
      <c r="H12">
        <v>4.0840000000000001E-2</v>
      </c>
    </row>
    <row r="13" spans="1:9" x14ac:dyDescent="0.2">
      <c r="B13">
        <v>3</v>
      </c>
      <c r="G13">
        <v>1.1582399999999999</v>
      </c>
      <c r="H13">
        <v>7.7700000000000005E-2</v>
      </c>
      <c r="I13">
        <v>8.4970000000000004E-2</v>
      </c>
    </row>
    <row r="14" spans="1:9" x14ac:dyDescent="0.2">
      <c r="A14" s="27" t="s">
        <v>390</v>
      </c>
      <c r="B14" t="s">
        <v>314</v>
      </c>
      <c r="C14">
        <v>3.62663</v>
      </c>
      <c r="D14">
        <v>16.923210000000001</v>
      </c>
      <c r="E14">
        <v>1.75207</v>
      </c>
      <c r="F14">
        <v>1.6109999999999999E-2</v>
      </c>
    </row>
    <row r="15" spans="1:9" x14ac:dyDescent="0.2">
      <c r="B15">
        <v>2</v>
      </c>
      <c r="G15">
        <v>0.81749000000000005</v>
      </c>
      <c r="H15">
        <v>8.5529999999999995E-2</v>
      </c>
    </row>
    <row r="16" spans="1:9" x14ac:dyDescent="0.2">
      <c r="B16">
        <v>3</v>
      </c>
      <c r="G16">
        <v>1.9884500000000001</v>
      </c>
      <c r="H16">
        <v>0.16274</v>
      </c>
      <c r="I16">
        <v>0.12595000000000001</v>
      </c>
    </row>
    <row r="17" spans="1:9" x14ac:dyDescent="0.2">
      <c r="A17" s="27" t="s">
        <v>391</v>
      </c>
      <c r="B17" t="s">
        <v>314</v>
      </c>
      <c r="C17">
        <v>4.52386</v>
      </c>
      <c r="D17">
        <v>692.40878999999995</v>
      </c>
      <c r="E17">
        <v>698.48873000000003</v>
      </c>
      <c r="F17">
        <v>1.9859999999999999E-2</v>
      </c>
    </row>
    <row r="18" spans="1:9" x14ac:dyDescent="0.2">
      <c r="B18">
        <v>2</v>
      </c>
      <c r="G18">
        <v>4.0029199999999996</v>
      </c>
      <c r="H18">
        <v>7.3440000000000005E-2</v>
      </c>
    </row>
    <row r="19" spans="1:9" x14ac:dyDescent="0.2">
      <c r="B19">
        <v>3</v>
      </c>
      <c r="G19">
        <v>8.3380500000000008</v>
      </c>
      <c r="H19">
        <v>0.13974</v>
      </c>
      <c r="I19">
        <v>0.10187</v>
      </c>
    </row>
    <row r="20" spans="1:9" x14ac:dyDescent="0.2">
      <c r="A20" s="27" t="s">
        <v>392</v>
      </c>
      <c r="B20" t="s">
        <v>314</v>
      </c>
      <c r="C20">
        <v>1.0252300000000001</v>
      </c>
      <c r="D20">
        <v>6.2335900000000004</v>
      </c>
      <c r="E20">
        <v>5.82857</v>
      </c>
      <c r="F20">
        <v>1.243E-2</v>
      </c>
    </row>
    <row r="21" spans="1:9" x14ac:dyDescent="0.2">
      <c r="B21">
        <v>2</v>
      </c>
      <c r="G21">
        <v>0.16958999999999999</v>
      </c>
      <c r="H21">
        <v>1.2330000000000001E-2</v>
      </c>
    </row>
    <row r="22" spans="1:9" x14ac:dyDescent="0.2">
      <c r="B22">
        <v>3</v>
      </c>
      <c r="G22">
        <v>0.33066000000000001</v>
      </c>
      <c r="H22">
        <v>2.1819999999999999E-2</v>
      </c>
      <c r="I22">
        <v>2.452E-2</v>
      </c>
    </row>
    <row r="23" spans="1:9" x14ac:dyDescent="0.2">
      <c r="A23" s="27" t="s">
        <v>393</v>
      </c>
      <c r="B23" t="s">
        <v>314</v>
      </c>
      <c r="C23">
        <v>0.68084</v>
      </c>
      <c r="D23">
        <v>3.4821300000000002</v>
      </c>
      <c r="E23">
        <v>0.69972999999999996</v>
      </c>
      <c r="F23">
        <v>6.2599999999999999E-3</v>
      </c>
    </row>
    <row r="24" spans="1:9" x14ac:dyDescent="0.2">
      <c r="B24">
        <v>2</v>
      </c>
      <c r="G24">
        <v>0.13572999999999999</v>
      </c>
      <c r="H24">
        <v>1.0240000000000001E-2</v>
      </c>
    </row>
    <row r="25" spans="1:9" x14ac:dyDescent="0.2">
      <c r="B25">
        <v>3</v>
      </c>
      <c r="G25">
        <v>0.28105999999999998</v>
      </c>
      <c r="H25">
        <v>1.949E-2</v>
      </c>
      <c r="I25">
        <v>2.052E-2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2AFE7-0CD7-904F-8474-B7DCCE2F6879}">
  <dimension ref="A1:J20"/>
  <sheetViews>
    <sheetView tabSelected="1" zoomScale="120" zoomScaleNormal="120" workbookViewId="0">
      <selection activeCell="J28" sqref="J28"/>
    </sheetView>
  </sheetViews>
  <sheetFormatPr baseColWidth="10" defaultRowHeight="15" x14ac:dyDescent="0.2"/>
  <sheetData>
    <row r="1" spans="1:10" x14ac:dyDescent="0.2">
      <c r="B1" t="s">
        <v>334</v>
      </c>
      <c r="C1" t="s">
        <v>335</v>
      </c>
      <c r="D1" t="s">
        <v>336</v>
      </c>
      <c r="E1" t="s">
        <v>394</v>
      </c>
      <c r="F1" t="s">
        <v>395</v>
      </c>
      <c r="G1" t="s">
        <v>396</v>
      </c>
      <c r="H1" t="s">
        <v>337</v>
      </c>
      <c r="I1" t="s">
        <v>338</v>
      </c>
    </row>
    <row r="2" spans="1:10" x14ac:dyDescent="0.2">
      <c r="A2" s="27" t="s">
        <v>324</v>
      </c>
      <c r="B2">
        <v>2</v>
      </c>
      <c r="D2">
        <v>7.7458200000000001</v>
      </c>
      <c r="E2">
        <v>63.844340000000003</v>
      </c>
      <c r="H2">
        <v>17.08625</v>
      </c>
      <c r="I2">
        <v>0.68527000000000005</v>
      </c>
      <c r="J2">
        <v>10.63833</v>
      </c>
    </row>
    <row r="3" spans="1:10" x14ac:dyDescent="0.2">
      <c r="A3" s="27"/>
      <c r="B3">
        <v>3</v>
      </c>
      <c r="C3">
        <v>4.3213900000000001</v>
      </c>
      <c r="D3">
        <v>6.5834599999999996</v>
      </c>
      <c r="E3">
        <v>72.676900000000003</v>
      </c>
      <c r="F3">
        <v>1.55884</v>
      </c>
      <c r="G3">
        <v>1.54531</v>
      </c>
      <c r="H3">
        <v>12.686030000000001</v>
      </c>
      <c r="I3">
        <v>0.62805999999999995</v>
      </c>
    </row>
    <row r="4" spans="1:10" x14ac:dyDescent="0.2">
      <c r="A4" s="27" t="s">
        <v>325</v>
      </c>
      <c r="B4">
        <v>2</v>
      </c>
      <c r="D4">
        <v>1.3955299999999999</v>
      </c>
      <c r="E4">
        <v>11.50253</v>
      </c>
      <c r="G4">
        <v>23.591190000000001</v>
      </c>
      <c r="H4">
        <v>4.0368300000000001</v>
      </c>
      <c r="I4">
        <v>59.47392</v>
      </c>
    </row>
    <row r="5" spans="1:10" x14ac:dyDescent="0.2">
      <c r="A5" s="27"/>
      <c r="B5">
        <v>3</v>
      </c>
      <c r="C5">
        <v>2.0238200000000002</v>
      </c>
      <c r="D5">
        <v>3.0832099999999998</v>
      </c>
      <c r="E5">
        <v>34.03651</v>
      </c>
      <c r="F5">
        <v>5.5462199999999999</v>
      </c>
      <c r="G5">
        <v>45.692720000000001</v>
      </c>
      <c r="H5">
        <v>9.6175099999999993</v>
      </c>
    </row>
    <row r="6" spans="1:10" x14ac:dyDescent="0.2">
      <c r="A6" s="27" t="s">
        <v>327</v>
      </c>
      <c r="B6">
        <v>2</v>
      </c>
      <c r="D6">
        <v>2.2115</v>
      </c>
      <c r="E6">
        <v>18.228159999999999</v>
      </c>
      <c r="G6">
        <v>0.45487</v>
      </c>
      <c r="H6">
        <v>0.3931</v>
      </c>
      <c r="I6">
        <v>78.712370000000007</v>
      </c>
    </row>
    <row r="7" spans="1:10" x14ac:dyDescent="0.2">
      <c r="A7" s="27"/>
      <c r="B7">
        <v>3</v>
      </c>
      <c r="C7">
        <v>3.6958700000000002</v>
      </c>
      <c r="D7">
        <v>5.6305100000000001</v>
      </c>
      <c r="E7">
        <v>62.156979999999997</v>
      </c>
      <c r="F7">
        <v>26.375499999999999</v>
      </c>
      <c r="G7">
        <v>1.0619000000000001</v>
      </c>
      <c r="H7">
        <v>1.0792299999999999</v>
      </c>
    </row>
    <row r="8" spans="1:10" x14ac:dyDescent="0.2">
      <c r="A8" s="27" t="s">
        <v>389</v>
      </c>
      <c r="B8">
        <v>2</v>
      </c>
      <c r="D8">
        <v>6.3513900000000003</v>
      </c>
      <c r="E8">
        <v>52.350879999999997</v>
      </c>
      <c r="G8">
        <v>26.098099999999999</v>
      </c>
      <c r="H8">
        <v>1.3452</v>
      </c>
      <c r="I8">
        <v>13.854430000000001</v>
      </c>
    </row>
    <row r="9" spans="1:10" x14ac:dyDescent="0.2">
      <c r="A9" s="27"/>
      <c r="B9">
        <v>3</v>
      </c>
      <c r="C9">
        <v>3.86104</v>
      </c>
      <c r="D9">
        <v>5.8821399999999997</v>
      </c>
      <c r="E9">
        <v>64.934799999999996</v>
      </c>
      <c r="F9">
        <v>2.57193</v>
      </c>
      <c r="G9">
        <v>21.406669999999998</v>
      </c>
      <c r="H9">
        <v>1.34341</v>
      </c>
    </row>
    <row r="10" spans="1:10" x14ac:dyDescent="0.2">
      <c r="A10" s="27" t="s">
        <v>390</v>
      </c>
      <c r="B10">
        <v>2</v>
      </c>
      <c r="D10">
        <v>9.4718300000000006</v>
      </c>
      <c r="E10">
        <v>78.070800000000006</v>
      </c>
      <c r="G10">
        <v>10.466229999999999</v>
      </c>
      <c r="H10">
        <v>1.58423</v>
      </c>
      <c r="I10">
        <v>0.40690999999999999</v>
      </c>
    </row>
    <row r="11" spans="1:10" x14ac:dyDescent="0.2">
      <c r="B11">
        <v>3</v>
      </c>
      <c r="C11">
        <v>4.6909599999999996</v>
      </c>
      <c r="D11">
        <v>7.14649</v>
      </c>
      <c r="E11">
        <v>78.892300000000006</v>
      </c>
      <c r="F11">
        <v>0.84030000000000005</v>
      </c>
      <c r="G11">
        <v>7.1410099999999996</v>
      </c>
      <c r="H11">
        <v>1.28894</v>
      </c>
    </row>
    <row r="12" spans="1:10" x14ac:dyDescent="0.2">
      <c r="A12" s="27" t="s">
        <v>391</v>
      </c>
      <c r="B12">
        <v>2</v>
      </c>
      <c r="D12">
        <v>1.93035</v>
      </c>
      <c r="E12">
        <v>15.91079</v>
      </c>
      <c r="G12">
        <v>1.21258</v>
      </c>
      <c r="H12">
        <v>79.098439999999997</v>
      </c>
      <c r="I12">
        <v>1.8478300000000001</v>
      </c>
    </row>
    <row r="13" spans="1:10" x14ac:dyDescent="0.2">
      <c r="A13" s="27"/>
      <c r="B13">
        <v>3</v>
      </c>
      <c r="C13">
        <v>1.06907</v>
      </c>
      <c r="D13">
        <v>1.6286799999999999</v>
      </c>
      <c r="E13">
        <v>17.979520000000001</v>
      </c>
      <c r="F13">
        <v>0.11833</v>
      </c>
      <c r="G13">
        <v>0.98468</v>
      </c>
      <c r="H13">
        <v>78.219719999999995</v>
      </c>
    </row>
    <row r="14" spans="1:10" x14ac:dyDescent="0.2">
      <c r="A14" s="27" t="s">
        <v>392</v>
      </c>
      <c r="B14">
        <v>2</v>
      </c>
      <c r="D14">
        <v>6.5925700000000003</v>
      </c>
      <c r="E14">
        <v>54.338799999999999</v>
      </c>
      <c r="G14">
        <v>28.936389999999999</v>
      </c>
      <c r="H14">
        <v>1.0058800000000001</v>
      </c>
      <c r="I14">
        <v>9.12636</v>
      </c>
    </row>
    <row r="15" spans="1:10" x14ac:dyDescent="0.2">
      <c r="B15">
        <v>3</v>
      </c>
      <c r="C15">
        <v>3.7996599999999998</v>
      </c>
      <c r="D15">
        <v>5.7886300000000004</v>
      </c>
      <c r="E15">
        <v>63.90249</v>
      </c>
      <c r="F15">
        <v>2.70363</v>
      </c>
      <c r="G15">
        <v>22.853169999999999</v>
      </c>
      <c r="H15">
        <v>0.95240999999999998</v>
      </c>
    </row>
    <row r="16" spans="1:10" x14ac:dyDescent="0.2">
      <c r="A16" s="27" t="s">
        <v>393</v>
      </c>
      <c r="B16">
        <v>2</v>
      </c>
      <c r="D16">
        <v>7.0166599999999999</v>
      </c>
      <c r="E16">
        <v>57.83428</v>
      </c>
      <c r="G16">
        <v>26.16085</v>
      </c>
      <c r="H16">
        <v>0.74341000000000002</v>
      </c>
      <c r="I16">
        <v>8.2447999999999997</v>
      </c>
    </row>
    <row r="17" spans="1:8" x14ac:dyDescent="0.2">
      <c r="A17" s="27"/>
      <c r="B17">
        <v>3</v>
      </c>
      <c r="C17">
        <v>3.9839600000000002</v>
      </c>
      <c r="D17">
        <v>6.0693900000000003</v>
      </c>
      <c r="E17">
        <v>67.001940000000005</v>
      </c>
      <c r="F17">
        <v>2.4079600000000001</v>
      </c>
      <c r="G17">
        <v>19.843319999999999</v>
      </c>
      <c r="H17">
        <v>0.69342999999999999</v>
      </c>
    </row>
    <row r="19" spans="1:8" x14ac:dyDescent="0.2">
      <c r="A19" s="27"/>
    </row>
    <row r="20" spans="1:8" x14ac:dyDescent="0.2">
      <c r="A20" s="2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37</vt:i4>
      </vt:variant>
      <vt:variant>
        <vt:lpstr>Named Ranges</vt:lpstr>
      </vt:variant>
      <vt:variant>
        <vt:i4>5</vt:i4>
      </vt:variant>
    </vt:vector>
  </HeadingPairs>
  <TitlesOfParts>
    <vt:vector size="42" baseType="lpstr">
      <vt:lpstr>Fig. 1</vt:lpstr>
      <vt:lpstr>Fig. 3</vt:lpstr>
      <vt:lpstr>Fig. 4</vt:lpstr>
      <vt:lpstr>Fig. 5</vt:lpstr>
      <vt:lpstr>Fig. 6</vt:lpstr>
      <vt:lpstr>Supplementary Figure 1</vt:lpstr>
      <vt:lpstr>Supplementary Figure 3</vt:lpstr>
      <vt:lpstr>Supplementary Figure 4</vt:lpstr>
      <vt:lpstr>Supplementary Figure 5</vt:lpstr>
      <vt:lpstr>CONTENT-2021</vt:lpstr>
      <vt:lpstr>Battery Composition-2021</vt:lpstr>
      <vt:lpstr>Conversions-2021</vt:lpstr>
      <vt:lpstr>Ni_MHP-2021</vt:lpstr>
      <vt:lpstr>Ni_Class1-2021</vt:lpstr>
      <vt:lpstr>Co_SO4-2021</vt:lpstr>
      <vt:lpstr>Li_brine-2021</vt:lpstr>
      <vt:lpstr>Li_ore-2021</vt:lpstr>
      <vt:lpstr>Al-2021</vt:lpstr>
      <vt:lpstr>Cu-2021</vt:lpstr>
      <vt:lpstr>Mn-2021</vt:lpstr>
      <vt:lpstr>Final-2021</vt:lpstr>
      <vt:lpstr>Consumables-2021</vt:lpstr>
      <vt:lpstr>CONTENT-2023</vt:lpstr>
      <vt:lpstr>Battery Composition-2023</vt:lpstr>
      <vt:lpstr>Conversions-2023</vt:lpstr>
      <vt:lpstr>Ni_MHP-2023</vt:lpstr>
      <vt:lpstr>Ni_Classs1-2023</vt:lpstr>
      <vt:lpstr>Co_SO4-2023</vt:lpstr>
      <vt:lpstr>NiCo_MHP-2023</vt:lpstr>
      <vt:lpstr>Li_brine-2023</vt:lpstr>
      <vt:lpstr>Li_ore-2023</vt:lpstr>
      <vt:lpstr>Al-2023</vt:lpstr>
      <vt:lpstr>Cu-2023</vt:lpstr>
      <vt:lpstr>Mn-2023</vt:lpstr>
      <vt:lpstr>Final-2023</vt:lpstr>
      <vt:lpstr>Consumables-2023</vt:lpstr>
      <vt:lpstr>Sheet15</vt:lpstr>
      <vt:lpstr>Atomic_Mass</vt:lpstr>
      <vt:lpstr>Emissions_Conversions</vt:lpstr>
      <vt:lpstr>LCO_Composition</vt:lpstr>
      <vt:lpstr>NCA_Composition</vt:lpstr>
      <vt:lpstr>Unit_Conversions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sampb</dc:creator>
  <cp:lastModifiedBy>William Abraham Tarpeh</cp:lastModifiedBy>
  <dcterms:created xsi:type="dcterms:W3CDTF">2021-05-20T01:26:35Z</dcterms:created>
  <dcterms:modified xsi:type="dcterms:W3CDTF">2024-11-26T15:40:38Z</dcterms:modified>
</cp:coreProperties>
</file>