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F:\MS4_Sanjiang fluid exsolution\text version7_R1\"/>
    </mc:Choice>
  </mc:AlternateContent>
  <xr:revisionPtr revIDLastSave="0" documentId="13_ncr:1_{960E4244-01CC-45DE-9C08-A89FA76F71E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" i="1" l="1"/>
  <c r="R4" i="1"/>
  <c r="Q3" i="1"/>
  <c r="P3" i="1"/>
  <c r="L5" i="1"/>
  <c r="K12" i="1"/>
  <c r="K11" i="1"/>
  <c r="K10" i="1"/>
  <c r="K9" i="1"/>
  <c r="K8" i="1"/>
  <c r="K7" i="1"/>
  <c r="K6" i="1"/>
  <c r="K5" i="1"/>
  <c r="K4" i="1"/>
  <c r="J12" i="1"/>
  <c r="J11" i="1"/>
  <c r="J10" i="1"/>
  <c r="J9" i="1"/>
  <c r="J8" i="1"/>
  <c r="J7" i="1"/>
  <c r="J6" i="1"/>
  <c r="J5" i="1"/>
  <c r="J4" i="1"/>
  <c r="I12" i="1"/>
  <c r="I11" i="1"/>
  <c r="I10" i="1"/>
  <c r="I9" i="1"/>
  <c r="I8" i="1"/>
  <c r="I7" i="1"/>
  <c r="I6" i="1"/>
  <c r="I5" i="1"/>
  <c r="I4" i="1"/>
  <c r="H12" i="1"/>
  <c r="H11" i="1"/>
  <c r="H10" i="1"/>
  <c r="H9" i="1"/>
  <c r="H8" i="1"/>
  <c r="H7" i="1"/>
  <c r="H6" i="1"/>
  <c r="H5" i="1"/>
  <c r="H4" i="1"/>
  <c r="O4" i="1" l="1"/>
  <c r="N4" i="1"/>
  <c r="L6" i="1"/>
  <c r="L7" i="1"/>
  <c r="M6" i="1"/>
  <c r="N7" i="1" l="1"/>
  <c r="N5" i="1" l="1"/>
  <c r="N6" i="1"/>
  <c r="O5" i="1"/>
  <c r="O6" i="1"/>
  <c r="M7" i="1" l="1"/>
  <c r="O7" i="1" l="1"/>
  <c r="L8" i="1" l="1"/>
  <c r="N8" i="1"/>
  <c r="O8" i="1"/>
  <c r="M8" i="1"/>
  <c r="N9" i="1" l="1"/>
  <c r="L9" i="1"/>
  <c r="O9" i="1"/>
  <c r="M9" i="1"/>
  <c r="L11" i="1"/>
  <c r="N10" i="1" l="1"/>
  <c r="L10" i="1"/>
  <c r="N11" i="1"/>
  <c r="O10" i="1"/>
  <c r="M10" i="1"/>
  <c r="O11" i="1"/>
  <c r="M11" i="1"/>
  <c r="N12" i="1" l="1"/>
  <c r="M12" i="1"/>
  <c r="O12" i="1"/>
  <c r="L12" i="1"/>
</calcChain>
</file>

<file path=xl/sharedStrings.xml><?xml version="1.0" encoding="utf-8"?>
<sst xmlns="http://schemas.openxmlformats.org/spreadsheetml/2006/main" count="32" uniqueCount="25">
  <si>
    <t>1σ</t>
    <phoneticPr fontId="1" type="noConversion"/>
  </si>
  <si>
    <t>Cl (µg/g)</t>
    <phoneticPr fontId="1" type="noConversion"/>
  </si>
  <si>
    <t>S (µg/g)</t>
    <phoneticPr fontId="1" type="noConversion"/>
  </si>
  <si>
    <t>Cu (µg/g)</t>
    <phoneticPr fontId="1" type="noConversion"/>
  </si>
  <si>
    <t>W (µg/g)</t>
    <phoneticPr fontId="1" type="noConversion"/>
  </si>
  <si>
    <t>Pb (µg/g)</t>
    <phoneticPr fontId="1" type="noConversion"/>
  </si>
  <si>
    <t>Mo (µg/g)</t>
    <phoneticPr fontId="1" type="noConversion"/>
  </si>
  <si>
    <t>Ag (µg/g)</t>
    <phoneticPr fontId="1" type="noConversion"/>
  </si>
  <si>
    <t>Au (µg/g)</t>
    <phoneticPr fontId="1" type="noConversion"/>
  </si>
  <si>
    <t>Crystallinity (wt%)</t>
    <phoneticPr fontId="1" type="noConversion"/>
  </si>
  <si>
    <t>Component</t>
    <phoneticPr fontId="1" type="noConversion"/>
  </si>
  <si>
    <t>Amount in the fluid</t>
    <phoneticPr fontId="1" type="noConversion"/>
  </si>
  <si>
    <t>Amount in the residual melt</t>
    <phoneticPr fontId="1" type="noConversion"/>
  </si>
  <si>
    <t>Proportion in the fluid (wt%)</t>
    <phoneticPr fontId="1" type="noConversion"/>
  </si>
  <si>
    <t>Intial melt concentration</t>
    <phoneticPr fontId="1" type="noConversion"/>
  </si>
  <si>
    <t>Residual melt concentration</t>
    <phoneticPr fontId="1" type="noConversion"/>
  </si>
  <si>
    <t>Fluid concentration normalized to 10% NaCl</t>
    <phoneticPr fontId="1" type="noConversion"/>
  </si>
  <si>
    <t>Input values that are based on (1) the volatile and metal concentrations in trachydacitic and rhyolitic melt inclusions and (2) the phenocryst content of felsic porphyries.</t>
    <phoneticPr fontId="1" type="noConversion"/>
  </si>
  <si>
    <r>
      <rPr>
        <b/>
        <sz val="12"/>
        <color theme="1"/>
        <rFont val="Calibri"/>
        <family val="2"/>
      </rPr>
      <t>Supplementary Data 6</t>
    </r>
    <r>
      <rPr>
        <sz val="12"/>
        <color theme="1"/>
        <rFont val="Calibri"/>
        <family val="2"/>
      </rPr>
      <t xml:space="preserve"> Mass balance calculations</t>
    </r>
    <phoneticPr fontId="1" type="noConversion"/>
  </si>
  <si>
    <t>maximal mass in wt% of precipitated pyrrhotite (as the majority of the S should partition into the fluid)</t>
    <phoneticPr fontId="1" type="noConversion"/>
  </si>
  <si>
    <t>mass  in wt% of the exsolved fluid</t>
    <phoneticPr fontId="1" type="noConversion"/>
  </si>
  <si>
    <r>
      <t>H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O (wt%)</t>
    </r>
    <phoneticPr fontId="1" type="noConversion"/>
  </si>
  <si>
    <r>
      <t>Estimated H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O content of the intial trachydacitic melt that may vary in the range of 8‒13 wt% H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O, based on the expeirmental study of Chang and Audétat (2023).</t>
    </r>
    <phoneticPr fontId="1" type="noConversion"/>
  </si>
  <si>
    <r>
      <t>Chang J. and Audétat A. (2023) Experimental equilibrium and fractional crystallization of a H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O, CO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, Cl and S-bearing potassic mafic magma at 1.0 GPa, with implications for the origin of porphyry Cu (Au, Mo)-forming potassic magmas. Journal of Petrology 64, egad034.</t>
    </r>
    <phoneticPr fontId="1" type="noConversion"/>
  </si>
  <si>
    <t>Salinity of the fluid (wt% NaCl)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</si>
</sst>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"/>
    <numFmt numFmtId="178" formatCode="0.0000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vertAlign val="subscript"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3" fillId="0" borderId="0" xfId="0" applyFont="1"/>
    <xf numFmtId="176" fontId="2" fillId="0" borderId="0" xfId="0" applyNumberFormat="1" applyFont="1"/>
    <xf numFmtId="0" fontId="2" fillId="0" borderId="0" xfId="0" applyFont="1" applyAlignment="1">
      <alignment horizontal="center"/>
    </xf>
    <xf numFmtId="176" fontId="2" fillId="3" borderId="0" xfId="0" applyNumberFormat="1" applyFont="1" applyFill="1" applyAlignment="1">
      <alignment horizontal="center"/>
    </xf>
    <xf numFmtId="176" fontId="2" fillId="0" borderId="0" xfId="0" applyNumberFormat="1" applyFont="1" applyAlignment="1">
      <alignment horizontal="center"/>
    </xf>
    <xf numFmtId="1" fontId="2" fillId="0" borderId="0" xfId="0" applyNumberFormat="1" applyFont="1"/>
    <xf numFmtId="177" fontId="2" fillId="0" borderId="0" xfId="0" applyNumberFormat="1" applyFont="1" applyAlignment="1">
      <alignment horizontal="center"/>
    </xf>
    <xf numFmtId="177" fontId="2" fillId="0" borderId="0" xfId="0" applyNumberFormat="1" applyFont="1"/>
    <xf numFmtId="0" fontId="2" fillId="0" borderId="1" xfId="0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7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3" borderId="0" xfId="0" applyFont="1" applyFill="1"/>
    <xf numFmtId="0" fontId="2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176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178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"/>
  <sheetViews>
    <sheetView tabSelected="1" zoomScaleNormal="100" workbookViewId="0">
      <selection activeCell="A2" sqref="A2"/>
    </sheetView>
  </sheetViews>
  <sheetFormatPr defaultRowHeight="15.5" x14ac:dyDescent="0.35"/>
  <cols>
    <col min="1" max="2" width="12.58203125" style="2" customWidth="1"/>
    <col min="3" max="3" width="6.75" style="2" customWidth="1"/>
    <col min="4" max="4" width="12.58203125" style="2" customWidth="1"/>
    <col min="5" max="5" width="6.75" style="2" customWidth="1"/>
    <col min="6" max="6" width="12.58203125" style="2" customWidth="1"/>
    <col min="7" max="7" width="6.75" style="2" customWidth="1"/>
    <col min="8" max="8" width="12.58203125" style="2" customWidth="1"/>
    <col min="9" max="9" width="6.75" style="2" customWidth="1"/>
    <col min="10" max="10" width="12.58203125" style="2" customWidth="1"/>
    <col min="11" max="11" width="6.75" style="2" customWidth="1"/>
    <col min="12" max="12" width="12.58203125" style="2" customWidth="1"/>
    <col min="13" max="13" width="6.75" style="2" customWidth="1"/>
    <col min="14" max="14" width="12.58203125" style="2" customWidth="1"/>
    <col min="15" max="15" width="6.75" style="2" customWidth="1"/>
    <col min="16" max="16" width="12.58203125" style="2" customWidth="1"/>
    <col min="17" max="17" width="6.75" style="2" customWidth="1"/>
    <col min="18" max="18" width="7.9140625" style="2" customWidth="1"/>
    <col min="19" max="16384" width="8.6640625" style="2"/>
  </cols>
  <sheetData>
    <row r="1" spans="1:22" ht="24" customHeight="1" thickBot="1" x14ac:dyDescent="0.4">
      <c r="A1" s="1" t="s">
        <v>18</v>
      </c>
    </row>
    <row r="2" spans="1:22" s="4" customFormat="1" ht="62.5" thickTop="1" x14ac:dyDescent="0.35">
      <c r="A2" s="3" t="s">
        <v>10</v>
      </c>
      <c r="B2" s="3" t="s">
        <v>14</v>
      </c>
      <c r="C2" s="3" t="s">
        <v>0</v>
      </c>
      <c r="D2" s="3" t="s">
        <v>15</v>
      </c>
      <c r="E2" s="3" t="s">
        <v>0</v>
      </c>
      <c r="F2" s="3" t="s">
        <v>9</v>
      </c>
      <c r="G2" s="3" t="s">
        <v>0</v>
      </c>
      <c r="H2" s="3" t="s">
        <v>11</v>
      </c>
      <c r="I2" s="3" t="s">
        <v>0</v>
      </c>
      <c r="J2" s="3" t="s">
        <v>12</v>
      </c>
      <c r="K2" s="3" t="s">
        <v>0</v>
      </c>
      <c r="L2" s="3" t="s">
        <v>16</v>
      </c>
      <c r="M2" s="3" t="s">
        <v>0</v>
      </c>
      <c r="N2" s="3" t="s">
        <v>13</v>
      </c>
      <c r="O2" s="3" t="s">
        <v>0</v>
      </c>
      <c r="P2" s="3" t="s">
        <v>24</v>
      </c>
      <c r="Q2" s="3" t="s">
        <v>0</v>
      </c>
    </row>
    <row r="3" spans="1:22" s="7" customFormat="1" x14ac:dyDescent="0.35">
      <c r="A3" s="5"/>
      <c r="B3" s="5"/>
      <c r="C3" s="5"/>
      <c r="D3" s="5"/>
      <c r="E3" s="5"/>
      <c r="F3" s="20">
        <v>50</v>
      </c>
      <c r="G3" s="20">
        <v>10</v>
      </c>
      <c r="H3" s="5"/>
      <c r="I3" s="5"/>
      <c r="J3" s="5"/>
      <c r="K3" s="5"/>
      <c r="L3" s="5"/>
      <c r="M3" s="5"/>
      <c r="N3" s="5"/>
      <c r="O3" s="5"/>
      <c r="P3" s="6">
        <f>H5/10000/35.5*(35.5+23)/H4*100</f>
        <v>13.377015044419624</v>
      </c>
      <c r="Q3" s="6">
        <f>100*(35.5+23)/(35.5*H4)*I5/10000+(100*H5/10000*(35.5+23)/(35.5*H4^2)*I4)</f>
        <v>5.182914557945316</v>
      </c>
      <c r="R3" s="8"/>
      <c r="S3" s="2"/>
      <c r="T3" s="2"/>
      <c r="U3" s="2"/>
      <c r="V3" s="2"/>
    </row>
    <row r="4" spans="1:22" ht="17.5" x14ac:dyDescent="0.45">
      <c r="A4" s="9" t="s">
        <v>21</v>
      </c>
      <c r="B4" s="10">
        <v>10</v>
      </c>
      <c r="C4" s="22"/>
      <c r="D4" s="22">
        <v>8</v>
      </c>
      <c r="E4" s="22"/>
      <c r="F4" s="26"/>
      <c r="G4" s="26"/>
      <c r="H4" s="11">
        <f>(100*B4-(100-F$3)*D4)/100</f>
        <v>6</v>
      </c>
      <c r="I4" s="11">
        <f>C4+D4/100*G$3+(100-F$3)/100*E4</f>
        <v>0.8</v>
      </c>
      <c r="J4" s="11">
        <f>(100-F$3)*D4/100</f>
        <v>4</v>
      </c>
      <c r="K4" s="11">
        <f>(ABS(D4)/100*G$3+ABS(100-F$3)/100*E4)</f>
        <v>0.8</v>
      </c>
      <c r="L4" s="6"/>
      <c r="M4" s="6"/>
      <c r="N4" s="6">
        <f>H4/(H4+J4)*100</f>
        <v>60</v>
      </c>
      <c r="O4" s="6">
        <f>100*J4/(H4+J4)^2*I4+100*H4/(H4+J4)^2*K4</f>
        <v>8</v>
      </c>
      <c r="R4" s="8">
        <f>H4+SUM(H5:H12)/10000</f>
        <v>6.5862048877466082</v>
      </c>
      <c r="S4" s="2" t="s">
        <v>20</v>
      </c>
    </row>
    <row r="5" spans="1:22" x14ac:dyDescent="0.35">
      <c r="A5" s="9" t="s">
        <v>1</v>
      </c>
      <c r="B5" s="21">
        <v>5278.7114923734298</v>
      </c>
      <c r="C5" s="21">
        <v>954.22292972046364</v>
      </c>
      <c r="D5" s="21">
        <v>816.21202932334052</v>
      </c>
      <c r="E5" s="21">
        <v>403.70856744939596</v>
      </c>
      <c r="F5" s="27"/>
      <c r="G5" s="26"/>
      <c r="H5" s="6">
        <f>(100*B5-(100-F$3)*D5)/100</f>
        <v>4870.6054777117597</v>
      </c>
      <c r="I5" s="6">
        <f>C5+D5/100*G$3+(100-F$3)/100*E5</f>
        <v>1237.6984163774957</v>
      </c>
      <c r="J5" s="6">
        <f>(100-F$3)*D5/100</f>
        <v>408.10601466167026</v>
      </c>
      <c r="K5" s="6">
        <f>(ABS(D5)/100*G$3+ABS(100-F$3)/100*E5)</f>
        <v>283.47548665703204</v>
      </c>
      <c r="L5" s="6">
        <f>10*35.5/(35.5+23)*10000</f>
        <v>60683.76068376068</v>
      </c>
      <c r="M5" s="6"/>
      <c r="N5" s="6">
        <f t="shared" ref="N5:N12" si="0">H5/(H5+J5)*100</f>
        <v>92.268832739745434</v>
      </c>
      <c r="O5" s="6">
        <f t="shared" ref="O5:O12" si="1">100*J5/(H5+J5)^2*I5+100*H5/(H5+J5)^2*K5</f>
        <v>6.7677132555087907</v>
      </c>
      <c r="P5" s="9"/>
      <c r="Q5" s="9"/>
      <c r="R5" s="8"/>
    </row>
    <row r="6" spans="1:22" x14ac:dyDescent="0.35">
      <c r="A6" s="9" t="s">
        <v>2</v>
      </c>
      <c r="B6" s="21">
        <v>837.33186714674503</v>
      </c>
      <c r="C6" s="21">
        <v>661.4683265847367</v>
      </c>
      <c r="D6" s="21">
        <v>45.84</v>
      </c>
      <c r="E6" s="21">
        <v>14.907930775261875</v>
      </c>
      <c r="F6" s="27"/>
      <c r="G6" s="26"/>
      <c r="H6" s="6">
        <f>(100*B6-(100-F$3)*D6)/100</f>
        <v>814.41186714674507</v>
      </c>
      <c r="I6" s="6">
        <f>C6+D6/100*G$3+(100-F$3)/100*E6</f>
        <v>673.50629197236753</v>
      </c>
      <c r="J6" s="6">
        <f>(100-F$3)*D6/100</f>
        <v>22.92</v>
      </c>
      <c r="K6" s="6">
        <f>(ABS(D6)/100*G$3+ABS(100-F$3)/100*E6)</f>
        <v>12.037965387630937</v>
      </c>
      <c r="L6" s="6">
        <f>$H6/$H$5*L$5</f>
        <v>10146.905773851824</v>
      </c>
      <c r="M6" s="6">
        <f>L$5/$H$5*$I6+($H6*L$5/$H$5^2)*$I$5*0+H6/H$5*M$5*0</f>
        <v>8391.3375509649359</v>
      </c>
      <c r="N6" s="6">
        <f t="shared" si="0"/>
        <v>97.262734060498474</v>
      </c>
      <c r="O6" s="6">
        <f t="shared" si="1"/>
        <v>3.6000197501790265</v>
      </c>
      <c r="P6" s="9"/>
      <c r="Q6" s="9"/>
      <c r="R6" s="8">
        <f>(H6/32*(32+56))/10000</f>
        <v>0.22396326346535489</v>
      </c>
      <c r="S6" s="2" t="s">
        <v>19</v>
      </c>
    </row>
    <row r="7" spans="1:22" x14ac:dyDescent="0.35">
      <c r="A7" s="9" t="s">
        <v>3</v>
      </c>
      <c r="B7" s="21">
        <v>98.837076339402003</v>
      </c>
      <c r="C7" s="21">
        <v>51.774120360406663</v>
      </c>
      <c r="D7" s="21">
        <v>17.977449791608965</v>
      </c>
      <c r="E7" s="21">
        <v>15.20155662456644</v>
      </c>
      <c r="F7" s="27"/>
      <c r="G7" s="26"/>
      <c r="H7" s="6">
        <f>(100*B7-(100-F$3)*D7)/100</f>
        <v>89.848351443597537</v>
      </c>
      <c r="I7" s="6">
        <f>C7+D7/100*G$3+(100-F$3)/100*E7</f>
        <v>61.172643651850777</v>
      </c>
      <c r="J7" s="11">
        <f>(100-F$3)*D7/100</f>
        <v>8.9887248958044825</v>
      </c>
      <c r="K7" s="11">
        <f>(ABS(D7)/100*G$3+ABS(100-F$3)/100*E7)</f>
        <v>9.3985232914441159</v>
      </c>
      <c r="L7" s="6">
        <f>$H7/$H$5*L$5</f>
        <v>1119.4369738596108</v>
      </c>
      <c r="M7" s="6">
        <f>L$5/$H$5*$I7+($H7*L$5/$H$5^2)*$I$5*0+H7/H$5*M$5*0</f>
        <v>762.1611080489098</v>
      </c>
      <c r="N7" s="6">
        <f t="shared" si="0"/>
        <v>90.905513164981116</v>
      </c>
      <c r="O7" s="6">
        <f t="shared" si="1"/>
        <v>14.273099098080305</v>
      </c>
      <c r="P7" s="9"/>
      <c r="Q7" s="9"/>
      <c r="R7" s="12"/>
    </row>
    <row r="8" spans="1:22" x14ac:dyDescent="0.35">
      <c r="A8" s="9" t="s">
        <v>4</v>
      </c>
      <c r="B8" s="22">
        <v>10.365185237608518</v>
      </c>
      <c r="C8" s="22">
        <v>2.2980662500761153</v>
      </c>
      <c r="D8" s="22">
        <v>3.4106935539819965</v>
      </c>
      <c r="E8" s="22">
        <v>1.0624767213561968</v>
      </c>
      <c r="F8" s="27"/>
      <c r="G8" s="26"/>
      <c r="H8" s="11">
        <f>(100*B8-(100-F$3)*D8)/100</f>
        <v>8.6598384606175198</v>
      </c>
      <c r="I8" s="11">
        <f>C8+D8/100*G$3+(100-F$3)/100*E8</f>
        <v>3.1703739661524137</v>
      </c>
      <c r="J8" s="11">
        <f>(100-F$3)*D8/100</f>
        <v>1.7053467769909982</v>
      </c>
      <c r="K8" s="11">
        <f>(ABS(D8)/100*G$3+ABS(100-F$3)/100*E8)</f>
        <v>0.87230771607629798</v>
      </c>
      <c r="L8" s="6">
        <f>$H8/$H$5*L$5</f>
        <v>107.8945045146684</v>
      </c>
      <c r="M8" s="6">
        <f>L$5/$H$5*$I8+($H8*L$5/$H$5^2)*$I$5*0+H8/H$5*M$5*0</f>
        <v>39.500266634283911</v>
      </c>
      <c r="N8" s="6">
        <f t="shared" si="0"/>
        <v>83.547358412820216</v>
      </c>
      <c r="O8" s="6">
        <f t="shared" si="1"/>
        <v>12.063463324325106</v>
      </c>
      <c r="P8" s="9"/>
      <c r="Q8" s="9"/>
      <c r="R8" s="12"/>
    </row>
    <row r="9" spans="1:22" x14ac:dyDescent="0.35">
      <c r="A9" s="9" t="s">
        <v>5</v>
      </c>
      <c r="B9" s="21">
        <v>98.616726323368908</v>
      </c>
      <c r="C9" s="21">
        <v>8.7672788796194379</v>
      </c>
      <c r="D9" s="21">
        <v>56.010440586824323</v>
      </c>
      <c r="E9" s="21">
        <v>22.117092915364584</v>
      </c>
      <c r="F9" s="27"/>
      <c r="G9" s="26"/>
      <c r="H9" s="6">
        <f>(100*B9-(100-F$3)*D9)/100</f>
        <v>70.611506029956743</v>
      </c>
      <c r="I9" s="6">
        <f>C9+D9/100*G$3+(100-F$3)/100*E9</f>
        <v>25.426869395984163</v>
      </c>
      <c r="J9" s="6">
        <f>(100-F$3)*D9/100</f>
        <v>28.005220293412162</v>
      </c>
      <c r="K9" s="6">
        <f>(ABS(D9)/100*G$3+ABS(100-F$3)/100*E9)</f>
        <v>16.659590516364723</v>
      </c>
      <c r="L9" s="6">
        <f>$H9/$H$5*L$5</f>
        <v>879.76161342776732</v>
      </c>
      <c r="M9" s="6">
        <f>L$5/$H$5*$I9+($H9*L$5/$H$5^2)*$I$5*0+H9/H$5*M$5*0</f>
        <v>316.79799655792516</v>
      </c>
      <c r="N9" s="6">
        <f t="shared" si="0"/>
        <v>71.601957053835136</v>
      </c>
      <c r="O9" s="6">
        <f t="shared" si="1"/>
        <v>19.417929241554365</v>
      </c>
      <c r="P9" s="9"/>
      <c r="Q9" s="9"/>
      <c r="R9" s="12"/>
    </row>
    <row r="10" spans="1:22" x14ac:dyDescent="0.35">
      <c r="A10" s="9" t="s">
        <v>6</v>
      </c>
      <c r="B10" s="22">
        <v>8.7785501156649648</v>
      </c>
      <c r="C10" s="22">
        <v>2.0447418947113158</v>
      </c>
      <c r="D10" s="22">
        <v>2.0680358671810009</v>
      </c>
      <c r="E10" s="22">
        <v>0.81951707449720446</v>
      </c>
      <c r="F10" s="27"/>
      <c r="G10" s="26"/>
      <c r="H10" s="11">
        <f>(100*B10-(100-F$3)*D10)/100</f>
        <v>7.7445321820744644</v>
      </c>
      <c r="I10" s="11">
        <f>C10+D10/100*G$3+(100-F$3)/100*E10</f>
        <v>2.6613040186780181</v>
      </c>
      <c r="J10" s="11">
        <f>(100-F$3)*D10/100</f>
        <v>1.0340179335905004</v>
      </c>
      <c r="K10" s="11">
        <f>(ABS(D10)/100*G$3+ABS(100-F$3)/100*E10)</f>
        <v>0.61656212396670229</v>
      </c>
      <c r="L10" s="6">
        <f>$H10/$H$5*L$5</f>
        <v>96.490536894292504</v>
      </c>
      <c r="M10" s="6">
        <f>L$5/$H$5*$I10+($H10*L$5/$H$5^2)*$I$5*0+H10/H$5*M$5*0</f>
        <v>33.157671446643249</v>
      </c>
      <c r="N10" s="6">
        <f t="shared" si="0"/>
        <v>88.221085259337556</v>
      </c>
      <c r="O10" s="6">
        <f t="shared" si="1"/>
        <v>9.7671086581978948</v>
      </c>
      <c r="P10" s="9"/>
      <c r="Q10" s="9"/>
      <c r="R10" s="12"/>
    </row>
    <row r="11" spans="1:22" x14ac:dyDescent="0.35">
      <c r="A11" s="9" t="s">
        <v>7</v>
      </c>
      <c r="B11" s="23">
        <v>0.19055873300133438</v>
      </c>
      <c r="C11" s="23">
        <v>5.7760470809409797E-2</v>
      </c>
      <c r="D11" s="23">
        <v>4.9110326275274889E-2</v>
      </c>
      <c r="E11" s="23">
        <v>2.8313868391834463E-2</v>
      </c>
      <c r="F11" s="27"/>
      <c r="G11" s="26"/>
      <c r="H11" s="13">
        <f>(100*B11-(100-F$3)*D11)/100</f>
        <v>0.16600356986369694</v>
      </c>
      <c r="I11" s="13">
        <f>C11+D11/100*G$3+(100-F$3)/100*E11</f>
        <v>7.6828437632854518E-2</v>
      </c>
      <c r="J11" s="13">
        <f>(100-F$3)*D11/100</f>
        <v>2.4555163137637444E-2</v>
      </c>
      <c r="K11" s="13">
        <f>(ABS(D11)/100*G$3+ABS(100-F$3)/100*E11)</f>
        <v>1.9067966823444721E-2</v>
      </c>
      <c r="L11" s="11">
        <f>$H11/$H$5*L$5</f>
        <v>2.0682687095796615</v>
      </c>
      <c r="M11" s="11">
        <f>L$5/$H$5*$I11+($H11*L$5/$H$5^2)*$I$5*0+H11/H$5*M$5*0</f>
        <v>0.95721949649876481</v>
      </c>
      <c r="N11" s="6">
        <f t="shared" si="0"/>
        <v>87.114123424894146</v>
      </c>
      <c r="O11" s="6">
        <f t="shared" si="1"/>
        <v>13.912198818492179</v>
      </c>
      <c r="P11" s="9"/>
      <c r="Q11" s="9"/>
      <c r="R11" s="8"/>
    </row>
    <row r="12" spans="1:22" ht="16" thickBot="1" x14ac:dyDescent="0.4">
      <c r="A12" s="15" t="s">
        <v>8</v>
      </c>
      <c r="B12" s="24">
        <v>2.049536706272012E-3</v>
      </c>
      <c r="C12" s="24">
        <v>3.8045840020778577E-4</v>
      </c>
      <c r="D12" s="24">
        <v>1.4972304858285631E-3</v>
      </c>
      <c r="E12" s="24">
        <v>4.7621875000567105E-4</v>
      </c>
      <c r="F12" s="28"/>
      <c r="G12" s="29"/>
      <c r="H12" s="16">
        <f>(100*B12-(100-F$3)*D12)/100</f>
        <v>1.3009214633577305E-3</v>
      </c>
      <c r="I12" s="16">
        <f>C12+D12/100*G$3+(100-F$3)/100*E12</f>
        <v>7.6829082379347758E-4</v>
      </c>
      <c r="J12" s="16">
        <f>(100-F$3)*D12/100</f>
        <v>7.4861524291428157E-4</v>
      </c>
      <c r="K12" s="16">
        <f>(ABS(D12)/100*G$3+ABS(100-F$3)/100*E12)</f>
        <v>3.8783242358569187E-4</v>
      </c>
      <c r="L12" s="17">
        <f>$H12/$H$5*L$5</f>
        <v>1.6208417436399922E-2</v>
      </c>
      <c r="M12" s="17">
        <f>L$5/$H$5*$I12+($H12*L$5/$H$5^2)*$I$5*0+H12/H$5*M$5*0</f>
        <v>9.5722752951274571E-3</v>
      </c>
      <c r="N12" s="18">
        <f t="shared" si="0"/>
        <v>63.473928492065454</v>
      </c>
      <c r="O12" s="18">
        <f t="shared" si="1"/>
        <v>25.703317695721978</v>
      </c>
      <c r="P12" s="15"/>
      <c r="Q12" s="15"/>
      <c r="R12" s="14"/>
    </row>
    <row r="13" spans="1:22" ht="8.5" customHeight="1" thickTop="1" x14ac:dyDescent="0.35"/>
    <row r="14" spans="1:22" x14ac:dyDescent="0.35">
      <c r="A14" s="25" t="s">
        <v>17</v>
      </c>
    </row>
    <row r="15" spans="1:22" ht="17.5" x14ac:dyDescent="0.45">
      <c r="A15" s="19" t="s">
        <v>22</v>
      </c>
    </row>
    <row r="16" spans="1:22" ht="17.5" x14ac:dyDescent="0.45">
      <c r="A16" s="2" t="s">
        <v>23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3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 Jia</dc:creator>
  <cp:lastModifiedBy>佳 昌</cp:lastModifiedBy>
  <cp:lastPrinted>2023-09-29T15:33:14Z</cp:lastPrinted>
  <dcterms:created xsi:type="dcterms:W3CDTF">2015-06-05T18:19:34Z</dcterms:created>
  <dcterms:modified xsi:type="dcterms:W3CDTF">2024-11-19T05:26:01Z</dcterms:modified>
</cp:coreProperties>
</file>